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alexi\Documents\scolaire\IPSA\AeroIpsa\SP02\STABTRAJ\pro24_4_4\"/>
    </mc:Choice>
  </mc:AlternateContent>
  <xr:revisionPtr revIDLastSave="0" documentId="13_ncr:1_{01AE8EE6-EE98-4A6C-8B4C-3BA8866136D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tabilito" sheetId="6" r:id="rId1"/>
    <sheet name="Trajecto" sheetId="1" r:id="rId2"/>
    <sheet name="Courbes" sheetId="2" r:id="rId3"/>
    <sheet name="Propu" sheetId="4" r:id="rId4"/>
    <sheet name="Calculs" sheetId="3" r:id="rId5"/>
    <sheet name="Abaco" sheetId="8" r:id="rId6"/>
    <sheet name="Info" sheetId="5" r:id="rId7"/>
    <sheet name="Controle" sheetId="7" r:id="rId8"/>
  </sheets>
  <definedNames>
    <definedName name="_xlnm._FilterDatabase" localSheetId="3" hidden="1">Propu!$O$317:$P$345</definedName>
    <definedName name="a_prop">Abaco!$G$41:$G$67</definedName>
    <definedName name="Acc_max">Trajecto!$L$24</definedName>
    <definedName name="acc_x">Calculs!$D$4:$D$1004</definedName>
    <definedName name="acc_xz">Calculs!$F$4:$F$1004</definedName>
    <definedName name="acc_z">Calculs!$E$4:$E$1004</definedName>
    <definedName name="Alt_para">Trajecto!$I$27</definedName>
    <definedName name="alt_prop">Abaco!$J$41:$J$67</definedName>
    <definedName name="Alt_rampe">Trajecto!$C$20</definedName>
    <definedName name="Alt_sat">Trajecto!$I$25</definedName>
    <definedName name="Altitude_culmi">Trajecto!$I$26</definedName>
    <definedName name="b_bal">Abaco!$I$41:$I$67</definedName>
    <definedName name="b_prop">Abaco!$H$41:$H$67</definedName>
    <definedName name="Beta">Calculs!$M$4:$M$1004</definedName>
    <definedName name="Beta_rampe">Trajecto!$C$19</definedName>
    <definedName name="BetaD">Calculs!$N$4:$N$1004</definedName>
    <definedName name="CdP">Propu!$B$3:$Y$4</definedName>
    <definedName name="CdP_P">Propu!$B$4:$Y$4</definedName>
    <definedName name="CdP_t">Propu!$B$3:$Y$3</definedName>
    <definedName name="Club">Stabilito!$C$9</definedName>
    <definedName name="Cn">Stabilito!$H$28</definedName>
    <definedName name="Cn0">Stabilito!$I$28</definedName>
    <definedName name="Cnai" localSheetId="0">Stabilito!$O$19</definedName>
    <definedName name="Cnai0">Stabilito!$P$19</definedName>
    <definedName name="Cnail" localSheetId="0">Stabilito!$O$20</definedName>
    <definedName name="Cnc" localSheetId="0">Stabilito!$O$21</definedName>
    <definedName name="Cni" localSheetId="0">Stabilito!$O$22</definedName>
    <definedName name="Cni0">Stabilito!$P$22</definedName>
    <definedName name="Cnj" localSheetId="0">Stabilito!$O$23</definedName>
    <definedName name="Cno" localSheetId="0">Stabilito!$O$18</definedName>
    <definedName name="Cnr" localSheetId="0">Stabilito!$O$24</definedName>
    <definedName name="Combustion">Propu!$X$2</definedName>
    <definedName name="CritCnmax" localSheetId="0">Stabilito!$J$28</definedName>
    <definedName name="CritCnmin" localSheetId="0">Stabilito!$G$28</definedName>
    <definedName name="CritFinessemax" localSheetId="0">Stabilito!$J$27</definedName>
    <definedName name="CritFinessemin" localSheetId="0">Stabilito!$G$27</definedName>
    <definedName name="CritMsCnmax" localSheetId="0">Stabilito!$J$30</definedName>
    <definedName name="CritMsCnmin" localSheetId="0">Stabilito!$G$30</definedName>
    <definedName name="CritMsmax" localSheetId="0">Stabilito!$J$29</definedName>
    <definedName name="CritMsmin" localSheetId="0">Stabilito!$G$29</definedName>
    <definedName name="Cx">Trajecto!$C$15</definedName>
    <definedName name="Cx_para">Trajecto!$C$28</definedName>
    <definedName name="Cx_satellite">Trajecto!$D$28</definedName>
    <definedName name="D_ail">Stabilito!$C$34</definedName>
    <definedName name="D_can" localSheetId="0">Stabilito!$D$34</definedName>
    <definedName name="D_int" localSheetId="0">Stabilito!$E$34</definedName>
    <definedName name="D_og">Stabilito!$C$23</definedName>
    <definedName name="D_ref">Stabilito!$C$14</definedName>
    <definedName name="D_var">Abaco!$B$41:$B$67</definedName>
    <definedName name="D1j">Stabilito!$M$7</definedName>
    <definedName name="D1r">Stabilito!$O$7</definedName>
    <definedName name="D2j">Stabilito!$M$8</definedName>
    <definedName name="D2r">Stabilito!$O$8</definedName>
    <definedName name="Débit">Calculs!$R$4:$R$1004</definedName>
    <definedName name="Depotage">Propu!$Z$2</definedName>
    <definedName name="Diam_propu">Propu!$T$2</definedName>
    <definedName name="Dt_para">Trajecto!$C$31</definedName>
    <definedName name="Dt_satellite">Trajecto!$D$31</definedName>
    <definedName name="Dx_para">Trajecto!$C$33</definedName>
    <definedName name="Dx_sat">Trajecto!$D$33</definedName>
    <definedName name="E_ail">Stabilito!$C$30</definedName>
    <definedName name="E_can">Stabilito!$D$30</definedName>
    <definedName name="E_int" localSheetId="0">Stabilito!$E$30</definedName>
    <definedName name="ep_ail">Stabilito!$C$31</definedName>
    <definedName name="ep_can">Stabilito!$D$31</definedName>
    <definedName name="ep_int" localSheetId="0">Stabilito!$E$31</definedName>
    <definedName name="Event">Calculs!$Y$4:$Y$1004</definedName>
    <definedName name="Event_para">Calculs!$Z$4:$Z$1004</definedName>
    <definedName name="Event_sat">Calculs!$AA$4:$AA$1004</definedName>
    <definedName name="f_ail" localSheetId="0">Stabilito!$C$35</definedName>
    <definedName name="f_can" localSheetId="0">Stabilito!$D$35</definedName>
    <definedName name="f_int" localSheetId="0">Stabilito!$E$35</definedName>
    <definedName name="Finesse">Stabilito!$H$27</definedName>
    <definedName name="Forme_ogive">Stabilito!$C$21</definedName>
    <definedName name="g">Info!$E$52</definedName>
    <definedName name="i_P">Calculs!$P$4:$P$1004</definedName>
    <definedName name="I_total">Propu!$D$2</definedName>
    <definedName name="ISP">Propu!$F$2</definedName>
    <definedName name="l_j">Stabilito!$M$6</definedName>
    <definedName name="l_r">Stabilito!$O$6</definedName>
    <definedName name="L_rampe">Trajecto!$C$18</definedName>
    <definedName name="Lang">Stabilito!$M$2</definedName>
    <definedName name="Liste_µfu">Propu!$F$317:$F$346</definedName>
    <definedName name="Liste_fusex">Propu!$R$317:$R$346</definedName>
    <definedName name="Liste_H2O">Propu!$C$317:$D$346</definedName>
    <definedName name="Liste_minif">Propu!$L$317:$M$346</definedName>
    <definedName name="Liste_minifT">Propu!$O$317:$O$346</definedName>
    <definedName name="Liste_propu">Propu!$A$317:$A$330</definedName>
    <definedName name="Liste_RC">Propu!$I$317:$J$346</definedName>
    <definedName name="Long_ogive">Stabilito!$C$22</definedName>
    <definedName name="Long_propu">Propu!$R$2</definedName>
    <definedName name="Long_tot">Stabilito!$C$13</definedName>
    <definedName name="m">Calculs!$S$4:$S$1004</definedName>
    <definedName name="m_ail">Stabilito!$C$27</definedName>
    <definedName name="m_bal">Abaco!$F$41:$F$67</definedName>
    <definedName name="m_can">Stabilito!$D$27</definedName>
    <definedName name="m_int" localSheetId="0">Stabilito!$E$27</definedName>
    <definedName name="m_poudre">Propu!$J$2</definedName>
    <definedName name="m_prop">Abaco!$E$41:$E$67</definedName>
    <definedName name="m_satellite">Trajecto!$D$24</definedName>
    <definedName name="m_tot">Trajecto!$C$10</definedName>
    <definedName name="m_var">Abaco!$D$41:$D$67</definedName>
    <definedName name="m_vide">Trajecto!$C$24</definedName>
    <definedName name="Masse_ail">Controle!$H$63</definedName>
    <definedName name="MassePlein">Stabilito!$M$14</definedName>
    <definedName name="MasseSans">Stabilito!$P$14</definedName>
    <definedName name="MasseVide">Stabilito!$N$14</definedName>
    <definedName name="Menu_Empennage">Stabilito!$B$111:$B$112</definedName>
    <definedName name="Menu_Lang">Stabilito!$B$93:$B$94</definedName>
    <definedName name="Menu_Ogive">Stabilito!$B$107:$B$109</definedName>
    <definedName name="Menu_sat">Trajecto!$B$104:$B$105</definedName>
    <definedName name="Menu_Transitions">Stabilito!$B$114:$B$115</definedName>
    <definedName name="Menu_Type">Stabilito!$B$96:$B$100</definedName>
    <definedName name="Menu_with_motor">Stabilito!$B$103:$B$105</definedName>
    <definedName name="MpropuPlein">Propu!$H$2</definedName>
    <definedName name="MpropuVide">Propu!$L$2</definedName>
    <definedName name="MS_Cn_max">Stabilito!$I$30</definedName>
    <definedName name="MS_Cn_max0">Stabilito!#REF!</definedName>
    <definedName name="MS_Cn_min">Stabilito!$H$30</definedName>
    <definedName name="MS_Cn_min0">Stabilito!#REF!</definedName>
    <definedName name="MS_max">Stabilito!$I$29</definedName>
    <definedName name="MS_max0">Stabilito!#REF!</definedName>
    <definedName name="MS_min">Stabilito!$H$29</definedName>
    <definedName name="MS_min0">Stabilito!#REF!</definedName>
    <definedName name="n_ail">Stabilito!$C$28</definedName>
    <definedName name="n_can">Stabilito!$D$28</definedName>
    <definedName name="n_int" localSheetId="0">Stabilito!$E$28</definedName>
    <definedName name="Nb_diam">Stabilito!$M$4</definedName>
    <definedName name="Nb_sat">Trajecto!$D$23</definedName>
    <definedName name="Nom">Stabilito!$C$8</definedName>
    <definedName name="p_ail">Stabilito!$C$29</definedName>
    <definedName name="p_can">Stabilito!$D$29</definedName>
    <definedName name="p_int" localSheetId="0">Stabilito!$E$29</definedName>
    <definedName name="pas">Calculs!$A$4:$A$1004</definedName>
    <definedName name="Poids">Calculs!$T$4:$T$1004</definedName>
    <definedName name="Portee_balistique">Trajecto!$J$28</definedName>
    <definedName name="pos_x">Calculs!$J$4:$J$1004</definedName>
    <definedName name="pos_xz">Calculs!$L$4:$L$1004</definedName>
    <definedName name="pos_z">Calculs!$K$4:$K$1004</definedName>
    <definedName name="pos_z_montant">Calculs!$AE$4:$AE$1004</definedName>
    <definedName name="Poussee">Calculs!$Q$4:$Q$1004</definedName>
    <definedName name="Propu">Stabilito!$C$17</definedName>
    <definedName name="Q_ail">Stabilito!$C$32</definedName>
    <definedName name="Q_can">Stabilito!$D$32</definedName>
    <definedName name="Q_int" localSheetId="0">Stabilito!$E$32</definedName>
    <definedName name="Q_var">Abaco!$C$41:$C$67</definedName>
    <definedName name="R_rampe">Calculs!$U$4:$U$1004</definedName>
    <definedName name="Rho">Calculs!$V$4:$V$1004</definedName>
    <definedName name="Rho_moyen">Info!$E$53</definedName>
    <definedName name="S_ail">Controle!$H$64</definedName>
    <definedName name="S_para">Trajecto!$C$27</definedName>
    <definedName name="S_para_croix">Trajecto!$B$47</definedName>
    <definedName name="S_para_rond">Trajecto!$B$55</definedName>
    <definedName name="S_satellite">Trajecto!$D$27</definedName>
    <definedName name="Sref">Trajecto!$C$14</definedName>
    <definedName name="sS">Trajecto!$F$132</definedName>
    <definedName name="t">Calculs!$B$4:$B$1004</definedName>
    <definedName name="T_balistique">Trajecto!$H$28</definedName>
    <definedName name="T_ini">Trajecto!$H$40</definedName>
    <definedName name="T_para">Trajecto!$C$113</definedName>
    <definedName name="T_satellite">Trajecto!$D$26</definedName>
    <definedName name="Temps_culmi">Trajecto!$H$26</definedName>
    <definedName name="Temps_fin_propu">Propu!$X$3</definedName>
    <definedName name="Trainee">Calculs!$W$4:$W$1004</definedName>
    <definedName name="tT_fus">Trajecto!$F$133</definedName>
    <definedName name="tT_sat">Trajecto!$F$150</definedName>
    <definedName name="Type_fusee">Stabilito!$C$10</definedName>
    <definedName name="Type_masquage" localSheetId="5">Stabilito!$C$26</definedName>
    <definedName name="Type_masquage" localSheetId="0">Stabilito!$C$26</definedName>
    <definedName name="Type_propu">Propu!$V$2</definedName>
    <definedName name="V_ini">Trajecto!$K$40</definedName>
    <definedName name="V_ouv_sat">Trajecto!$K$25</definedName>
    <definedName name="V_ouverture">Trajecto!$K$27</definedName>
    <definedName name="V_para">Trajecto!$C$30</definedName>
    <definedName name="V_prop">Abaco!$K$41:$K$67</definedName>
    <definedName name="V_satellite">Trajecto!$D$30</definedName>
    <definedName name="V_vent">Trajecto!$C$29</definedName>
    <definedName name="V_vent_sat">Trajecto!$D$29</definedName>
    <definedName name="Version" localSheetId="0">Stabilito!$Q$36</definedName>
    <definedName name="Version" localSheetId="1">Trajecto!$N$35</definedName>
    <definedName name="Vit_culmi">Trajecto!$K$26</definedName>
    <definedName name="Vit_max">Trajecto!$K$24</definedName>
    <definedName name="vit_x">Calculs!$G$4:$G$1004</definedName>
    <definedName name="vit_xz">Calculs!$I$4:$I$1004</definedName>
    <definedName name="vit_z">Calculs!$H$4:$H$1004</definedName>
    <definedName name="Vsortie_de_rampe">Trajecto!$K$23</definedName>
    <definedName name="X_ail">Stabilito!$C$33</definedName>
    <definedName name="X_can">Stabilito!$D$33</definedName>
    <definedName name="X_culmi">Trajecto!$J$26</definedName>
    <definedName name="X_ini">Trajecto!$J$40</definedName>
    <definedName name="X_int" localSheetId="0">Stabilito!$E$33</definedName>
    <definedName name="X_j">Stabilito!$M$9</definedName>
    <definedName name="X_para">Trajecto!$J$27</definedName>
    <definedName name="X_r">Stabilito!$O$9</definedName>
    <definedName name="X_satellite">Trajecto!$J$25</definedName>
    <definedName name="XcgPlein">Stabilito!$M$15</definedName>
    <definedName name="XcgSans">Stabilito!$P$15</definedName>
    <definedName name="XcgVide">Stabilito!$N$15</definedName>
    <definedName name="XCp" localSheetId="0">Stabilito!$H$31</definedName>
    <definedName name="XCp0">Stabilito!$I$31</definedName>
    <definedName name="XCpa" localSheetId="0">Stabilito!$M$20</definedName>
    <definedName name="XCpai" localSheetId="0">Stabilito!$M$19</definedName>
    <definedName name="XCpai0">Stabilito!$N$19</definedName>
    <definedName name="XCpc" localSheetId="0">Stabilito!$M$21</definedName>
    <definedName name="XCpi" localSheetId="0">Stabilito!$M$22</definedName>
    <definedName name="XCpi0">Stabilito!$N$22</definedName>
    <definedName name="XCpj" localSheetId="0">Stabilito!$M$23</definedName>
    <definedName name="XCpo" localSheetId="0">Stabilito!$M$18</definedName>
    <definedName name="XCpr" localSheetId="0">Stabilito!$M$24</definedName>
    <definedName name="XpropuPlein">Propu!$N$2</definedName>
    <definedName name="XpropuRef">Stabilito!$C$18</definedName>
    <definedName name="XpropuVide">Propu!$P$2</definedName>
    <definedName name="Z_ini">Trajecto!$I$40</definedName>
    <definedName name="_xlnm.Print_Area" localSheetId="5">Abaco!$A$1:$M$35</definedName>
    <definedName name="_xlnm.Print_Area" localSheetId="2">Courbes!$A$1:$K$78</definedName>
    <definedName name="_xlnm.Print_Area" localSheetId="0">Stabilito!$A$1:$Q$37</definedName>
    <definedName name="_xlnm.Print_Area" localSheetId="1">Trajecto!$A$1:$N$35</definedName>
    <definedName name="zZ_fus">Trajecto!$F$134</definedName>
    <definedName name="zZ_sat">Trajecto!$F$151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6" l="1"/>
  <c r="C18" i="6" l="1"/>
  <c r="C18" i="1"/>
  <c r="H6" i="7"/>
  <c r="K25" i="7"/>
  <c r="H8" i="7"/>
  <c r="X307" i="4"/>
  <c r="W307" i="4"/>
  <c r="V307" i="4"/>
  <c r="U307" i="4"/>
  <c r="T307" i="4"/>
  <c r="S307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J304" i="4"/>
  <c r="B304" i="4"/>
  <c r="C19" i="6"/>
  <c r="L322" i="4"/>
  <c r="L324" i="4"/>
  <c r="L325" i="4"/>
  <c r="L326" i="4"/>
  <c r="L320" i="4"/>
  <c r="L319" i="4"/>
  <c r="L318" i="4"/>
  <c r="L317" i="4"/>
  <c r="I321" i="4"/>
  <c r="I320" i="4"/>
  <c r="I319" i="4"/>
  <c r="I318" i="4"/>
  <c r="I317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J148" i="4"/>
  <c r="B148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S98" i="4"/>
  <c r="T98" i="4"/>
  <c r="U98" i="4"/>
  <c r="V98" i="4"/>
  <c r="W98" i="4"/>
  <c r="X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103" i="4"/>
  <c r="C98" i="4"/>
  <c r="X104" i="4"/>
  <c r="X105" i="4" s="1"/>
  <c r="W104" i="4"/>
  <c r="V104" i="4"/>
  <c r="U104" i="4"/>
  <c r="T104" i="4"/>
  <c r="S104" i="4"/>
  <c r="R104" i="4"/>
  <c r="Q104" i="4"/>
  <c r="P105" i="4" s="1"/>
  <c r="P104" i="4"/>
  <c r="O104" i="4"/>
  <c r="N105" i="4" s="1"/>
  <c r="N104" i="4"/>
  <c r="M104" i="4"/>
  <c r="L104" i="4"/>
  <c r="K104" i="4"/>
  <c r="J105" i="4" s="1"/>
  <c r="J104" i="4"/>
  <c r="I105" i="4" s="1"/>
  <c r="I104" i="4"/>
  <c r="H104" i="4"/>
  <c r="G104" i="4"/>
  <c r="F104" i="4"/>
  <c r="E104" i="4"/>
  <c r="D104" i="4"/>
  <c r="C104" i="4"/>
  <c r="B105" i="4" s="1"/>
  <c r="B104" i="4"/>
  <c r="L102" i="4"/>
  <c r="H102" i="4"/>
  <c r="B102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100" i="4" s="1"/>
  <c r="E99" i="4"/>
  <c r="D99" i="4"/>
  <c r="C99" i="4"/>
  <c r="B99" i="4"/>
  <c r="L97" i="4"/>
  <c r="H97" i="4"/>
  <c r="B97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D92" i="4" s="1"/>
  <c r="F92" i="4" s="1"/>
  <c r="H95" i="4"/>
  <c r="G95" i="4"/>
  <c r="F95" i="4"/>
  <c r="E95" i="4"/>
  <c r="D95" i="4"/>
  <c r="C95" i="4"/>
  <c r="B95" i="4"/>
  <c r="J92" i="4"/>
  <c r="B92" i="4"/>
  <c r="O344" i="4"/>
  <c r="O343" i="4"/>
  <c r="O342" i="4"/>
  <c r="O341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J203" i="4"/>
  <c r="B203" i="4"/>
  <c r="E5" i="7"/>
  <c r="H7" i="7"/>
  <c r="E7" i="7"/>
  <c r="E6" i="7"/>
  <c r="H9" i="7"/>
  <c r="K23" i="7"/>
  <c r="J26" i="7"/>
  <c r="J25" i="7"/>
  <c r="J23" i="7"/>
  <c r="G27" i="7"/>
  <c r="G26" i="7"/>
  <c r="F26" i="7"/>
  <c r="G25" i="7"/>
  <c r="G24" i="7"/>
  <c r="F24" i="7"/>
  <c r="G23" i="7"/>
  <c r="F23" i="7"/>
  <c r="D27" i="7"/>
  <c r="D24" i="7"/>
  <c r="B31" i="6"/>
  <c r="B30" i="6"/>
  <c r="B29" i="6"/>
  <c r="B28" i="6"/>
  <c r="B27" i="6"/>
  <c r="B35" i="6"/>
  <c r="B34" i="6"/>
  <c r="B33" i="6"/>
  <c r="B32" i="6"/>
  <c r="U35" i="7"/>
  <c r="U34" i="7"/>
  <c r="U33" i="7"/>
  <c r="U32" i="7"/>
  <c r="U31" i="7"/>
  <c r="U30" i="7"/>
  <c r="P32" i="7"/>
  <c r="P31" i="7"/>
  <c r="Q34" i="7"/>
  <c r="P29" i="7"/>
  <c r="U20" i="7"/>
  <c r="Q17" i="7"/>
  <c r="U16" i="7"/>
  <c r="U13" i="7"/>
  <c r="Q12" i="7"/>
  <c r="U11" i="7"/>
  <c r="Q3" i="7"/>
  <c r="E17" i="7"/>
  <c r="E16" i="7"/>
  <c r="E15" i="7"/>
  <c r="E13" i="7"/>
  <c r="B52" i="1"/>
  <c r="B50" i="1"/>
  <c r="B55" i="1"/>
  <c r="D27" i="1"/>
  <c r="I69" i="7" s="1"/>
  <c r="D24" i="1"/>
  <c r="E29" i="1" s="1"/>
  <c r="C161" i="6"/>
  <c r="C162" i="6"/>
  <c r="C160" i="6"/>
  <c r="C159" i="6"/>
  <c r="C158" i="6"/>
  <c r="C25" i="6"/>
  <c r="M21" i="6"/>
  <c r="C140" i="6"/>
  <c r="D25" i="7"/>
  <c r="F108" i="1"/>
  <c r="C113" i="1" s="1"/>
  <c r="C152" i="1"/>
  <c r="C150" i="1"/>
  <c r="C148" i="1"/>
  <c r="N33" i="1"/>
  <c r="C131" i="1"/>
  <c r="B25" i="1"/>
  <c r="J30" i="6"/>
  <c r="E191" i="6" s="1"/>
  <c r="G30" i="6"/>
  <c r="E182" i="6" s="1"/>
  <c r="J29" i="6"/>
  <c r="B188" i="6" s="1"/>
  <c r="G29" i="6"/>
  <c r="J28" i="6"/>
  <c r="C185" i="6" s="1"/>
  <c r="J27" i="6"/>
  <c r="G28" i="6"/>
  <c r="G27" i="6"/>
  <c r="W35" i="6"/>
  <c r="B100" i="6"/>
  <c r="B97" i="6"/>
  <c r="B98" i="6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S240" i="4"/>
  <c r="T240" i="4" s="1"/>
  <c r="U240" i="4" s="1"/>
  <c r="V240" i="4" s="1"/>
  <c r="W240" i="4" s="1"/>
  <c r="S239" i="4"/>
  <c r="T239" i="4" s="1"/>
  <c r="J238" i="4"/>
  <c r="B238" i="4"/>
  <c r="O321" i="4"/>
  <c r="O320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V130" i="4"/>
  <c r="U131" i="4" s="1"/>
  <c r="T131" i="4"/>
  <c r="J128" i="4"/>
  <c r="B128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T125" i="4"/>
  <c r="S126" i="4" s="1"/>
  <c r="J123" i="4"/>
  <c r="B123" i="4"/>
  <c r="O340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V255" i="4"/>
  <c r="W255" i="4" s="1"/>
  <c r="V254" i="4"/>
  <c r="W254" i="4" s="1"/>
  <c r="X254" i="4" s="1"/>
  <c r="J253" i="4"/>
  <c r="B253" i="4"/>
  <c r="O337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S235" i="4"/>
  <c r="T235" i="4" s="1"/>
  <c r="S234" i="4"/>
  <c r="R236" i="4" s="1"/>
  <c r="J233" i="4"/>
  <c r="B233" i="4"/>
  <c r="O346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S211" i="4"/>
  <c r="R211" i="4"/>
  <c r="J208" i="4"/>
  <c r="B208" i="4"/>
  <c r="O336" i="4"/>
  <c r="O335" i="4"/>
  <c r="O334" i="4"/>
  <c r="O333" i="4"/>
  <c r="O338" i="4"/>
  <c r="O339" i="4"/>
  <c r="O345" i="4"/>
  <c r="O323" i="4"/>
  <c r="O324" i="4"/>
  <c r="O325" i="4"/>
  <c r="O326" i="4"/>
  <c r="O327" i="4"/>
  <c r="O319" i="4"/>
  <c r="O322" i="4"/>
  <c r="O328" i="4"/>
  <c r="O329" i="4"/>
  <c r="O330" i="4"/>
  <c r="O331" i="4"/>
  <c r="O332" i="4"/>
  <c r="O318" i="4"/>
  <c r="O317" i="4"/>
  <c r="U256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D228" i="4" s="1"/>
  <c r="F228" i="4" s="1"/>
  <c r="G231" i="4"/>
  <c r="F231" i="4"/>
  <c r="E231" i="4"/>
  <c r="D231" i="4"/>
  <c r="C231" i="4"/>
  <c r="B231" i="4"/>
  <c r="J228" i="4"/>
  <c r="B228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T225" i="4"/>
  <c r="U225" i="4" s="1"/>
  <c r="R226" i="4"/>
  <c r="T224" i="4"/>
  <c r="U224" i="4" s="1"/>
  <c r="V224" i="4" s="1"/>
  <c r="W224" i="4" s="1"/>
  <c r="J223" i="4"/>
  <c r="B223" i="4"/>
  <c r="V249" i="4"/>
  <c r="W249" i="4" s="1"/>
  <c r="W244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J248" i="4"/>
  <c r="B248" i="4"/>
  <c r="J246" i="4"/>
  <c r="I246" i="4"/>
  <c r="H246" i="4"/>
  <c r="G246" i="4"/>
  <c r="F246" i="4"/>
  <c r="E246" i="4"/>
  <c r="D246" i="4"/>
  <c r="C246" i="4"/>
  <c r="B246" i="4"/>
  <c r="J243" i="4"/>
  <c r="B243" i="4"/>
  <c r="L194" i="4"/>
  <c r="K196" i="4" s="1"/>
  <c r="R334" i="4"/>
  <c r="R335" i="4"/>
  <c r="R336" i="4"/>
  <c r="R337" i="4"/>
  <c r="R338" i="4"/>
  <c r="R339" i="4"/>
  <c r="S195" i="4"/>
  <c r="T195" i="4" s="1"/>
  <c r="U195" i="4" s="1"/>
  <c r="V195" i="4" s="1"/>
  <c r="W195" i="4" s="1"/>
  <c r="X195" i="4" s="1"/>
  <c r="X196" i="4" s="1"/>
  <c r="J196" i="4"/>
  <c r="I196" i="4"/>
  <c r="H196" i="4"/>
  <c r="G196" i="4"/>
  <c r="F196" i="4"/>
  <c r="E196" i="4"/>
  <c r="D196" i="4"/>
  <c r="C196" i="4"/>
  <c r="B196" i="4"/>
  <c r="J193" i="4"/>
  <c r="B193" i="4"/>
  <c r="S200" i="4"/>
  <c r="T200" i="4" s="1"/>
  <c r="S199" i="4"/>
  <c r="T199" i="4" s="1"/>
  <c r="U199" i="4" s="1"/>
  <c r="V199" i="4" s="1"/>
  <c r="W199" i="4" s="1"/>
  <c r="X199" i="4" s="1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J198" i="4"/>
  <c r="B198" i="4"/>
  <c r="B213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S215" i="4"/>
  <c r="T215" i="4" s="1"/>
  <c r="S214" i="4"/>
  <c r="J213" i="4"/>
  <c r="A2" i="4"/>
  <c r="B133" i="4"/>
  <c r="B4" i="3"/>
  <c r="AC4" i="3" s="1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J133" i="4"/>
  <c r="N4" i="3"/>
  <c r="M4" i="3" s="1"/>
  <c r="H4" i="3" s="1"/>
  <c r="J4" i="3"/>
  <c r="K4" i="3"/>
  <c r="V4" i="3" s="1"/>
  <c r="I4" i="3"/>
  <c r="B113" i="4"/>
  <c r="M18" i="6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U115" i="4"/>
  <c r="T116" i="4" s="1"/>
  <c r="J113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T165" i="4"/>
  <c r="S166" i="4" s="1"/>
  <c r="X164" i="4"/>
  <c r="L163" i="4"/>
  <c r="J163" i="4" s="1"/>
  <c r="B47" i="1"/>
  <c r="C27" i="1" s="1"/>
  <c r="D29" i="1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J26" i="4"/>
  <c r="B34" i="4"/>
  <c r="C34" i="4"/>
  <c r="D34" i="4"/>
  <c r="D31" i="4" s="1"/>
  <c r="F31" i="4" s="1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J31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J36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J41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J46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J51" i="4"/>
  <c r="B59" i="4"/>
  <c r="C59" i="4"/>
  <c r="D59" i="4"/>
  <c r="E59" i="4"/>
  <c r="F59" i="4"/>
  <c r="G59" i="4"/>
  <c r="H59" i="4"/>
  <c r="I59" i="4"/>
  <c r="D56" i="4" s="1"/>
  <c r="F56" i="4" s="1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J56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J61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J67" i="4"/>
  <c r="B75" i="4"/>
  <c r="C75" i="4"/>
  <c r="D75" i="4"/>
  <c r="E75" i="4"/>
  <c r="F75" i="4"/>
  <c r="G75" i="4"/>
  <c r="H75" i="4"/>
  <c r="I75" i="4"/>
  <c r="D72" i="4" s="1"/>
  <c r="F72" i="4" s="1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J72" i="4"/>
  <c r="B80" i="4"/>
  <c r="C80" i="4"/>
  <c r="D80" i="4"/>
  <c r="D77" i="4" s="1"/>
  <c r="F77" i="4" s="1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J77" i="4"/>
  <c r="C84" i="4"/>
  <c r="B84" i="4"/>
  <c r="D84" i="4"/>
  <c r="D85" i="4" s="1"/>
  <c r="E84" i="4"/>
  <c r="F84" i="4"/>
  <c r="E85" i="4" s="1"/>
  <c r="G84" i="4"/>
  <c r="F85" i="4" s="1"/>
  <c r="H84" i="4"/>
  <c r="I84" i="4"/>
  <c r="J84" i="4"/>
  <c r="K84" i="4"/>
  <c r="L84" i="4"/>
  <c r="L85" i="4" s="1"/>
  <c r="M84" i="4"/>
  <c r="N84" i="4"/>
  <c r="O84" i="4"/>
  <c r="N85" i="4" s="1"/>
  <c r="P84" i="4"/>
  <c r="O85" i="4" s="1"/>
  <c r="Q84" i="4"/>
  <c r="R84" i="4"/>
  <c r="S84" i="4"/>
  <c r="T84" i="4"/>
  <c r="U84" i="4"/>
  <c r="V84" i="4"/>
  <c r="W84" i="4"/>
  <c r="V85" i="4" s="1"/>
  <c r="X84" i="4"/>
  <c r="H82" i="4"/>
  <c r="L82" i="4"/>
  <c r="C89" i="4"/>
  <c r="B89" i="4"/>
  <c r="D89" i="4"/>
  <c r="E89" i="4"/>
  <c r="F89" i="4"/>
  <c r="G89" i="4"/>
  <c r="F90" i="4" s="1"/>
  <c r="H89" i="4"/>
  <c r="G90" i="4" s="1"/>
  <c r="I89" i="4"/>
  <c r="J89" i="4"/>
  <c r="K89" i="4"/>
  <c r="K90" i="4" s="1"/>
  <c r="L89" i="4"/>
  <c r="M89" i="4"/>
  <c r="N89" i="4"/>
  <c r="O89" i="4"/>
  <c r="P89" i="4"/>
  <c r="O90" i="4" s="1"/>
  <c r="Q89" i="4"/>
  <c r="R89" i="4"/>
  <c r="S89" i="4"/>
  <c r="S90" i="4" s="1"/>
  <c r="T89" i="4"/>
  <c r="U89" i="4"/>
  <c r="V89" i="4"/>
  <c r="W89" i="4"/>
  <c r="V90" i="4" s="1"/>
  <c r="X89" i="4"/>
  <c r="X90" i="4" s="1"/>
  <c r="H87" i="4"/>
  <c r="L87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T110" i="4"/>
  <c r="S111" i="4" s="1"/>
  <c r="J108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T120" i="4"/>
  <c r="S121" i="4" s="1"/>
  <c r="J118" i="4"/>
  <c r="B141" i="4"/>
  <c r="C141" i="4"/>
  <c r="D141" i="4"/>
  <c r="D138" i="4" s="1"/>
  <c r="F138" i="4" s="1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J138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J143" i="4"/>
  <c r="B156" i="4"/>
  <c r="C156" i="4"/>
  <c r="D156" i="4"/>
  <c r="D153" i="4" s="1"/>
  <c r="F153" i="4" s="1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J153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J158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J168" i="4"/>
  <c r="B176" i="4"/>
  <c r="C176" i="4"/>
  <c r="D176" i="4"/>
  <c r="E176" i="4"/>
  <c r="F176" i="4"/>
  <c r="G176" i="4"/>
  <c r="H176" i="4"/>
  <c r="I176" i="4"/>
  <c r="D173" i="4" s="1"/>
  <c r="F173" i="4" s="1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J173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J178" i="4"/>
  <c r="B186" i="4"/>
  <c r="C186" i="4"/>
  <c r="D186" i="4"/>
  <c r="E186" i="4"/>
  <c r="F186" i="4"/>
  <c r="G186" i="4"/>
  <c r="H186" i="4"/>
  <c r="I186" i="4"/>
  <c r="D183" i="4" s="1"/>
  <c r="F183" i="4" s="1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J183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T190" i="4"/>
  <c r="U190" i="4" s="1"/>
  <c r="X189" i="4"/>
  <c r="L188" i="4"/>
  <c r="J188" i="4" s="1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J218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J258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J263" i="4"/>
  <c r="B272" i="4"/>
  <c r="C272" i="4"/>
  <c r="D269" i="4" s="1"/>
  <c r="F269" i="4" s="1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J269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J274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J279" i="4"/>
  <c r="B287" i="4"/>
  <c r="D284" i="4" s="1"/>
  <c r="F284" i="4" s="1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J284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J289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J294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J299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J309" i="4"/>
  <c r="A316" i="4"/>
  <c r="B26" i="4"/>
  <c r="N26" i="4"/>
  <c r="B31" i="4"/>
  <c r="N31" i="4"/>
  <c r="B36" i="4"/>
  <c r="N36" i="4"/>
  <c r="B41" i="4"/>
  <c r="N41" i="4"/>
  <c r="B46" i="4"/>
  <c r="N46" i="4"/>
  <c r="B51" i="4"/>
  <c r="N51" i="4"/>
  <c r="B56" i="4"/>
  <c r="N56" i="4"/>
  <c r="B61" i="4"/>
  <c r="N61" i="4"/>
  <c r="B67" i="4"/>
  <c r="B72" i="4"/>
  <c r="B77" i="4"/>
  <c r="B82" i="4"/>
  <c r="B87" i="4"/>
  <c r="B108" i="4"/>
  <c r="B118" i="4"/>
  <c r="B138" i="4"/>
  <c r="B143" i="4"/>
  <c r="B153" i="4"/>
  <c r="B158" i="4"/>
  <c r="B163" i="4"/>
  <c r="B168" i="4"/>
  <c r="B173" i="4"/>
  <c r="B178" i="4"/>
  <c r="B183" i="4"/>
  <c r="B188" i="4"/>
  <c r="B218" i="4"/>
  <c r="B258" i="4"/>
  <c r="B263" i="4"/>
  <c r="B269" i="4"/>
  <c r="B274" i="4"/>
  <c r="B279" i="4"/>
  <c r="B284" i="4"/>
  <c r="B289" i="4"/>
  <c r="B294" i="4"/>
  <c r="B299" i="4"/>
  <c r="B309" i="4"/>
  <c r="E116" i="7"/>
  <c r="F85" i="7"/>
  <c r="H118" i="7"/>
  <c r="H111" i="7"/>
  <c r="E102" i="7"/>
  <c r="E103" i="7"/>
  <c r="E104" i="7"/>
  <c r="E100" i="7"/>
  <c r="H105" i="7"/>
  <c r="J105" i="7"/>
  <c r="J101" i="7"/>
  <c r="F97" i="7"/>
  <c r="J92" i="7"/>
  <c r="J88" i="7"/>
  <c r="J86" i="7"/>
  <c r="J84" i="7"/>
  <c r="F90" i="7"/>
  <c r="F82" i="7"/>
  <c r="D85" i="7"/>
  <c r="D83" i="7"/>
  <c r="D81" i="7"/>
  <c r="D80" i="7"/>
  <c r="B19" i="6"/>
  <c r="F321" i="4"/>
  <c r="F320" i="4"/>
  <c r="C21" i="5"/>
  <c r="C20" i="5"/>
  <c r="C26" i="5"/>
  <c r="C22" i="5"/>
  <c r="C17" i="5"/>
  <c r="C19" i="5"/>
  <c r="C16" i="5"/>
  <c r="C15" i="5"/>
  <c r="L2" i="6"/>
  <c r="C317" i="4"/>
  <c r="F317" i="4"/>
  <c r="R317" i="4"/>
  <c r="C318" i="4"/>
  <c r="F318" i="4"/>
  <c r="R318" i="4"/>
  <c r="C319" i="4"/>
  <c r="F319" i="4"/>
  <c r="C320" i="4"/>
  <c r="C321" i="4"/>
  <c r="C322" i="4"/>
  <c r="C323" i="4"/>
  <c r="C324" i="4"/>
  <c r="B146" i="2"/>
  <c r="B35" i="1"/>
  <c r="B36" i="6"/>
  <c r="B15" i="8"/>
  <c r="B76" i="2"/>
  <c r="B11" i="8"/>
  <c r="B107" i="1"/>
  <c r="F42" i="5"/>
  <c r="B71" i="8"/>
  <c r="B78" i="8"/>
  <c r="C5" i="8"/>
  <c r="B76" i="8"/>
  <c r="B74" i="8"/>
  <c r="B73" i="8"/>
  <c r="B10" i="8"/>
  <c r="C4" i="8"/>
  <c r="C16" i="8"/>
  <c r="C14" i="8"/>
  <c r="C12" i="8"/>
  <c r="B12" i="8"/>
  <c r="C9" i="8"/>
  <c r="C8" i="8"/>
  <c r="B8" i="8"/>
  <c r="C7" i="8"/>
  <c r="N36" i="6"/>
  <c r="C51" i="5"/>
  <c r="C53" i="5"/>
  <c r="T18" i="6"/>
  <c r="S17" i="6"/>
  <c r="S19" i="6"/>
  <c r="S18" i="6"/>
  <c r="S13" i="6"/>
  <c r="S14" i="6"/>
  <c r="S12" i="6"/>
  <c r="T16" i="6"/>
  <c r="T11" i="6"/>
  <c r="L38" i="6"/>
  <c r="B93" i="1"/>
  <c r="B79" i="2"/>
  <c r="H64" i="7"/>
  <c r="H63" i="7" s="1"/>
  <c r="E59" i="7"/>
  <c r="E55" i="7"/>
  <c r="H52" i="7"/>
  <c r="D45" i="7"/>
  <c r="E44" i="7"/>
  <c r="D44" i="7"/>
  <c r="E46" i="7"/>
  <c r="D46" i="7"/>
  <c r="E43" i="7"/>
  <c r="D43" i="7"/>
  <c r="E41" i="7"/>
  <c r="E50" i="7"/>
  <c r="E48" i="7"/>
  <c r="E47" i="7"/>
  <c r="H50" i="7"/>
  <c r="E51" i="7"/>
  <c r="C31" i="7"/>
  <c r="C5" i="5"/>
  <c r="C6" i="5"/>
  <c r="C7" i="5"/>
  <c r="C8" i="5"/>
  <c r="C10" i="5"/>
  <c r="C11" i="5"/>
  <c r="C12" i="5"/>
  <c r="C13" i="5"/>
  <c r="C23" i="5"/>
  <c r="C25" i="5"/>
  <c r="C28" i="5"/>
  <c r="C33" i="5"/>
  <c r="F34" i="5"/>
  <c r="F35" i="5"/>
  <c r="F36" i="5"/>
  <c r="F37" i="5"/>
  <c r="F38" i="5"/>
  <c r="F39" i="5"/>
  <c r="F40" i="5"/>
  <c r="C52" i="5"/>
  <c r="A1" i="4"/>
  <c r="A3" i="4"/>
  <c r="A4" i="4"/>
  <c r="B77" i="2"/>
  <c r="B78" i="2"/>
  <c r="B131" i="2"/>
  <c r="B133" i="2"/>
  <c r="B134" i="2"/>
  <c r="B135" i="2"/>
  <c r="B137" i="2"/>
  <c r="B138" i="2"/>
  <c r="B140" i="2"/>
  <c r="B141" i="2"/>
  <c r="B144" i="2"/>
  <c r="C4" i="1"/>
  <c r="C6" i="1"/>
  <c r="C7" i="1"/>
  <c r="C23" i="1" s="1"/>
  <c r="B8" i="1"/>
  <c r="C8" i="1"/>
  <c r="C9" i="1"/>
  <c r="B10" i="1"/>
  <c r="B11" i="1"/>
  <c r="C11" i="1"/>
  <c r="C13" i="1"/>
  <c r="C17" i="1"/>
  <c r="B18" i="1"/>
  <c r="B19" i="1"/>
  <c r="C22" i="1"/>
  <c r="G22" i="1"/>
  <c r="H22" i="1"/>
  <c r="J22" i="1"/>
  <c r="K22" i="1"/>
  <c r="F23" i="1"/>
  <c r="B24" i="1"/>
  <c r="F24" i="1"/>
  <c r="B26" i="1"/>
  <c r="F25" i="1"/>
  <c r="H25" i="1"/>
  <c r="F27" i="1"/>
  <c r="B29" i="1"/>
  <c r="F28" i="1"/>
  <c r="B30" i="1"/>
  <c r="B31" i="1"/>
  <c r="H31" i="1"/>
  <c r="B32" i="1"/>
  <c r="F32" i="1"/>
  <c r="B33" i="1"/>
  <c r="F33" i="1"/>
  <c r="F34" i="1"/>
  <c r="A38" i="1"/>
  <c r="F38" i="1"/>
  <c r="H38" i="1"/>
  <c r="J38" i="1"/>
  <c r="K38" i="1"/>
  <c r="F40" i="1"/>
  <c r="M40" i="1"/>
  <c r="F41" i="1"/>
  <c r="B42" i="1"/>
  <c r="F42" i="1"/>
  <c r="F43" i="1"/>
  <c r="B44" i="1"/>
  <c r="F45" i="1"/>
  <c r="F46" i="1"/>
  <c r="F47" i="1"/>
  <c r="L47" i="1"/>
  <c r="F48" i="1"/>
  <c r="H48" i="1"/>
  <c r="F49" i="1"/>
  <c r="I49" i="1"/>
  <c r="L49" i="1"/>
  <c r="M49" i="1"/>
  <c r="B102" i="1"/>
  <c r="B109" i="1"/>
  <c r="B110" i="1"/>
  <c r="B111" i="1"/>
  <c r="B112" i="1"/>
  <c r="B113" i="1"/>
  <c r="B117" i="1"/>
  <c r="C140" i="1"/>
  <c r="C142" i="1"/>
  <c r="C144" i="1"/>
  <c r="B148" i="1"/>
  <c r="C4" i="6"/>
  <c r="C6" i="6"/>
  <c r="L6" i="6"/>
  <c r="C7" i="6"/>
  <c r="L7" i="6"/>
  <c r="B8" i="6"/>
  <c r="L8" i="6"/>
  <c r="L9" i="6"/>
  <c r="B11" i="6"/>
  <c r="M11" i="6"/>
  <c r="N11" i="6"/>
  <c r="P11" i="6"/>
  <c r="B12" i="6"/>
  <c r="L12" i="6"/>
  <c r="B13" i="6"/>
  <c r="L13" i="6"/>
  <c r="B14" i="6"/>
  <c r="L14" i="6"/>
  <c r="L15" i="6"/>
  <c r="C16" i="6"/>
  <c r="B18" i="6"/>
  <c r="L18" i="6"/>
  <c r="L19" i="6"/>
  <c r="C20" i="6"/>
  <c r="L20" i="6"/>
  <c r="B21" i="6"/>
  <c r="L21" i="6"/>
  <c r="B22" i="6"/>
  <c r="L22" i="6"/>
  <c r="B23" i="6"/>
  <c r="D25" i="6"/>
  <c r="F26" i="6"/>
  <c r="H26" i="6"/>
  <c r="E27" i="6"/>
  <c r="F28" i="6"/>
  <c r="F29" i="6"/>
  <c r="F30" i="6"/>
  <c r="E31" i="6"/>
  <c r="E32" i="6"/>
  <c r="D35" i="6"/>
  <c r="B91" i="6"/>
  <c r="B96" i="6"/>
  <c r="B103" i="6"/>
  <c r="B104" i="6"/>
  <c r="B105" i="6"/>
  <c r="B107" i="6"/>
  <c r="B108" i="6"/>
  <c r="B109" i="6"/>
  <c r="B114" i="6"/>
  <c r="B115" i="6"/>
  <c r="B117" i="6"/>
  <c r="B118" i="6"/>
  <c r="B119" i="6"/>
  <c r="B121" i="6"/>
  <c r="C124" i="6"/>
  <c r="E124" i="6"/>
  <c r="C125" i="6"/>
  <c r="C126" i="6" s="1"/>
  <c r="C127" i="6" s="1"/>
  <c r="D125" i="6"/>
  <c r="E125" i="6" s="1"/>
  <c r="C130" i="6"/>
  <c r="C131" i="6"/>
  <c r="E131" i="6"/>
  <c r="B137" i="6"/>
  <c r="B140" i="6"/>
  <c r="B146" i="6"/>
  <c r="B155" i="6"/>
  <c r="E175" i="6"/>
  <c r="C176" i="6"/>
  <c r="F176" i="6"/>
  <c r="G176" i="6"/>
  <c r="D176" i="6" s="1"/>
  <c r="E176" i="6" s="1"/>
  <c r="H176" i="6"/>
  <c r="C177" i="6"/>
  <c r="F177" i="6"/>
  <c r="G177" i="6"/>
  <c r="D177" i="6" s="1"/>
  <c r="E177" i="6" s="1"/>
  <c r="H177" i="6"/>
  <c r="C178" i="6"/>
  <c r="F178" i="6"/>
  <c r="G178" i="6"/>
  <c r="H178" i="6"/>
  <c r="C179" i="6"/>
  <c r="F179" i="6"/>
  <c r="G179" i="6"/>
  <c r="D179" i="6" s="1"/>
  <c r="E179" i="6" s="1"/>
  <c r="H179" i="6"/>
  <c r="C180" i="6"/>
  <c r="D180" i="6"/>
  <c r="E180" i="6" s="1"/>
  <c r="F180" i="6"/>
  <c r="G180" i="6"/>
  <c r="H180" i="6"/>
  <c r="U120" i="4"/>
  <c r="T121" i="4" s="1"/>
  <c r="W85" i="4"/>
  <c r="U85" i="4"/>
  <c r="M85" i="4"/>
  <c r="G85" i="4"/>
  <c r="V115" i="4"/>
  <c r="D133" i="4"/>
  <c r="F133" i="4" s="1"/>
  <c r="J87" i="4"/>
  <c r="Q90" i="4"/>
  <c r="I90" i="4"/>
  <c r="T214" i="4"/>
  <c r="U214" i="4" s="1"/>
  <c r="V214" i="4" s="1"/>
  <c r="W214" i="4" s="1"/>
  <c r="D263" i="4"/>
  <c r="F263" i="4" s="1"/>
  <c r="X85" i="4"/>
  <c r="T85" i="4"/>
  <c r="R85" i="4"/>
  <c r="P85" i="4"/>
  <c r="J85" i="4"/>
  <c r="H85" i="4"/>
  <c r="B85" i="4"/>
  <c r="V120" i="4"/>
  <c r="W120" i="4" s="1"/>
  <c r="T90" i="4"/>
  <c r="R90" i="4"/>
  <c r="N90" i="4"/>
  <c r="L90" i="4"/>
  <c r="D90" i="4"/>
  <c r="D51" i="4"/>
  <c r="F51" i="4" s="1"/>
  <c r="D36" i="4"/>
  <c r="F36" i="4" s="1"/>
  <c r="U165" i="4"/>
  <c r="T166" i="4" s="1"/>
  <c r="R201" i="4"/>
  <c r="T211" i="4"/>
  <c r="S226" i="4"/>
  <c r="S251" i="4"/>
  <c r="L246" i="4"/>
  <c r="K246" i="4"/>
  <c r="R251" i="4"/>
  <c r="U116" i="4"/>
  <c r="W115" i="4"/>
  <c r="X115" i="4" s="1"/>
  <c r="V116" i="4"/>
  <c r="U211" i="4"/>
  <c r="M246" i="4"/>
  <c r="V250" i="4"/>
  <c r="U251" i="4" s="1"/>
  <c r="T251" i="4"/>
  <c r="V211" i="4"/>
  <c r="N246" i="4"/>
  <c r="X245" i="4"/>
  <c r="X246" i="4" s="1"/>
  <c r="W211" i="4"/>
  <c r="X211" i="4"/>
  <c r="O246" i="4"/>
  <c r="P246" i="4"/>
  <c r="Q246" i="4"/>
  <c r="R246" i="4"/>
  <c r="S246" i="4"/>
  <c r="T246" i="4"/>
  <c r="U246" i="4"/>
  <c r="X244" i="4"/>
  <c r="V246" i="4"/>
  <c r="W130" i="4"/>
  <c r="V131" i="4" s="1"/>
  <c r="U125" i="4"/>
  <c r="V125" i="4" s="1"/>
  <c r="R241" i="4"/>
  <c r="T126" i="4"/>
  <c r="C163" i="6"/>
  <c r="S191" i="4"/>
  <c r="O21" i="6"/>
  <c r="C167" i="6"/>
  <c r="C166" i="6"/>
  <c r="D161" i="6"/>
  <c r="E161" i="6" s="1"/>
  <c r="D158" i="6"/>
  <c r="E158" i="6" s="1"/>
  <c r="D162" i="6"/>
  <c r="E162" i="6" s="1"/>
  <c r="D160" i="6"/>
  <c r="E160" i="6" s="1"/>
  <c r="D159" i="6"/>
  <c r="E159" i="6" s="1"/>
  <c r="D166" i="6"/>
  <c r="E166" i="6" s="1"/>
  <c r="D167" i="6"/>
  <c r="E167" i="6" s="1"/>
  <c r="D163" i="6"/>
  <c r="E163" i="6" s="1"/>
  <c r="D165" i="6"/>
  <c r="E165" i="6" s="1"/>
  <c r="D164" i="6"/>
  <c r="E164" i="6" s="1"/>
  <c r="C165" i="6"/>
  <c r="O22" i="6"/>
  <c r="M22" i="6"/>
  <c r="C164" i="6"/>
  <c r="S206" i="4"/>
  <c r="R206" i="4"/>
  <c r="T206" i="4"/>
  <c r="U206" i="4"/>
  <c r="X205" i="4"/>
  <c r="W206" i="4" s="1"/>
  <c r="V206" i="4"/>
  <c r="X100" i="4"/>
  <c r="L105" i="4"/>
  <c r="C105" i="4"/>
  <c r="G105" i="4"/>
  <c r="K105" i="4"/>
  <c r="O105" i="4"/>
  <c r="S100" i="4"/>
  <c r="U100" i="4"/>
  <c r="H100" i="4"/>
  <c r="Q100" i="4"/>
  <c r="Q105" i="4"/>
  <c r="C128" i="6" l="1"/>
  <c r="C129" i="6" s="1"/>
  <c r="K26" i="7"/>
  <c r="D34" i="6"/>
  <c r="F25" i="7"/>
  <c r="C35" i="6"/>
  <c r="E45" i="7"/>
  <c r="B143" i="6"/>
  <c r="J97" i="7"/>
  <c r="C133" i="6"/>
  <c r="E188" i="6"/>
  <c r="E192" i="6"/>
  <c r="C184" i="6"/>
  <c r="C197" i="6"/>
  <c r="B197" i="6" s="1"/>
  <c r="C198" i="6"/>
  <c r="B189" i="6"/>
  <c r="E127" i="7"/>
  <c r="H69" i="7"/>
  <c r="E8" i="7"/>
  <c r="C148" i="6"/>
  <c r="V165" i="4"/>
  <c r="U166" i="4" s="1"/>
  <c r="J90" i="4"/>
  <c r="W90" i="4"/>
  <c r="D178" i="4"/>
  <c r="F178" i="4" s="1"/>
  <c r="D168" i="4"/>
  <c r="F168" i="4" s="1"/>
  <c r="D158" i="4"/>
  <c r="F158" i="4" s="1"/>
  <c r="D143" i="4"/>
  <c r="F143" i="4" s="1"/>
  <c r="P90" i="4"/>
  <c r="H90" i="4"/>
  <c r="J82" i="4"/>
  <c r="Q85" i="4"/>
  <c r="I85" i="4"/>
  <c r="T234" i="4"/>
  <c r="U234" i="4" s="1"/>
  <c r="V234" i="4" s="1"/>
  <c r="W234" i="4" s="1"/>
  <c r="L100" i="4"/>
  <c r="R105" i="4"/>
  <c r="L4" i="3"/>
  <c r="B79" i="8"/>
  <c r="M194" i="4"/>
  <c r="V100" i="4"/>
  <c r="E105" i="4"/>
  <c r="S105" i="4"/>
  <c r="D279" i="4"/>
  <c r="F279" i="4" s="1"/>
  <c r="U90" i="4"/>
  <c r="E90" i="4"/>
  <c r="G100" i="4"/>
  <c r="P100" i="4"/>
  <c r="T105" i="4"/>
  <c r="B77" i="8"/>
  <c r="D274" i="4"/>
  <c r="F274" i="4" s="1"/>
  <c r="D258" i="4"/>
  <c r="F258" i="4" s="1"/>
  <c r="D218" i="4"/>
  <c r="F218" i="4" s="1"/>
  <c r="M90" i="4"/>
  <c r="C182" i="6"/>
  <c r="R216" i="4"/>
  <c r="M20" i="6"/>
  <c r="B100" i="4"/>
  <c r="J100" i="4"/>
  <c r="C136" i="6"/>
  <c r="C90" i="4"/>
  <c r="S85" i="4"/>
  <c r="K85" i="4"/>
  <c r="D67" i="4"/>
  <c r="F67" i="4" s="1"/>
  <c r="D61" i="4"/>
  <c r="F61" i="4" s="1"/>
  <c r="D46" i="4"/>
  <c r="F46" i="4" s="1"/>
  <c r="D41" i="4"/>
  <c r="F41" i="4" s="1"/>
  <c r="D26" i="4"/>
  <c r="F26" i="4" s="1"/>
  <c r="R100" i="4"/>
  <c r="E185" i="6"/>
  <c r="W116" i="4"/>
  <c r="D113" i="4" s="1"/>
  <c r="F113" i="4" s="1"/>
  <c r="X116" i="4"/>
  <c r="X120" i="4"/>
  <c r="V121" i="4"/>
  <c r="U239" i="4"/>
  <c r="V239" i="4" s="1"/>
  <c r="W239" i="4" s="1"/>
  <c r="X239" i="4" s="1"/>
  <c r="S241" i="4"/>
  <c r="U126" i="4"/>
  <c r="W125" i="4"/>
  <c r="S216" i="4"/>
  <c r="U215" i="4"/>
  <c r="T216" i="4" s="1"/>
  <c r="D309" i="4"/>
  <c r="F309" i="4" s="1"/>
  <c r="D299" i="4"/>
  <c r="F299" i="4" s="1"/>
  <c r="D294" i="4"/>
  <c r="F294" i="4" s="1"/>
  <c r="D208" i="4"/>
  <c r="F208" i="4" s="1"/>
  <c r="B90" i="4"/>
  <c r="W165" i="4"/>
  <c r="U121" i="4"/>
  <c r="U110" i="4"/>
  <c r="J97" i="4"/>
  <c r="F100" i="4"/>
  <c r="N100" i="4"/>
  <c r="T100" i="4"/>
  <c r="V105" i="4"/>
  <c r="T241" i="4"/>
  <c r="C100" i="4"/>
  <c r="W100" i="4"/>
  <c r="H105" i="4"/>
  <c r="U105" i="4"/>
  <c r="D126" i="6"/>
  <c r="W250" i="4"/>
  <c r="X250" i="4" s="1"/>
  <c r="X251" i="4" s="1"/>
  <c r="D289" i="4"/>
  <c r="F289" i="4" s="1"/>
  <c r="X130" i="4"/>
  <c r="W246" i="4"/>
  <c r="D243" i="4" s="1"/>
  <c r="F243" i="4" s="1"/>
  <c r="C85" i="4"/>
  <c r="B199" i="6"/>
  <c r="D100" i="4"/>
  <c r="J102" i="4"/>
  <c r="F105" i="4"/>
  <c r="M105" i="4"/>
  <c r="E186" i="6"/>
  <c r="E187" i="6"/>
  <c r="J24" i="7"/>
  <c r="D304" i="4"/>
  <c r="F304" i="4" s="1"/>
  <c r="U200" i="4"/>
  <c r="S201" i="4"/>
  <c r="T191" i="4"/>
  <c r="V190" i="4"/>
  <c r="T226" i="4"/>
  <c r="V225" i="4"/>
  <c r="X255" i="4"/>
  <c r="V256" i="4"/>
  <c r="X240" i="4"/>
  <c r="W251" i="4"/>
  <c r="U235" i="4"/>
  <c r="K100" i="4"/>
  <c r="M100" i="4"/>
  <c r="O100" i="4"/>
  <c r="D105" i="4"/>
  <c r="W105" i="4"/>
  <c r="I100" i="4"/>
  <c r="X206" i="4"/>
  <c r="D203" i="4" s="1"/>
  <c r="F203" i="4" s="1"/>
  <c r="V215" i="4"/>
  <c r="B2" i="4"/>
  <c r="M24" i="6"/>
  <c r="K24" i="7"/>
  <c r="F94" i="7"/>
  <c r="M23" i="6"/>
  <c r="B57" i="8"/>
  <c r="C57" i="8" s="1"/>
  <c r="C14" i="1"/>
  <c r="H51" i="7" s="1"/>
  <c r="B59" i="8"/>
  <c r="C59" i="8" s="1"/>
  <c r="D178" i="6"/>
  <c r="E178" i="6" s="1"/>
  <c r="C34" i="6"/>
  <c r="E56" i="7" s="1"/>
  <c r="B61" i="8"/>
  <c r="C61" i="8" s="1"/>
  <c r="E40" i="7"/>
  <c r="O23" i="6"/>
  <c r="O24" i="6"/>
  <c r="B53" i="8"/>
  <c r="C53" i="8" s="1"/>
  <c r="B63" i="8"/>
  <c r="C63" i="8" s="1"/>
  <c r="B67" i="8"/>
  <c r="C67" i="8" s="1"/>
  <c r="B62" i="8"/>
  <c r="C62" i="8" s="1"/>
  <c r="B65" i="8"/>
  <c r="C65" i="8" s="1"/>
  <c r="H27" i="6"/>
  <c r="H45" i="7" s="1"/>
  <c r="C15" i="8"/>
  <c r="B66" i="8"/>
  <c r="C66" i="8" s="1"/>
  <c r="B54" i="8"/>
  <c r="C54" i="8" s="1"/>
  <c r="B56" i="8"/>
  <c r="C56" i="8" s="1"/>
  <c r="B60" i="8"/>
  <c r="C60" i="8" s="1"/>
  <c r="O18" i="6"/>
  <c r="B52" i="8"/>
  <c r="C52" i="8" s="1"/>
  <c r="D26" i="7"/>
  <c r="B51" i="8"/>
  <c r="C51" i="8" s="1"/>
  <c r="B58" i="8"/>
  <c r="C58" i="8" s="1"/>
  <c r="B64" i="8"/>
  <c r="C64" i="8" s="1"/>
  <c r="B50" i="8"/>
  <c r="C50" i="8" s="1"/>
  <c r="B55" i="8"/>
  <c r="C55" i="8" s="1"/>
  <c r="T14" i="6"/>
  <c r="C173" i="6"/>
  <c r="C172" i="6"/>
  <c r="C195" i="6"/>
  <c r="A317" i="4" a="1"/>
  <c r="A341" i="4" s="1"/>
  <c r="D148" i="4"/>
  <c r="F148" i="4" s="1"/>
  <c r="H27" i="1"/>
  <c r="H67" i="7"/>
  <c r="H17" i="7"/>
  <c r="B106" i="1"/>
  <c r="E24" i="1"/>
  <c r="B108" i="1"/>
  <c r="H46" i="1"/>
  <c r="B157" i="1"/>
  <c r="B131" i="1"/>
  <c r="G4" i="3"/>
  <c r="C139" i="6"/>
  <c r="C134" i="6"/>
  <c r="C143" i="6"/>
  <c r="C146" i="6"/>
  <c r="AD4" i="3"/>
  <c r="E190" i="6"/>
  <c r="D30" i="1"/>
  <c r="I68" i="7" s="1"/>
  <c r="AE4" i="3"/>
  <c r="T19" i="6"/>
  <c r="C142" i="6"/>
  <c r="C141" i="6"/>
  <c r="C145" i="6"/>
  <c r="I71" i="7"/>
  <c r="B75" i="8"/>
  <c r="C196" i="6"/>
  <c r="B196" i="6" s="1"/>
  <c r="C147" i="6"/>
  <c r="E42" i="7"/>
  <c r="E193" i="6"/>
  <c r="E189" i="6"/>
  <c r="C183" i="6"/>
  <c r="J90" i="7"/>
  <c r="F118" i="7" s="1"/>
  <c r="C132" i="6"/>
  <c r="F27" i="7"/>
  <c r="C137" i="6"/>
  <c r="C135" i="6"/>
  <c r="C138" i="6"/>
  <c r="E33" i="6"/>
  <c r="C144" i="6"/>
  <c r="T17" i="6"/>
  <c r="E14" i="7"/>
  <c r="B201" i="6"/>
  <c r="C201" i="6" s="1"/>
  <c r="B186" i="6"/>
  <c r="B200" i="6"/>
  <c r="C200" i="6" s="1"/>
  <c r="E183" i="6"/>
  <c r="B187" i="6"/>
  <c r="E184" i="6"/>
  <c r="B202" i="6"/>
  <c r="D3" i="4"/>
  <c r="U241" i="4" l="1"/>
  <c r="S236" i="4"/>
  <c r="D82" i="4"/>
  <c r="F82" i="4" s="1"/>
  <c r="N194" i="4"/>
  <c r="L196" i="4"/>
  <c r="D97" i="4"/>
  <c r="F97" i="4" s="1"/>
  <c r="V241" i="4"/>
  <c r="D87" i="4"/>
  <c r="F87" i="4" s="1"/>
  <c r="V166" i="4"/>
  <c r="X165" i="4"/>
  <c r="V126" i="4"/>
  <c r="X125" i="4"/>
  <c r="V251" i="4"/>
  <c r="D248" i="4" s="1"/>
  <c r="F248" i="4" s="1"/>
  <c r="X131" i="4"/>
  <c r="W131" i="4"/>
  <c r="D128" i="4" s="1"/>
  <c r="V110" i="4"/>
  <c r="T111" i="4"/>
  <c r="D102" i="4"/>
  <c r="F102" i="4" s="1"/>
  <c r="E126" i="6"/>
  <c r="D127" i="6"/>
  <c r="W121" i="4"/>
  <c r="X121" i="4"/>
  <c r="W225" i="4"/>
  <c r="U226" i="4"/>
  <c r="X256" i="4"/>
  <c r="W256" i="4"/>
  <c r="D253" i="4" s="1"/>
  <c r="T201" i="4"/>
  <c r="V200" i="4"/>
  <c r="W215" i="4"/>
  <c r="U216" i="4"/>
  <c r="T236" i="4"/>
  <c r="V235" i="4"/>
  <c r="X241" i="4"/>
  <c r="W241" i="4"/>
  <c r="U191" i="4"/>
  <c r="W190" i="4"/>
  <c r="D157" i="6"/>
  <c r="D137" i="6"/>
  <c r="W4" i="3"/>
  <c r="D139" i="6"/>
  <c r="D133" i="6"/>
  <c r="E133" i="6" s="1"/>
  <c r="D156" i="6"/>
  <c r="D135" i="6"/>
  <c r="E135" i="6" s="1"/>
  <c r="E52" i="7"/>
  <c r="D140" i="6"/>
  <c r="E30" i="6"/>
  <c r="E28" i="6" s="1"/>
  <c r="E34" i="6"/>
  <c r="D138" i="6"/>
  <c r="D145" i="6"/>
  <c r="D148" i="6"/>
  <c r="D143" i="6"/>
  <c r="D141" i="6"/>
  <c r="D134" i="6"/>
  <c r="E134" i="6" s="1"/>
  <c r="O20" i="6"/>
  <c r="I28" i="6" s="1"/>
  <c r="D136" i="6"/>
  <c r="E136" i="6" s="1"/>
  <c r="D147" i="6"/>
  <c r="E57" i="7"/>
  <c r="D142" i="6"/>
  <c r="D155" i="6"/>
  <c r="D132" i="6"/>
  <c r="E132" i="6" s="1"/>
  <c r="C168" i="6"/>
  <c r="C169" i="6" s="1"/>
  <c r="D168" i="6"/>
  <c r="D169" i="6" s="1"/>
  <c r="D144" i="6"/>
  <c r="E53" i="7"/>
  <c r="D146" i="6"/>
  <c r="S27" i="6"/>
  <c r="H12" i="7"/>
  <c r="I16" i="7"/>
  <c r="K49" i="1"/>
  <c r="R27" i="1"/>
  <c r="A323" i="4"/>
  <c r="A330" i="4"/>
  <c r="A331" i="4"/>
  <c r="A343" i="4"/>
  <c r="A339" i="4"/>
  <c r="A327" i="4"/>
  <c r="A338" i="4"/>
  <c r="A320" i="4"/>
  <c r="A332" i="4"/>
  <c r="A337" i="4"/>
  <c r="A340" i="4"/>
  <c r="A318" i="4"/>
  <c r="A333" i="4"/>
  <c r="A328" i="4"/>
  <c r="A342" i="4"/>
  <c r="A325" i="4"/>
  <c r="A336" i="4"/>
  <c r="A317" i="4"/>
  <c r="A346" i="4"/>
  <c r="A322" i="4"/>
  <c r="A329" i="4"/>
  <c r="A321" i="4"/>
  <c r="A326" i="4"/>
  <c r="A345" i="4"/>
  <c r="A319" i="4"/>
  <c r="A324" i="4"/>
  <c r="A335" i="4"/>
  <c r="A344" i="4"/>
  <c r="A334" i="4"/>
  <c r="S3" i="4"/>
  <c r="L2" i="4"/>
  <c r="W3" i="4"/>
  <c r="B3" i="4"/>
  <c r="Z2" i="4"/>
  <c r="E3" i="4"/>
  <c r="N2" i="4"/>
  <c r="Q3" i="4"/>
  <c r="T3" i="4"/>
  <c r="J4" i="4"/>
  <c r="R3" i="4"/>
  <c r="T4" i="4"/>
  <c r="L4" i="4"/>
  <c r="R4" i="4"/>
  <c r="G3" i="4"/>
  <c r="B4" i="4"/>
  <c r="T2" i="4"/>
  <c r="O3" i="4"/>
  <c r="E4" i="4"/>
  <c r="M4" i="4"/>
  <c r="O4" i="4"/>
  <c r="Y3" i="4"/>
  <c r="K3" i="4"/>
  <c r="S4" i="4"/>
  <c r="D4" i="4"/>
  <c r="V4" i="4"/>
  <c r="G4" i="4"/>
  <c r="I4" i="4"/>
  <c r="I3" i="4"/>
  <c r="V3" i="4"/>
  <c r="H4" i="4"/>
  <c r="N3" i="4"/>
  <c r="Q4" i="4"/>
  <c r="M3" i="4"/>
  <c r="F3" i="4"/>
  <c r="R2" i="4"/>
  <c r="U4" i="4"/>
  <c r="C3" i="4"/>
  <c r="J3" i="4"/>
  <c r="H2" i="4"/>
  <c r="L3" i="4"/>
  <c r="J2" i="4"/>
  <c r="D2" i="4"/>
  <c r="F2" i="4"/>
  <c r="K4" i="4"/>
  <c r="P2" i="4"/>
  <c r="H3" i="4"/>
  <c r="N4" i="4"/>
  <c r="X2" i="4"/>
  <c r="P4" i="4"/>
  <c r="W4" i="4"/>
  <c r="P3" i="4"/>
  <c r="X4" i="4"/>
  <c r="C4" i="4"/>
  <c r="X3" i="4"/>
  <c r="V2" i="4"/>
  <c r="U3" i="4"/>
  <c r="F4" i="4"/>
  <c r="Y4" i="4"/>
  <c r="P14" i="6" l="1"/>
  <c r="N14" i="6" s="1"/>
  <c r="C210" i="6"/>
  <c r="C207" i="6"/>
  <c r="C206" i="6"/>
  <c r="C205" i="6"/>
  <c r="C209" i="6"/>
  <c r="C208" i="6"/>
  <c r="N13" i="6"/>
  <c r="N12" i="6"/>
  <c r="A5" i="3"/>
  <c r="B5" i="3" s="1"/>
  <c r="Z5" i="3" s="1"/>
  <c r="O194" i="4"/>
  <c r="M196" i="4"/>
  <c r="D238" i="4"/>
  <c r="F106" i="1"/>
  <c r="F105" i="1"/>
  <c r="F104" i="1"/>
  <c r="H18" i="7"/>
  <c r="F107" i="1"/>
  <c r="F103" i="1"/>
  <c r="E101" i="7"/>
  <c r="C171" i="6"/>
  <c r="C170" i="6"/>
  <c r="E49" i="7"/>
  <c r="E18" i="7"/>
  <c r="T13" i="6"/>
  <c r="T12" i="6"/>
  <c r="C174" i="6"/>
  <c r="M13" i="6"/>
  <c r="D171" i="6"/>
  <c r="B48" i="8"/>
  <c r="C48" i="8" s="1"/>
  <c r="D174" i="6"/>
  <c r="B43" i="8"/>
  <c r="C43" i="8" s="1"/>
  <c r="B49" i="8"/>
  <c r="C49" i="8" s="1"/>
  <c r="B41" i="8"/>
  <c r="C41" i="8" s="1"/>
  <c r="B42" i="8"/>
  <c r="C42" i="8" s="1"/>
  <c r="B44" i="8"/>
  <c r="C44" i="8" s="1"/>
  <c r="D172" i="6"/>
  <c r="D170" i="6"/>
  <c r="D173" i="6"/>
  <c r="B46" i="8"/>
  <c r="C46" i="8" s="1"/>
  <c r="B47" i="8"/>
  <c r="C47" i="8" s="1"/>
  <c r="B45" i="8"/>
  <c r="C45" i="8" s="1"/>
  <c r="M12" i="6"/>
  <c r="W166" i="4"/>
  <c r="D163" i="4" s="1"/>
  <c r="F163" i="4" s="1"/>
  <c r="X166" i="4"/>
  <c r="E127" i="6"/>
  <c r="D128" i="6"/>
  <c r="W110" i="4"/>
  <c r="U111" i="4"/>
  <c r="X126" i="4"/>
  <c r="W126" i="4"/>
  <c r="D123" i="4" s="1"/>
  <c r="D118" i="4"/>
  <c r="F118" i="4" s="1"/>
  <c r="W235" i="4"/>
  <c r="U236" i="4"/>
  <c r="W200" i="4"/>
  <c r="U201" i="4"/>
  <c r="X215" i="4"/>
  <c r="V216" i="4"/>
  <c r="V226" i="4"/>
  <c r="X225" i="4"/>
  <c r="X190" i="4"/>
  <c r="V191" i="4"/>
  <c r="I31" i="6"/>
  <c r="C154" i="6" s="1"/>
  <c r="O19" i="6"/>
  <c r="M19" i="6" s="1"/>
  <c r="H31" i="6" s="1"/>
  <c r="E29" i="6"/>
  <c r="E35" i="6" s="1"/>
  <c r="C191" i="6"/>
  <c r="D153" i="6"/>
  <c r="C192" i="6"/>
  <c r="D64" i="8" l="1"/>
  <c r="E64" i="8" s="1"/>
  <c r="H64" i="8" s="1"/>
  <c r="D41" i="8"/>
  <c r="E41" i="8" s="1"/>
  <c r="G41" i="8" s="1"/>
  <c r="D52" i="8"/>
  <c r="E52" i="8" s="1"/>
  <c r="H52" i="8" s="1"/>
  <c r="D60" i="8"/>
  <c r="F60" i="8" s="1"/>
  <c r="I60" i="8" s="1"/>
  <c r="D48" i="8"/>
  <c r="F48" i="8" s="1"/>
  <c r="I48" i="8" s="1"/>
  <c r="D49" i="8"/>
  <c r="E49" i="8" s="1"/>
  <c r="G49" i="8" s="1"/>
  <c r="D44" i="8"/>
  <c r="F44" i="8" s="1"/>
  <c r="I44" i="8" s="1"/>
  <c r="D51" i="8"/>
  <c r="E51" i="8" s="1"/>
  <c r="G51" i="8" s="1"/>
  <c r="D58" i="8"/>
  <c r="E58" i="8" s="1"/>
  <c r="G58" i="8" s="1"/>
  <c r="D67" i="8"/>
  <c r="F67" i="8" s="1"/>
  <c r="I67" i="8" s="1"/>
  <c r="D47" i="8"/>
  <c r="E47" i="8" s="1"/>
  <c r="G47" i="8" s="1"/>
  <c r="D54" i="8"/>
  <c r="F54" i="8" s="1"/>
  <c r="I54" i="8" s="1"/>
  <c r="D42" i="8"/>
  <c r="E42" i="8" s="1"/>
  <c r="G42" i="8" s="1"/>
  <c r="D59" i="8"/>
  <c r="F59" i="8" s="1"/>
  <c r="I59" i="8" s="1"/>
  <c r="D61" i="8"/>
  <c r="E61" i="8" s="1"/>
  <c r="G61" i="8" s="1"/>
  <c r="D62" i="8"/>
  <c r="E62" i="8" s="1"/>
  <c r="H62" i="8" s="1"/>
  <c r="D66" i="8"/>
  <c r="F66" i="8" s="1"/>
  <c r="I66" i="8" s="1"/>
  <c r="D43" i="8"/>
  <c r="E43" i="8" s="1"/>
  <c r="G43" i="8" s="1"/>
  <c r="D53" i="8"/>
  <c r="F53" i="8" s="1"/>
  <c r="I53" i="8" s="1"/>
  <c r="D45" i="8"/>
  <c r="E45" i="8" s="1"/>
  <c r="G45" i="8" s="1"/>
  <c r="D56" i="8"/>
  <c r="F56" i="8" s="1"/>
  <c r="I56" i="8" s="1"/>
  <c r="D46" i="8"/>
  <c r="F46" i="8" s="1"/>
  <c r="I46" i="8" s="1"/>
  <c r="D65" i="8"/>
  <c r="E65" i="8" s="1"/>
  <c r="H65" i="8" s="1"/>
  <c r="M14" i="6"/>
  <c r="C10" i="1" s="1"/>
  <c r="S4" i="3" s="1"/>
  <c r="T4" i="3" s="1"/>
  <c r="U4" i="3" s="1"/>
  <c r="D50" i="8"/>
  <c r="F50" i="8" s="1"/>
  <c r="I50" i="8" s="1"/>
  <c r="D55" i="8"/>
  <c r="E55" i="8" s="1"/>
  <c r="G55" i="8" s="1"/>
  <c r="D63" i="8"/>
  <c r="E63" i="8" s="1"/>
  <c r="H63" i="8" s="1"/>
  <c r="D57" i="8"/>
  <c r="E57" i="8" s="1"/>
  <c r="H57" i="8" s="1"/>
  <c r="E11" i="7"/>
  <c r="C10" i="8"/>
  <c r="H41" i="7"/>
  <c r="E107" i="7"/>
  <c r="H5" i="7"/>
  <c r="P15" i="6"/>
  <c r="I41" i="7"/>
  <c r="C24" i="1"/>
  <c r="C30" i="1" s="1"/>
  <c r="P27" i="1" s="1"/>
  <c r="C204" i="6"/>
  <c r="AC5" i="3"/>
  <c r="P5" i="3"/>
  <c r="Q5" i="3" s="1"/>
  <c r="R5" i="3" s="1"/>
  <c r="AA5" i="3"/>
  <c r="A6" i="3"/>
  <c r="B6" i="3" s="1"/>
  <c r="AC6" i="3" s="1"/>
  <c r="AD5" i="3"/>
  <c r="E110" i="7"/>
  <c r="N196" i="4"/>
  <c r="P194" i="4"/>
  <c r="V111" i="4"/>
  <c r="X110" i="4"/>
  <c r="E128" i="6"/>
  <c r="D129" i="6"/>
  <c r="X200" i="4"/>
  <c r="V201" i="4"/>
  <c r="W226" i="4"/>
  <c r="X226" i="4"/>
  <c r="X191" i="4"/>
  <c r="W191" i="4"/>
  <c r="W216" i="4"/>
  <c r="D213" i="4" s="1"/>
  <c r="F213" i="4" s="1"/>
  <c r="X216" i="4"/>
  <c r="V236" i="4"/>
  <c r="X235" i="4"/>
  <c r="H28" i="6"/>
  <c r="C190" i="6" s="1"/>
  <c r="C153" i="6"/>
  <c r="C157" i="6"/>
  <c r="C151" i="6"/>
  <c r="C152" i="6"/>
  <c r="F43" i="8" l="1"/>
  <c r="I43" i="8" s="1"/>
  <c r="F58" i="8"/>
  <c r="I58" i="8" s="1"/>
  <c r="F47" i="8"/>
  <c r="I47" i="8" s="1"/>
  <c r="F64" i="8"/>
  <c r="I64" i="8" s="1"/>
  <c r="G64" i="8"/>
  <c r="J64" i="8" s="1"/>
  <c r="H58" i="8"/>
  <c r="K58" i="8" s="1"/>
  <c r="F41" i="8"/>
  <c r="I41" i="8" s="1"/>
  <c r="H41" i="8"/>
  <c r="J41" i="8" s="1"/>
  <c r="H47" i="8"/>
  <c r="J47" i="8" s="1"/>
  <c r="G52" i="8"/>
  <c r="K52" i="8" s="1"/>
  <c r="F52" i="8"/>
  <c r="I52" i="8" s="1"/>
  <c r="E67" i="8"/>
  <c r="H67" i="8" s="1"/>
  <c r="H43" i="8"/>
  <c r="J43" i="8" s="1"/>
  <c r="F45" i="8"/>
  <c r="I45" i="8" s="1"/>
  <c r="F57" i="8"/>
  <c r="I57" i="8" s="1"/>
  <c r="E66" i="8"/>
  <c r="H66" i="8" s="1"/>
  <c r="H45" i="8"/>
  <c r="J45" i="8" s="1"/>
  <c r="H49" i="8"/>
  <c r="J49" i="8" s="1"/>
  <c r="G57" i="8"/>
  <c r="K57" i="8" s="1"/>
  <c r="E56" i="8"/>
  <c r="G56" i="8" s="1"/>
  <c r="E54" i="8"/>
  <c r="H54" i="8" s="1"/>
  <c r="E60" i="8"/>
  <c r="H60" i="8" s="1"/>
  <c r="H42" i="8"/>
  <c r="J42" i="8" s="1"/>
  <c r="H61" i="8"/>
  <c r="K61" i="8" s="1"/>
  <c r="E46" i="8"/>
  <c r="G46" i="8" s="1"/>
  <c r="F49" i="8"/>
  <c r="I49" i="8" s="1"/>
  <c r="E48" i="8"/>
  <c r="G48" i="8" s="1"/>
  <c r="F42" i="8"/>
  <c r="I42" i="8" s="1"/>
  <c r="F61" i="8"/>
  <c r="I61" i="8" s="1"/>
  <c r="F62" i="8"/>
  <c r="I62" i="8" s="1"/>
  <c r="G65" i="8"/>
  <c r="K65" i="8" s="1"/>
  <c r="E44" i="8"/>
  <c r="G44" i="8" s="1"/>
  <c r="F51" i="8"/>
  <c r="I51" i="8" s="1"/>
  <c r="H51" i="8"/>
  <c r="J51" i="8" s="1"/>
  <c r="C11" i="8"/>
  <c r="G62" i="8"/>
  <c r="J62" i="8" s="1"/>
  <c r="E59" i="8"/>
  <c r="G59" i="8" s="1"/>
  <c r="M15" i="6"/>
  <c r="J42" i="7" s="1"/>
  <c r="E53" i="8"/>
  <c r="H53" i="8" s="1"/>
  <c r="F65" i="8"/>
  <c r="I65" i="8" s="1"/>
  <c r="E50" i="8"/>
  <c r="H50" i="8" s="1"/>
  <c r="F107" i="7"/>
  <c r="S5" i="3"/>
  <c r="T5" i="3" s="1"/>
  <c r="E5" i="3" s="1"/>
  <c r="H5" i="3" s="1"/>
  <c r="F55" i="8"/>
  <c r="I55" i="8" s="1"/>
  <c r="J41" i="7"/>
  <c r="F63" i="8"/>
  <c r="I63" i="8" s="1"/>
  <c r="G63" i="8"/>
  <c r="J63" i="8" s="1"/>
  <c r="E58" i="7"/>
  <c r="H65" i="7" s="1"/>
  <c r="H55" i="8"/>
  <c r="K55" i="8" s="1"/>
  <c r="H42" i="7"/>
  <c r="D23" i="7"/>
  <c r="E108" i="7"/>
  <c r="N15" i="6"/>
  <c r="P28" i="1"/>
  <c r="K47" i="1"/>
  <c r="H16" i="7"/>
  <c r="C194" i="6"/>
  <c r="H46" i="7"/>
  <c r="H13" i="7"/>
  <c r="D152" i="6"/>
  <c r="H68" i="7"/>
  <c r="H71" i="7"/>
  <c r="P6" i="3"/>
  <c r="Q6" i="3" s="1"/>
  <c r="R6" i="3" s="1"/>
  <c r="A7" i="3"/>
  <c r="B7" i="3" s="1"/>
  <c r="AD7" i="3" s="1"/>
  <c r="Z6" i="3"/>
  <c r="AA6" i="3"/>
  <c r="Q194" i="4"/>
  <c r="O196" i="4"/>
  <c r="AD6" i="3"/>
  <c r="D223" i="4"/>
  <c r="F223" i="4" s="1"/>
  <c r="X111" i="4"/>
  <c r="W111" i="4"/>
  <c r="D108" i="4" s="1"/>
  <c r="D188" i="4"/>
  <c r="F188" i="4" s="1"/>
  <c r="D130" i="6"/>
  <c r="E130" i="6" s="1"/>
  <c r="E129" i="6"/>
  <c r="S28" i="6"/>
  <c r="C193" i="6"/>
  <c r="X236" i="4"/>
  <c r="W236" i="4"/>
  <c r="W201" i="4"/>
  <c r="X201" i="4"/>
  <c r="M58" i="8" l="1"/>
  <c r="K64" i="8"/>
  <c r="L64" i="8" s="1"/>
  <c r="J58" i="8"/>
  <c r="L58" i="8" s="1"/>
  <c r="K41" i="8"/>
  <c r="M41" i="8" s="1"/>
  <c r="J52" i="8"/>
  <c r="L52" i="8" s="1"/>
  <c r="K47" i="8"/>
  <c r="M47" i="8" s="1"/>
  <c r="M52" i="8"/>
  <c r="G67" i="8"/>
  <c r="J67" i="8" s="1"/>
  <c r="K43" i="8"/>
  <c r="M43" i="8" s="1"/>
  <c r="M57" i="8"/>
  <c r="C155" i="6"/>
  <c r="C156" i="6" s="1"/>
  <c r="H46" i="8"/>
  <c r="J46" i="8" s="1"/>
  <c r="K51" i="8"/>
  <c r="L51" i="8" s="1"/>
  <c r="G66" i="8"/>
  <c r="J66" i="8" s="1"/>
  <c r="K45" i="8"/>
  <c r="M45" i="8" s="1"/>
  <c r="S6" i="3"/>
  <c r="T6" i="3" s="1"/>
  <c r="K49" i="8"/>
  <c r="M49" i="8" s="1"/>
  <c r="J57" i="8"/>
  <c r="L57" i="8" s="1"/>
  <c r="H56" i="8"/>
  <c r="J56" i="8" s="1"/>
  <c r="G60" i="8"/>
  <c r="J60" i="8" s="1"/>
  <c r="C149" i="6"/>
  <c r="H44" i="8"/>
  <c r="J44" i="8" s="1"/>
  <c r="J65" i="8"/>
  <c r="L65" i="8" s="1"/>
  <c r="K62" i="8"/>
  <c r="L62" i="8" s="1"/>
  <c r="G53" i="8"/>
  <c r="K53" i="8" s="1"/>
  <c r="M53" i="8" s="1"/>
  <c r="G54" i="8"/>
  <c r="J54" i="8" s="1"/>
  <c r="M61" i="8"/>
  <c r="K42" i="8"/>
  <c r="M42" i="8" s="1"/>
  <c r="J61" i="8"/>
  <c r="L61" i="8" s="1"/>
  <c r="M65" i="8"/>
  <c r="D5" i="3"/>
  <c r="F5" i="3" s="1"/>
  <c r="G50" i="8"/>
  <c r="J50" i="8" s="1"/>
  <c r="H48" i="8"/>
  <c r="J48" i="8" s="1"/>
  <c r="AH5" i="3"/>
  <c r="AG5" i="3"/>
  <c r="H59" i="8"/>
  <c r="J59" i="8" s="1"/>
  <c r="F108" i="7"/>
  <c r="H32" i="6"/>
  <c r="H29" i="6"/>
  <c r="H47" i="7" s="1"/>
  <c r="B191" i="6"/>
  <c r="M55" i="8"/>
  <c r="K63" i="8"/>
  <c r="M63" i="8" s="1"/>
  <c r="J55" i="8"/>
  <c r="L55" i="8" s="1"/>
  <c r="C150" i="6"/>
  <c r="B193" i="6"/>
  <c r="I32" i="6"/>
  <c r="B192" i="6"/>
  <c r="I42" i="7"/>
  <c r="I29" i="6"/>
  <c r="A8" i="3"/>
  <c r="B8" i="3" s="1"/>
  <c r="AC8" i="3" s="1"/>
  <c r="Z7" i="3"/>
  <c r="P7" i="3"/>
  <c r="Q7" i="3" s="1"/>
  <c r="R7" i="3" s="1"/>
  <c r="AC7" i="3"/>
  <c r="AA7" i="3"/>
  <c r="D198" i="4"/>
  <c r="F198" i="4" s="1"/>
  <c r="R194" i="4"/>
  <c r="P196" i="4"/>
  <c r="F108" i="4"/>
  <c r="D233" i="4"/>
  <c r="F233" i="4" s="1"/>
  <c r="K5" i="3"/>
  <c r="M64" i="8" l="1"/>
  <c r="L41" i="8"/>
  <c r="K46" i="8"/>
  <c r="M46" i="8" s="1"/>
  <c r="L47" i="8"/>
  <c r="K67" i="8"/>
  <c r="M67" i="8" s="1"/>
  <c r="L43" i="8"/>
  <c r="M51" i="8"/>
  <c r="K66" i="8"/>
  <c r="M66" i="8" s="1"/>
  <c r="L45" i="8"/>
  <c r="L49" i="8"/>
  <c r="M62" i="8"/>
  <c r="S7" i="3"/>
  <c r="T7" i="3" s="1"/>
  <c r="H30" i="6"/>
  <c r="H48" i="7" s="1"/>
  <c r="K54" i="8"/>
  <c r="M54" i="8" s="1"/>
  <c r="K56" i="8"/>
  <c r="M56" i="8" s="1"/>
  <c r="K60" i="8"/>
  <c r="M60" i="8" s="1"/>
  <c r="J53" i="8"/>
  <c r="L53" i="8" s="1"/>
  <c r="K50" i="8"/>
  <c r="M50" i="8" s="1"/>
  <c r="K44" i="8"/>
  <c r="M44" i="8" s="1"/>
  <c r="L63" i="8"/>
  <c r="G5" i="3"/>
  <c r="I5" i="3" s="1"/>
  <c r="K48" i="8"/>
  <c r="L48" i="8" s="1"/>
  <c r="S29" i="6"/>
  <c r="L42" i="8"/>
  <c r="K59" i="8"/>
  <c r="M59" i="8" s="1"/>
  <c r="B194" i="6"/>
  <c r="B190" i="6"/>
  <c r="H14" i="7"/>
  <c r="I14" i="7"/>
  <c r="I30" i="6"/>
  <c r="I47" i="7"/>
  <c r="P8" i="3"/>
  <c r="Q8" i="3" s="1"/>
  <c r="R8" i="3" s="1"/>
  <c r="AD8" i="3"/>
  <c r="AA8" i="3"/>
  <c r="Z8" i="3"/>
  <c r="A9" i="3"/>
  <c r="B9" i="3" s="1"/>
  <c r="AD9" i="3" s="1"/>
  <c r="S194" i="4"/>
  <c r="Q196" i="4"/>
  <c r="V5" i="3"/>
  <c r="AE5" i="3"/>
  <c r="L46" i="8" l="1"/>
  <c r="L67" i="8"/>
  <c r="L66" i="8"/>
  <c r="S8" i="3"/>
  <c r="T8" i="3" s="1"/>
  <c r="H15" i="7"/>
  <c r="H33" i="6"/>
  <c r="L54" i="8"/>
  <c r="L56" i="8"/>
  <c r="L60" i="8"/>
  <c r="L50" i="8"/>
  <c r="L59" i="8"/>
  <c r="J5" i="3"/>
  <c r="L5" i="3" s="1"/>
  <c r="M5" i="3"/>
  <c r="N5" i="3" s="1"/>
  <c r="M48" i="8"/>
  <c r="L44" i="8"/>
  <c r="I48" i="7"/>
  <c r="I15" i="7"/>
  <c r="S30" i="6"/>
  <c r="A10" i="3"/>
  <c r="B10" i="3" s="1"/>
  <c r="P10" i="3" s="1"/>
  <c r="Q10" i="3" s="1"/>
  <c r="R10" i="3" s="1"/>
  <c r="AC9" i="3"/>
  <c r="P9" i="3"/>
  <c r="Q9" i="3" s="1"/>
  <c r="R9" i="3" s="1"/>
  <c r="Z9" i="3"/>
  <c r="AA9" i="3"/>
  <c r="T194" i="4"/>
  <c r="R196" i="4"/>
  <c r="W5" i="3"/>
  <c r="S9" i="3" l="1"/>
  <c r="T9" i="3" s="1"/>
  <c r="AA10" i="3"/>
  <c r="AC10" i="3"/>
  <c r="AD10" i="3"/>
  <c r="Z10" i="3"/>
  <c r="A11" i="3"/>
  <c r="B11" i="3" s="1"/>
  <c r="AC11" i="3" s="1"/>
  <c r="U194" i="4"/>
  <c r="S196" i="4"/>
  <c r="U5" i="3"/>
  <c r="D6" i="3" s="1"/>
  <c r="AG6" i="3"/>
  <c r="AH6" i="3"/>
  <c r="S10" i="3" l="1"/>
  <c r="T10" i="3" s="1"/>
  <c r="AA11" i="3"/>
  <c r="P11" i="3"/>
  <c r="Q11" i="3" s="1"/>
  <c r="R11" i="3" s="1"/>
  <c r="S11" i="3" s="1"/>
  <c r="T11" i="3" s="1"/>
  <c r="Z11" i="3"/>
  <c r="A12" i="3"/>
  <c r="B12" i="3" s="1"/>
  <c r="Z12" i="3" s="1"/>
  <c r="AD11" i="3"/>
  <c r="T196" i="4"/>
  <c r="V194" i="4"/>
  <c r="E6" i="3"/>
  <c r="H6" i="3" s="1"/>
  <c r="K6" i="3" s="1"/>
  <c r="G6" i="3"/>
  <c r="AA12" i="3" l="1"/>
  <c r="AC12" i="3"/>
  <c r="A13" i="3"/>
  <c r="B13" i="3" s="1"/>
  <c r="A14" i="3" s="1"/>
  <c r="B14" i="3" s="1"/>
  <c r="A15" i="3" s="1"/>
  <c r="B15" i="3" s="1"/>
  <c r="P12" i="3"/>
  <c r="Q12" i="3" s="1"/>
  <c r="R12" i="3" s="1"/>
  <c r="S12" i="3" s="1"/>
  <c r="T12" i="3" s="1"/>
  <c r="AD12" i="3"/>
  <c r="U196" i="4"/>
  <c r="W194" i="4"/>
  <c r="F6" i="3"/>
  <c r="I6" i="3"/>
  <c r="J6" i="3"/>
  <c r="M6" i="3"/>
  <c r="N6" i="3" s="1"/>
  <c r="V6" i="3"/>
  <c r="AE6" i="3"/>
  <c r="P13" i="3" l="1"/>
  <c r="Q13" i="3" s="1"/>
  <c r="R13" i="3" s="1"/>
  <c r="S13" i="3" s="1"/>
  <c r="T13" i="3" s="1"/>
  <c r="AD13" i="3"/>
  <c r="AA14" i="3"/>
  <c r="AA13" i="3"/>
  <c r="AC14" i="3"/>
  <c r="Z14" i="3"/>
  <c r="Z13" i="3"/>
  <c r="AD14" i="3"/>
  <c r="P14" i="3"/>
  <c r="Q14" i="3" s="1"/>
  <c r="R14" i="3" s="1"/>
  <c r="AC13" i="3"/>
  <c r="V196" i="4"/>
  <c r="D193" i="4" s="1"/>
  <c r="W196" i="4"/>
  <c r="W6" i="3"/>
  <c r="AA15" i="3"/>
  <c r="P15" i="3"/>
  <c r="Q15" i="3" s="1"/>
  <c r="R15" i="3" s="1"/>
  <c r="AC15" i="3"/>
  <c r="Z15" i="3"/>
  <c r="AD15" i="3"/>
  <c r="A16" i="3"/>
  <c r="B16" i="3" s="1"/>
  <c r="L6" i="3"/>
  <c r="S14" i="3" l="1"/>
  <c r="S15" i="3" s="1"/>
  <c r="F193" i="4"/>
  <c r="M36" i="6"/>
  <c r="N34" i="1"/>
  <c r="AA16" i="3"/>
  <c r="AD16" i="3"/>
  <c r="AC16" i="3"/>
  <c r="P16" i="3"/>
  <c r="Q16" i="3" s="1"/>
  <c r="R16" i="3" s="1"/>
  <c r="Z16" i="3"/>
  <c r="A17" i="3"/>
  <c r="B17" i="3" s="1"/>
  <c r="AH7" i="3"/>
  <c r="AG7" i="3"/>
  <c r="U6" i="3"/>
  <c r="D7" i="3" s="1"/>
  <c r="Y5" i="3"/>
  <c r="T14" i="3" l="1"/>
  <c r="G7" i="3"/>
  <c r="P17" i="3"/>
  <c r="Q17" i="3" s="1"/>
  <c r="R17" i="3" s="1"/>
  <c r="A18" i="3"/>
  <c r="B18" i="3" s="1"/>
  <c r="AC17" i="3"/>
  <c r="Z17" i="3"/>
  <c r="AD17" i="3"/>
  <c r="AA17" i="3"/>
  <c r="T15" i="3"/>
  <c r="S16" i="3"/>
  <c r="E7" i="3"/>
  <c r="H7" i="3" s="1"/>
  <c r="AA18" i="3" l="1"/>
  <c r="P18" i="3"/>
  <c r="Q18" i="3" s="1"/>
  <c r="R18" i="3" s="1"/>
  <c r="AC18" i="3"/>
  <c r="A19" i="3"/>
  <c r="B19" i="3" s="1"/>
  <c r="AD18" i="3"/>
  <c r="Z18" i="3"/>
  <c r="F7" i="3"/>
  <c r="T16" i="3"/>
  <c r="S17" i="3"/>
  <c r="I7" i="3"/>
  <c r="J7" i="3"/>
  <c r="M7" i="3"/>
  <c r="N7" i="3" s="1"/>
  <c r="K7" i="3"/>
  <c r="P19" i="3" l="1"/>
  <c r="Q19" i="3" s="1"/>
  <c r="R19" i="3" s="1"/>
  <c r="A20" i="3"/>
  <c r="B20" i="3" s="1"/>
  <c r="Z19" i="3"/>
  <c r="AD19" i="3"/>
  <c r="AA19" i="3"/>
  <c r="AC19" i="3"/>
  <c r="L7" i="3"/>
  <c r="V7" i="3"/>
  <c r="W7" i="3" s="1"/>
  <c r="AE7" i="3"/>
  <c r="T17" i="3"/>
  <c r="S18" i="3"/>
  <c r="AH8" i="3" l="1"/>
  <c r="U7" i="3"/>
  <c r="D8" i="3" s="1"/>
  <c r="AG8" i="3"/>
  <c r="Y6" i="3"/>
  <c r="P20" i="3"/>
  <c r="Q20" i="3" s="1"/>
  <c r="R20" i="3" s="1"/>
  <c r="A21" i="3"/>
  <c r="B21" i="3" s="1"/>
  <c r="AA20" i="3"/>
  <c r="Z20" i="3"/>
  <c r="AD20" i="3"/>
  <c r="AC20" i="3"/>
  <c r="S19" i="3"/>
  <c r="T18" i="3"/>
  <c r="E8" i="3" l="1"/>
  <c r="H8" i="3" s="1"/>
  <c r="K8" i="3" s="1"/>
  <c r="AD21" i="3"/>
  <c r="P21" i="3"/>
  <c r="Q21" i="3" s="1"/>
  <c r="R21" i="3" s="1"/>
  <c r="AC21" i="3"/>
  <c r="AA21" i="3"/>
  <c r="Z21" i="3"/>
  <c r="A22" i="3"/>
  <c r="B22" i="3" s="1"/>
  <c r="G8" i="3"/>
  <c r="S20" i="3"/>
  <c r="T19" i="3"/>
  <c r="F8" i="3" l="1"/>
  <c r="AC22" i="3"/>
  <c r="A23" i="3"/>
  <c r="B23" i="3" s="1"/>
  <c r="AD22" i="3"/>
  <c r="AA22" i="3"/>
  <c r="Z22" i="3"/>
  <c r="P22" i="3"/>
  <c r="Q22" i="3" s="1"/>
  <c r="R22" i="3" s="1"/>
  <c r="I8" i="3"/>
  <c r="J8" i="3"/>
  <c r="M8" i="3"/>
  <c r="N8" i="3" s="1"/>
  <c r="V8" i="3"/>
  <c r="AE8" i="3"/>
  <c r="T20" i="3"/>
  <c r="S21" i="3"/>
  <c r="W8" i="3" l="1"/>
  <c r="A24" i="3"/>
  <c r="B24" i="3" s="1"/>
  <c r="Z23" i="3"/>
  <c r="AA23" i="3"/>
  <c r="AC23" i="3"/>
  <c r="AD23" i="3"/>
  <c r="P23" i="3"/>
  <c r="Q23" i="3" s="1"/>
  <c r="R23" i="3" s="1"/>
  <c r="T21" i="3"/>
  <c r="S22" i="3"/>
  <c r="L8" i="3"/>
  <c r="U8" i="3" l="1"/>
  <c r="D9" i="3" s="1"/>
  <c r="AH9" i="3"/>
  <c r="AG9" i="3"/>
  <c r="Y7" i="3"/>
  <c r="AA24" i="3"/>
  <c r="Z24" i="3"/>
  <c r="AC24" i="3"/>
  <c r="AD24" i="3"/>
  <c r="A25" i="3"/>
  <c r="B25" i="3" s="1"/>
  <c r="P24" i="3"/>
  <c r="Q24" i="3" s="1"/>
  <c r="R24" i="3" s="1"/>
  <c r="T22" i="3"/>
  <c r="S23" i="3"/>
  <c r="E9" i="3" l="1"/>
  <c r="H9" i="3" s="1"/>
  <c r="K9" i="3" s="1"/>
  <c r="P25" i="3"/>
  <c r="Q25" i="3" s="1"/>
  <c r="R25" i="3" s="1"/>
  <c r="Z25" i="3"/>
  <c r="A26" i="3"/>
  <c r="B26" i="3" s="1"/>
  <c r="AC25" i="3"/>
  <c r="AA25" i="3"/>
  <c r="AD25" i="3"/>
  <c r="S24" i="3"/>
  <c r="T23" i="3"/>
  <c r="G9" i="3"/>
  <c r="F9" i="3" l="1"/>
  <c r="AD26" i="3"/>
  <c r="P26" i="3"/>
  <c r="Q26" i="3" s="1"/>
  <c r="R26" i="3" s="1"/>
  <c r="A27" i="3"/>
  <c r="B27" i="3" s="1"/>
  <c r="AA26" i="3"/>
  <c r="Z26" i="3"/>
  <c r="AC26" i="3"/>
  <c r="S25" i="3"/>
  <c r="T24" i="3"/>
  <c r="V9" i="3"/>
  <c r="AE9" i="3"/>
  <c r="I9" i="3"/>
  <c r="J9" i="3"/>
  <c r="M9" i="3"/>
  <c r="N9" i="3" s="1"/>
  <c r="W9" i="3" l="1"/>
  <c r="P27" i="3"/>
  <c r="Q27" i="3" s="1"/>
  <c r="R27" i="3" s="1"/>
  <c r="Z27" i="3"/>
  <c r="AA27" i="3"/>
  <c r="AD27" i="3"/>
  <c r="A28" i="3"/>
  <c r="B28" i="3" s="1"/>
  <c r="AC27" i="3"/>
  <c r="S26" i="3"/>
  <c r="T25" i="3"/>
  <c r="L9" i="3"/>
  <c r="Z28" i="3" l="1"/>
  <c r="P28" i="3"/>
  <c r="Q28" i="3" s="1"/>
  <c r="R28" i="3" s="1"/>
  <c r="A29" i="3"/>
  <c r="B29" i="3" s="1"/>
  <c r="AA28" i="3"/>
  <c r="AC28" i="3"/>
  <c r="AD28" i="3"/>
  <c r="AH10" i="3"/>
  <c r="U9" i="3"/>
  <c r="E10" i="3" s="1"/>
  <c r="H10" i="3" s="1"/>
  <c r="AG10" i="3"/>
  <c r="Y8" i="3"/>
  <c r="T26" i="3"/>
  <c r="S27" i="3"/>
  <c r="K10" i="3" l="1"/>
  <c r="S28" i="3"/>
  <c r="T27" i="3"/>
  <c r="AC29" i="3"/>
  <c r="P29" i="3"/>
  <c r="Q29" i="3" s="1"/>
  <c r="R29" i="3" s="1"/>
  <c r="A30" i="3"/>
  <c r="B30" i="3" s="1"/>
  <c r="AD29" i="3"/>
  <c r="Z29" i="3"/>
  <c r="AA29" i="3"/>
  <c r="D10" i="3"/>
  <c r="Z30" i="3" l="1"/>
  <c r="P30" i="3"/>
  <c r="Q30" i="3" s="1"/>
  <c r="R30" i="3" s="1"/>
  <c r="AC30" i="3"/>
  <c r="AA30" i="3"/>
  <c r="AD30" i="3"/>
  <c r="A31" i="3"/>
  <c r="B31" i="3" s="1"/>
  <c r="F10" i="3"/>
  <c r="G10" i="3"/>
  <c r="V10" i="3"/>
  <c r="AE10" i="3"/>
  <c r="T28" i="3"/>
  <c r="S29" i="3"/>
  <c r="I10" i="3" l="1"/>
  <c r="W10" i="3" s="1"/>
  <c r="J10" i="3"/>
  <c r="M10" i="3"/>
  <c r="N10" i="3" s="1"/>
  <c r="AC31" i="3"/>
  <c r="A32" i="3"/>
  <c r="B32" i="3" s="1"/>
  <c r="Z31" i="3"/>
  <c r="P31" i="3"/>
  <c r="Q31" i="3" s="1"/>
  <c r="R31" i="3" s="1"/>
  <c r="AD31" i="3"/>
  <c r="AA31" i="3"/>
  <c r="S30" i="3"/>
  <c r="T29" i="3"/>
  <c r="A33" i="3" l="1"/>
  <c r="B33" i="3" s="1"/>
  <c r="Z32" i="3"/>
  <c r="P32" i="3"/>
  <c r="Q32" i="3" s="1"/>
  <c r="R32" i="3" s="1"/>
  <c r="AD32" i="3"/>
  <c r="AC32" i="3"/>
  <c r="AA32" i="3"/>
  <c r="L10" i="3"/>
  <c r="T30" i="3"/>
  <c r="S31" i="3"/>
  <c r="P33" i="3" l="1"/>
  <c r="Q33" i="3" s="1"/>
  <c r="R33" i="3" s="1"/>
  <c r="AC33" i="3"/>
  <c r="A34" i="3"/>
  <c r="B34" i="3" s="1"/>
  <c r="AA33" i="3"/>
  <c r="Z33" i="3"/>
  <c r="AD33" i="3"/>
  <c r="AG11" i="3"/>
  <c r="AH11" i="3"/>
  <c r="U10" i="3"/>
  <c r="E11" i="3" s="1"/>
  <c r="H11" i="3" s="1"/>
  <c r="Y9" i="3"/>
  <c r="T31" i="3"/>
  <c r="S32" i="3"/>
  <c r="K11" i="3" l="1"/>
  <c r="T32" i="3"/>
  <c r="S33" i="3"/>
  <c r="Z34" i="3"/>
  <c r="P34" i="3"/>
  <c r="Q34" i="3" s="1"/>
  <c r="R34" i="3" s="1"/>
  <c r="AC34" i="3"/>
  <c r="AD34" i="3"/>
  <c r="A35" i="3"/>
  <c r="B35" i="3" s="1"/>
  <c r="AA34" i="3"/>
  <c r="D11" i="3"/>
  <c r="S34" i="3" l="1"/>
  <c r="T33" i="3"/>
  <c r="V11" i="3"/>
  <c r="AE11" i="3"/>
  <c r="A36" i="3"/>
  <c r="B36" i="3" s="1"/>
  <c r="Z35" i="3"/>
  <c r="AD35" i="3"/>
  <c r="AA35" i="3"/>
  <c r="AC35" i="3"/>
  <c r="P35" i="3"/>
  <c r="Q35" i="3" s="1"/>
  <c r="R35" i="3" s="1"/>
  <c r="F11" i="3"/>
  <c r="G11" i="3"/>
  <c r="S35" i="3" l="1"/>
  <c r="T34" i="3"/>
  <c r="AD36" i="3"/>
  <c r="AA36" i="3"/>
  <c r="P36" i="3"/>
  <c r="Q36" i="3" s="1"/>
  <c r="R36" i="3" s="1"/>
  <c r="Z36" i="3"/>
  <c r="A37" i="3"/>
  <c r="B37" i="3" s="1"/>
  <c r="AC36" i="3"/>
  <c r="I11" i="3"/>
  <c r="W11" i="3" s="1"/>
  <c r="J11" i="3"/>
  <c r="M11" i="3"/>
  <c r="N11" i="3" s="1"/>
  <c r="AD37" i="3" l="1"/>
  <c r="Z37" i="3"/>
  <c r="AA37" i="3"/>
  <c r="AC37" i="3"/>
  <c r="P37" i="3"/>
  <c r="Q37" i="3" s="1"/>
  <c r="R37" i="3" s="1"/>
  <c r="A38" i="3"/>
  <c r="B38" i="3" s="1"/>
  <c r="L11" i="3"/>
  <c r="T35" i="3"/>
  <c r="S36" i="3"/>
  <c r="P38" i="3" l="1"/>
  <c r="Q38" i="3" s="1"/>
  <c r="R38" i="3" s="1"/>
  <c r="A39" i="3"/>
  <c r="B39" i="3" s="1"/>
  <c r="AC38" i="3"/>
  <c r="AA38" i="3"/>
  <c r="AD38" i="3"/>
  <c r="Z38" i="3"/>
  <c r="AH12" i="3"/>
  <c r="U11" i="3"/>
  <c r="E12" i="3" s="1"/>
  <c r="H12" i="3" s="1"/>
  <c r="AG12" i="3"/>
  <c r="Y10" i="3"/>
  <c r="T36" i="3"/>
  <c r="S37" i="3"/>
  <c r="D12" i="3" l="1"/>
  <c r="G12" i="3" s="1"/>
  <c r="S38" i="3"/>
  <c r="T37" i="3"/>
  <c r="K12" i="3"/>
  <c r="AC39" i="3"/>
  <c r="P39" i="3"/>
  <c r="Q39" i="3" s="1"/>
  <c r="R39" i="3" s="1"/>
  <c r="AD39" i="3"/>
  <c r="Z39" i="3"/>
  <c r="A40" i="3"/>
  <c r="B40" i="3" s="1"/>
  <c r="AA39" i="3"/>
  <c r="F12" i="3" l="1"/>
  <c r="P40" i="3"/>
  <c r="Q40" i="3" s="1"/>
  <c r="R40" i="3" s="1"/>
  <c r="AA40" i="3"/>
  <c r="A41" i="3"/>
  <c r="B41" i="3" s="1"/>
  <c r="AC40" i="3"/>
  <c r="Z40" i="3"/>
  <c r="AD40" i="3"/>
  <c r="V12" i="3"/>
  <c r="AE12" i="3"/>
  <c r="S39" i="3"/>
  <c r="T38" i="3"/>
  <c r="I12" i="3"/>
  <c r="J12" i="3"/>
  <c r="M12" i="3"/>
  <c r="N12" i="3" s="1"/>
  <c r="W12" i="3" l="1"/>
  <c r="P41" i="3"/>
  <c r="Q41" i="3" s="1"/>
  <c r="R41" i="3" s="1"/>
  <c r="AC41" i="3"/>
  <c r="A42" i="3"/>
  <c r="B42" i="3" s="1"/>
  <c r="AA41" i="3"/>
  <c r="Z41" i="3"/>
  <c r="AD41" i="3"/>
  <c r="L12" i="3"/>
  <c r="T39" i="3"/>
  <c r="S40" i="3"/>
  <c r="AG13" i="3" l="1"/>
  <c r="U12" i="3"/>
  <c r="E13" i="3" s="1"/>
  <c r="H13" i="3" s="1"/>
  <c r="AH13" i="3"/>
  <c r="Y11" i="3"/>
  <c r="P42" i="3"/>
  <c r="Q42" i="3" s="1"/>
  <c r="R42" i="3" s="1"/>
  <c r="Z42" i="3"/>
  <c r="AA42" i="3"/>
  <c r="A43" i="3"/>
  <c r="B43" i="3" s="1"/>
  <c r="AD42" i="3"/>
  <c r="AC42" i="3"/>
  <c r="S41" i="3"/>
  <c r="T40" i="3"/>
  <c r="D13" i="3" l="1"/>
  <c r="F13" i="3" s="1"/>
  <c r="K13" i="3"/>
  <c r="AC43" i="3"/>
  <c r="P43" i="3"/>
  <c r="Q43" i="3" s="1"/>
  <c r="R43" i="3" s="1"/>
  <c r="AD43" i="3"/>
  <c r="Z43" i="3"/>
  <c r="A44" i="3"/>
  <c r="B44" i="3" s="1"/>
  <c r="AA43" i="3"/>
  <c r="T41" i="3"/>
  <c r="S42" i="3"/>
  <c r="G13" i="3" l="1"/>
  <c r="I13" i="3" s="1"/>
  <c r="AA44" i="3"/>
  <c r="P44" i="3"/>
  <c r="Q44" i="3" s="1"/>
  <c r="R44" i="3" s="1"/>
  <c r="AD44" i="3"/>
  <c r="A45" i="3"/>
  <c r="B45" i="3" s="1"/>
  <c r="Z44" i="3"/>
  <c r="AC44" i="3"/>
  <c r="T42" i="3"/>
  <c r="S43" i="3"/>
  <c r="V13" i="3"/>
  <c r="AE13" i="3"/>
  <c r="J13" i="3" l="1"/>
  <c r="L13" i="3" s="1"/>
  <c r="M13" i="3"/>
  <c r="N13" i="3" s="1"/>
  <c r="P45" i="3"/>
  <c r="Q45" i="3" s="1"/>
  <c r="R45" i="3" s="1"/>
  <c r="A46" i="3"/>
  <c r="B46" i="3" s="1"/>
  <c r="AA45" i="3"/>
  <c r="AD45" i="3"/>
  <c r="Z45" i="3"/>
  <c r="AC45" i="3"/>
  <c r="S44" i="3"/>
  <c r="T43" i="3"/>
  <c r="W13" i="3"/>
  <c r="P46" i="3" l="1"/>
  <c r="Q46" i="3" s="1"/>
  <c r="R46" i="3" s="1"/>
  <c r="AA46" i="3"/>
  <c r="AD46" i="3"/>
  <c r="A47" i="3"/>
  <c r="B47" i="3" s="1"/>
  <c r="Z46" i="3"/>
  <c r="AC46" i="3"/>
  <c r="S45" i="3"/>
  <c r="T44" i="3"/>
  <c r="AH14" i="3"/>
  <c r="AG14" i="3"/>
  <c r="U13" i="3"/>
  <c r="D14" i="3" s="1"/>
  <c r="Y12" i="3"/>
  <c r="E14" i="3" l="1"/>
  <c r="H14" i="3" s="1"/>
  <c r="K14" i="3" s="1"/>
  <c r="AD47" i="3"/>
  <c r="AA47" i="3"/>
  <c r="P47" i="3"/>
  <c r="Q47" i="3" s="1"/>
  <c r="R47" i="3" s="1"/>
  <c r="A48" i="3"/>
  <c r="B48" i="3" s="1"/>
  <c r="Z47" i="3"/>
  <c r="AC47" i="3"/>
  <c r="S46" i="3"/>
  <c r="T45" i="3"/>
  <c r="G14" i="3"/>
  <c r="F14" i="3" l="1"/>
  <c r="AC48" i="3"/>
  <c r="Z48" i="3"/>
  <c r="AA48" i="3"/>
  <c r="A49" i="3"/>
  <c r="B49" i="3" s="1"/>
  <c r="AD48" i="3"/>
  <c r="P48" i="3"/>
  <c r="Q48" i="3" s="1"/>
  <c r="R48" i="3" s="1"/>
  <c r="V14" i="3"/>
  <c r="AE14" i="3"/>
  <c r="I14" i="3"/>
  <c r="J14" i="3"/>
  <c r="M14" i="3"/>
  <c r="N14" i="3" s="1"/>
  <c r="S47" i="3"/>
  <c r="T46" i="3"/>
  <c r="T47" i="3" l="1"/>
  <c r="S48" i="3"/>
  <c r="A50" i="3"/>
  <c r="B50" i="3" s="1"/>
  <c r="P49" i="3"/>
  <c r="Q49" i="3" s="1"/>
  <c r="R49" i="3" s="1"/>
  <c r="AC49" i="3"/>
  <c r="AD49" i="3"/>
  <c r="AA49" i="3"/>
  <c r="Z49" i="3"/>
  <c r="W14" i="3"/>
  <c r="L14" i="3"/>
  <c r="U14" i="3" l="1"/>
  <c r="E15" i="3" s="1"/>
  <c r="H15" i="3" s="1"/>
  <c r="AG15" i="3"/>
  <c r="AH15" i="3"/>
  <c r="Y13" i="3"/>
  <c r="Z50" i="3"/>
  <c r="AA50" i="3"/>
  <c r="P50" i="3"/>
  <c r="Q50" i="3" s="1"/>
  <c r="R50" i="3" s="1"/>
  <c r="A51" i="3"/>
  <c r="B51" i="3" s="1"/>
  <c r="AD50" i="3"/>
  <c r="AC50" i="3"/>
  <c r="T48" i="3"/>
  <c r="S49" i="3"/>
  <c r="D15" i="3" l="1"/>
  <c r="F15" i="3" s="1"/>
  <c r="AD51" i="3"/>
  <c r="A52" i="3"/>
  <c r="B52" i="3" s="1"/>
  <c r="P51" i="3"/>
  <c r="Q51" i="3" s="1"/>
  <c r="R51" i="3" s="1"/>
  <c r="AA51" i="3"/>
  <c r="Z51" i="3"/>
  <c r="AC51" i="3"/>
  <c r="K15" i="3"/>
  <c r="S50" i="3"/>
  <c r="T49" i="3"/>
  <c r="G15" i="3" l="1"/>
  <c r="I15" i="3" s="1"/>
  <c r="A53" i="3"/>
  <c r="B53" i="3" s="1"/>
  <c r="AC52" i="3"/>
  <c r="P52" i="3"/>
  <c r="Q52" i="3" s="1"/>
  <c r="R52" i="3" s="1"/>
  <c r="AA52" i="3"/>
  <c r="AD52" i="3"/>
  <c r="Z52" i="3"/>
  <c r="T50" i="3"/>
  <c r="S51" i="3"/>
  <c r="V15" i="3"/>
  <c r="AE15" i="3"/>
  <c r="J15" i="3" l="1"/>
  <c r="L15" i="3" s="1"/>
  <c r="M15" i="3"/>
  <c r="N15" i="3" s="1"/>
  <c r="A54" i="3"/>
  <c r="B54" i="3" s="1"/>
  <c r="AD53" i="3"/>
  <c r="P53" i="3"/>
  <c r="Q53" i="3" s="1"/>
  <c r="R53" i="3" s="1"/>
  <c r="AA53" i="3"/>
  <c r="AC53" i="3"/>
  <c r="Z53" i="3"/>
  <c r="T51" i="3"/>
  <c r="S52" i="3"/>
  <c r="W15" i="3"/>
  <c r="AC54" i="3" l="1"/>
  <c r="P54" i="3"/>
  <c r="Q54" i="3" s="1"/>
  <c r="R54" i="3" s="1"/>
  <c r="A55" i="3"/>
  <c r="B55" i="3" s="1"/>
  <c r="AA54" i="3"/>
  <c r="Z54" i="3"/>
  <c r="AD54" i="3"/>
  <c r="T52" i="3"/>
  <c r="S53" i="3"/>
  <c r="U15" i="3"/>
  <c r="D16" i="3" s="1"/>
  <c r="AG16" i="3"/>
  <c r="AH16" i="3"/>
  <c r="Y14" i="3"/>
  <c r="E16" i="3" l="1"/>
  <c r="H16" i="3" s="1"/>
  <c r="K16" i="3" s="1"/>
  <c r="G16" i="3"/>
  <c r="S54" i="3"/>
  <c r="T53" i="3"/>
  <c r="P55" i="3"/>
  <c r="Q55" i="3" s="1"/>
  <c r="R55" i="3" s="1"/>
  <c r="A56" i="3"/>
  <c r="B56" i="3" s="1"/>
  <c r="AC55" i="3"/>
  <c r="AA55" i="3"/>
  <c r="Z55" i="3"/>
  <c r="AD55" i="3"/>
  <c r="F16" i="3" l="1"/>
  <c r="P56" i="3"/>
  <c r="Q56" i="3" s="1"/>
  <c r="R56" i="3" s="1"/>
  <c r="AA56" i="3"/>
  <c r="A57" i="3"/>
  <c r="B57" i="3" s="1"/>
  <c r="AD56" i="3"/>
  <c r="Z56" i="3"/>
  <c r="AC56" i="3"/>
  <c r="I16" i="3"/>
  <c r="J16" i="3"/>
  <c r="M16" i="3"/>
  <c r="N16" i="3" s="1"/>
  <c r="S55" i="3"/>
  <c r="T54" i="3"/>
  <c r="V16" i="3"/>
  <c r="AE16" i="3"/>
  <c r="S56" i="3" l="1"/>
  <c r="T55" i="3"/>
  <c r="AD57" i="3"/>
  <c r="AA57" i="3"/>
  <c r="A58" i="3"/>
  <c r="B58" i="3" s="1"/>
  <c r="AC57" i="3"/>
  <c r="P57" i="3"/>
  <c r="Q57" i="3" s="1"/>
  <c r="R57" i="3" s="1"/>
  <c r="Z57" i="3"/>
  <c r="L16" i="3"/>
  <c r="W16" i="3"/>
  <c r="Z58" i="3" l="1"/>
  <c r="AD58" i="3"/>
  <c r="AA58" i="3"/>
  <c r="P58" i="3"/>
  <c r="Q58" i="3" s="1"/>
  <c r="R58" i="3" s="1"/>
  <c r="A59" i="3"/>
  <c r="B59" i="3" s="1"/>
  <c r="AC58" i="3"/>
  <c r="S57" i="3"/>
  <c r="T56" i="3"/>
  <c r="U16" i="3"/>
  <c r="D17" i="3" s="1"/>
  <c r="AG17" i="3"/>
  <c r="AH17" i="3"/>
  <c r="Y15" i="3"/>
  <c r="G17" i="3" l="1"/>
  <c r="P59" i="3"/>
  <c r="Q59" i="3" s="1"/>
  <c r="R59" i="3" s="1"/>
  <c r="A60" i="3"/>
  <c r="B60" i="3" s="1"/>
  <c r="AC59" i="3"/>
  <c r="AD59" i="3"/>
  <c r="Z59" i="3"/>
  <c r="AA59" i="3"/>
  <c r="E17" i="3"/>
  <c r="H17" i="3" s="1"/>
  <c r="S58" i="3"/>
  <c r="T57" i="3"/>
  <c r="AC60" i="3" l="1"/>
  <c r="AD60" i="3"/>
  <c r="Z60" i="3"/>
  <c r="P60" i="3"/>
  <c r="Q60" i="3" s="1"/>
  <c r="R60" i="3" s="1"/>
  <c r="A61" i="3"/>
  <c r="B61" i="3" s="1"/>
  <c r="AA60" i="3"/>
  <c r="F17" i="3"/>
  <c r="I17" i="3"/>
  <c r="J17" i="3"/>
  <c r="M17" i="3"/>
  <c r="N17" i="3" s="1"/>
  <c r="K17" i="3"/>
  <c r="S59" i="3"/>
  <c r="T58" i="3"/>
  <c r="A62" i="3" l="1"/>
  <c r="B62" i="3" s="1"/>
  <c r="Z61" i="3"/>
  <c r="AD61" i="3"/>
  <c r="AC61" i="3"/>
  <c r="P61" i="3"/>
  <c r="Q61" i="3" s="1"/>
  <c r="R61" i="3" s="1"/>
  <c r="AA61" i="3"/>
  <c r="T59" i="3"/>
  <c r="S60" i="3"/>
  <c r="V17" i="3"/>
  <c r="W17" i="3" s="1"/>
  <c r="AE17" i="3"/>
  <c r="L17" i="3"/>
  <c r="AD62" i="3" l="1"/>
  <c r="P62" i="3"/>
  <c r="Q62" i="3" s="1"/>
  <c r="R62" i="3" s="1"/>
  <c r="Z62" i="3"/>
  <c r="AA62" i="3"/>
  <c r="AC62" i="3"/>
  <c r="A63" i="3"/>
  <c r="B63" i="3" s="1"/>
  <c r="S61" i="3"/>
  <c r="T60" i="3"/>
  <c r="U17" i="3"/>
  <c r="E18" i="3" s="1"/>
  <c r="H18" i="3" s="1"/>
  <c r="AG18" i="3"/>
  <c r="AH18" i="3"/>
  <c r="Y16" i="3"/>
  <c r="D18" i="3" l="1"/>
  <c r="G18" i="3" s="1"/>
  <c r="K18" i="3"/>
  <c r="AC63" i="3"/>
  <c r="AA63" i="3"/>
  <c r="A64" i="3"/>
  <c r="B64" i="3" s="1"/>
  <c r="AD63" i="3"/>
  <c r="P63" i="3"/>
  <c r="Q63" i="3" s="1"/>
  <c r="R63" i="3" s="1"/>
  <c r="Z63" i="3"/>
  <c r="S62" i="3"/>
  <c r="T61" i="3"/>
  <c r="F18" i="3" l="1"/>
  <c r="I18" i="3"/>
  <c r="J18" i="3"/>
  <c r="M18" i="3"/>
  <c r="N18" i="3" s="1"/>
  <c r="S63" i="3"/>
  <c r="T62" i="3"/>
  <c r="A65" i="3"/>
  <c r="B65" i="3" s="1"/>
  <c r="Z64" i="3"/>
  <c r="AA64" i="3"/>
  <c r="AC64" i="3"/>
  <c r="AD64" i="3"/>
  <c r="P64" i="3"/>
  <c r="Q64" i="3" s="1"/>
  <c r="R64" i="3" s="1"/>
  <c r="V18" i="3"/>
  <c r="AE18" i="3"/>
  <c r="Z65" i="3" l="1"/>
  <c r="AA65" i="3"/>
  <c r="A66" i="3"/>
  <c r="B66" i="3" s="1"/>
  <c r="AC65" i="3"/>
  <c r="P65" i="3"/>
  <c r="Q65" i="3" s="1"/>
  <c r="R65" i="3" s="1"/>
  <c r="AD65" i="3"/>
  <c r="L18" i="3"/>
  <c r="W18" i="3"/>
  <c r="S64" i="3"/>
  <c r="T63" i="3"/>
  <c r="A67" i="3" l="1"/>
  <c r="B67" i="3" s="1"/>
  <c r="P66" i="3"/>
  <c r="Q66" i="3" s="1"/>
  <c r="R66" i="3" s="1"/>
  <c r="AC66" i="3"/>
  <c r="Z66" i="3"/>
  <c r="AD66" i="3"/>
  <c r="AA66" i="3"/>
  <c r="U18" i="3"/>
  <c r="D19" i="3" s="1"/>
  <c r="AH19" i="3"/>
  <c r="AG19" i="3"/>
  <c r="Y17" i="3"/>
  <c r="S65" i="3"/>
  <c r="T64" i="3"/>
  <c r="G19" i="3" l="1"/>
  <c r="E19" i="3"/>
  <c r="H19" i="3" s="1"/>
  <c r="AA67" i="3"/>
  <c r="Z67" i="3"/>
  <c r="AD67" i="3"/>
  <c r="AC67" i="3"/>
  <c r="P67" i="3"/>
  <c r="Q67" i="3" s="1"/>
  <c r="R67" i="3" s="1"/>
  <c r="A68" i="3"/>
  <c r="B68" i="3" s="1"/>
  <c r="S66" i="3"/>
  <c r="T65" i="3"/>
  <c r="F19" i="3" l="1"/>
  <c r="AD68" i="3"/>
  <c r="AC68" i="3"/>
  <c r="Z68" i="3"/>
  <c r="AA68" i="3"/>
  <c r="A69" i="3"/>
  <c r="B69" i="3" s="1"/>
  <c r="P68" i="3"/>
  <c r="Q68" i="3" s="1"/>
  <c r="R68" i="3" s="1"/>
  <c r="I19" i="3"/>
  <c r="J19" i="3"/>
  <c r="M19" i="3"/>
  <c r="N19" i="3" s="1"/>
  <c r="K19" i="3"/>
  <c r="S67" i="3"/>
  <c r="T66" i="3"/>
  <c r="Z69" i="3" l="1"/>
  <c r="AC69" i="3"/>
  <c r="P69" i="3"/>
  <c r="Q69" i="3" s="1"/>
  <c r="R69" i="3" s="1"/>
  <c r="AA69" i="3"/>
  <c r="AD69" i="3"/>
  <c r="A70" i="3"/>
  <c r="B70" i="3" s="1"/>
  <c r="V19" i="3"/>
  <c r="W19" i="3" s="1"/>
  <c r="AE19" i="3"/>
  <c r="L19" i="3"/>
  <c r="T67" i="3"/>
  <c r="S68" i="3"/>
  <c r="AH20" i="3" l="1"/>
  <c r="U19" i="3"/>
  <c r="E20" i="3" s="1"/>
  <c r="H20" i="3" s="1"/>
  <c r="AG20" i="3"/>
  <c r="Y18" i="3"/>
  <c r="A71" i="3"/>
  <c r="B71" i="3" s="1"/>
  <c r="AC70" i="3"/>
  <c r="AA70" i="3"/>
  <c r="AD70" i="3"/>
  <c r="P70" i="3"/>
  <c r="Q70" i="3" s="1"/>
  <c r="R70" i="3" s="1"/>
  <c r="Z70" i="3"/>
  <c r="S69" i="3"/>
  <c r="T68" i="3"/>
  <c r="D20" i="3" l="1"/>
  <c r="G20" i="3" s="1"/>
  <c r="K20" i="3"/>
  <c r="AA71" i="3"/>
  <c r="A72" i="3"/>
  <c r="B72" i="3" s="1"/>
  <c r="AC71" i="3"/>
  <c r="Z71" i="3"/>
  <c r="AD71" i="3"/>
  <c r="P71" i="3"/>
  <c r="Q71" i="3" s="1"/>
  <c r="R71" i="3" s="1"/>
  <c r="T69" i="3"/>
  <c r="S70" i="3"/>
  <c r="F20" i="3" l="1"/>
  <c r="A73" i="3"/>
  <c r="B73" i="3" s="1"/>
  <c r="Z72" i="3"/>
  <c r="P72" i="3"/>
  <c r="Q72" i="3" s="1"/>
  <c r="R72" i="3" s="1"/>
  <c r="AD72" i="3"/>
  <c r="AA72" i="3"/>
  <c r="AC72" i="3"/>
  <c r="T70" i="3"/>
  <c r="S71" i="3"/>
  <c r="V20" i="3"/>
  <c r="AE20" i="3"/>
  <c r="I20" i="3"/>
  <c r="J20" i="3"/>
  <c r="M20" i="3"/>
  <c r="N20" i="3" s="1"/>
  <c r="AC73" i="3" l="1"/>
  <c r="A74" i="3"/>
  <c r="B74" i="3" s="1"/>
  <c r="Z73" i="3"/>
  <c r="AA73" i="3"/>
  <c r="AD73" i="3"/>
  <c r="P73" i="3"/>
  <c r="Q73" i="3" s="1"/>
  <c r="R73" i="3" s="1"/>
  <c r="L20" i="3"/>
  <c r="T71" i="3"/>
  <c r="S72" i="3"/>
  <c r="W20" i="3"/>
  <c r="AD74" i="3" l="1"/>
  <c r="P74" i="3"/>
  <c r="Q74" i="3" s="1"/>
  <c r="R74" i="3" s="1"/>
  <c r="AC74" i="3"/>
  <c r="A75" i="3"/>
  <c r="B75" i="3" s="1"/>
  <c r="AA74" i="3"/>
  <c r="Z74" i="3"/>
  <c r="AG21" i="3"/>
  <c r="U20" i="3"/>
  <c r="E21" i="3" s="1"/>
  <c r="H21" i="3" s="1"/>
  <c r="AH21" i="3"/>
  <c r="Y19" i="3"/>
  <c r="S73" i="3"/>
  <c r="T72" i="3"/>
  <c r="D21" i="3" l="1"/>
  <c r="G21" i="3" s="1"/>
  <c r="K21" i="3"/>
  <c r="P75" i="3"/>
  <c r="Q75" i="3" s="1"/>
  <c r="R75" i="3" s="1"/>
  <c r="Z75" i="3"/>
  <c r="A76" i="3"/>
  <c r="B76" i="3" s="1"/>
  <c r="AA75" i="3"/>
  <c r="AC75" i="3"/>
  <c r="AD75" i="3"/>
  <c r="T73" i="3"/>
  <c r="S74" i="3"/>
  <c r="F21" i="3" l="1"/>
  <c r="AC76" i="3"/>
  <c r="Z76" i="3"/>
  <c r="AD76" i="3"/>
  <c r="AA76" i="3"/>
  <c r="A77" i="3"/>
  <c r="B77" i="3" s="1"/>
  <c r="P76" i="3"/>
  <c r="Q76" i="3" s="1"/>
  <c r="R76" i="3" s="1"/>
  <c r="I21" i="3"/>
  <c r="J21" i="3"/>
  <c r="M21" i="3"/>
  <c r="N21" i="3" s="1"/>
  <c r="S75" i="3"/>
  <c r="T74" i="3"/>
  <c r="V21" i="3"/>
  <c r="AE21" i="3"/>
  <c r="W21" i="3" l="1"/>
  <c r="S76" i="3"/>
  <c r="T75" i="3"/>
  <c r="A78" i="3"/>
  <c r="B78" i="3" s="1"/>
  <c r="AA77" i="3"/>
  <c r="Z77" i="3"/>
  <c r="P77" i="3"/>
  <c r="Q77" i="3" s="1"/>
  <c r="R77" i="3" s="1"/>
  <c r="AD77" i="3"/>
  <c r="AC77" i="3"/>
  <c r="L21" i="3"/>
  <c r="S77" i="3" l="1"/>
  <c r="T76" i="3"/>
  <c r="AG22" i="3"/>
  <c r="U21" i="3"/>
  <c r="D22" i="3" s="1"/>
  <c r="AH22" i="3"/>
  <c r="Y20" i="3"/>
  <c r="A79" i="3"/>
  <c r="B79" i="3" s="1"/>
  <c r="AD78" i="3"/>
  <c r="P78" i="3"/>
  <c r="Q78" i="3" s="1"/>
  <c r="R78" i="3" s="1"/>
  <c r="AC78" i="3"/>
  <c r="AA78" i="3"/>
  <c r="Z78" i="3"/>
  <c r="G22" i="3" l="1"/>
  <c r="T77" i="3"/>
  <c r="S78" i="3"/>
  <c r="E22" i="3"/>
  <c r="H22" i="3" s="1"/>
  <c r="P79" i="3"/>
  <c r="Q79" i="3" s="1"/>
  <c r="R79" i="3" s="1"/>
  <c r="A80" i="3"/>
  <c r="B80" i="3" s="1"/>
  <c r="Z79" i="3"/>
  <c r="AC79" i="3"/>
  <c r="AA79" i="3"/>
  <c r="AD79" i="3"/>
  <c r="AA80" i="3" l="1"/>
  <c r="A81" i="3"/>
  <c r="B81" i="3" s="1"/>
  <c r="AD80" i="3"/>
  <c r="AC80" i="3"/>
  <c r="P80" i="3"/>
  <c r="Q80" i="3" s="1"/>
  <c r="R80" i="3" s="1"/>
  <c r="Z80" i="3"/>
  <c r="I22" i="3"/>
  <c r="J22" i="3"/>
  <c r="M22" i="3"/>
  <c r="N22" i="3" s="1"/>
  <c r="K22" i="3"/>
  <c r="T78" i="3"/>
  <c r="S79" i="3"/>
  <c r="F22" i="3"/>
  <c r="L22" i="3" l="1"/>
  <c r="S80" i="3"/>
  <c r="T79" i="3"/>
  <c r="Z81" i="3"/>
  <c r="AC81" i="3"/>
  <c r="A82" i="3"/>
  <c r="B82" i="3" s="1"/>
  <c r="AA81" i="3"/>
  <c r="AD81" i="3"/>
  <c r="P81" i="3"/>
  <c r="Q81" i="3" s="1"/>
  <c r="R81" i="3" s="1"/>
  <c r="V22" i="3"/>
  <c r="W22" i="3" s="1"/>
  <c r="AE22" i="3"/>
  <c r="U22" i="3" l="1"/>
  <c r="E23" i="3" s="1"/>
  <c r="H23" i="3" s="1"/>
  <c r="AH23" i="3"/>
  <c r="AG23" i="3"/>
  <c r="Y21" i="3"/>
  <c r="A83" i="3"/>
  <c r="B83" i="3" s="1"/>
  <c r="P82" i="3"/>
  <c r="Q82" i="3" s="1"/>
  <c r="R82" i="3" s="1"/>
  <c r="AC82" i="3"/>
  <c r="AA82" i="3"/>
  <c r="Z82" i="3"/>
  <c r="AD82" i="3"/>
  <c r="T80" i="3"/>
  <c r="S81" i="3"/>
  <c r="AA83" i="3" l="1"/>
  <c r="AC83" i="3"/>
  <c r="P83" i="3"/>
  <c r="Q83" i="3" s="1"/>
  <c r="R83" i="3" s="1"/>
  <c r="Z83" i="3"/>
  <c r="AD83" i="3"/>
  <c r="A84" i="3"/>
  <c r="B84" i="3" s="1"/>
  <c r="K23" i="3"/>
  <c r="D23" i="3"/>
  <c r="T81" i="3"/>
  <c r="S82" i="3"/>
  <c r="AA84" i="3" l="1"/>
  <c r="Z84" i="3"/>
  <c r="A85" i="3"/>
  <c r="B85" i="3" s="1"/>
  <c r="P84" i="3"/>
  <c r="Q84" i="3" s="1"/>
  <c r="R84" i="3" s="1"/>
  <c r="AD84" i="3"/>
  <c r="AC84" i="3"/>
  <c r="T82" i="3"/>
  <c r="S83" i="3"/>
  <c r="V23" i="3"/>
  <c r="AE23" i="3"/>
  <c r="F23" i="3"/>
  <c r="G23" i="3"/>
  <c r="T83" i="3" l="1"/>
  <c r="S84" i="3"/>
  <c r="A86" i="3"/>
  <c r="B86" i="3" s="1"/>
  <c r="P85" i="3"/>
  <c r="Q85" i="3" s="1"/>
  <c r="R85" i="3" s="1"/>
  <c r="AA85" i="3"/>
  <c r="AC85" i="3"/>
  <c r="Z85" i="3"/>
  <c r="AD85" i="3"/>
  <c r="I23" i="3"/>
  <c r="W23" i="3" s="1"/>
  <c r="J23" i="3"/>
  <c r="M23" i="3"/>
  <c r="N23" i="3" s="1"/>
  <c r="AC86" i="3" l="1"/>
  <c r="Z86" i="3"/>
  <c r="P86" i="3"/>
  <c r="Q86" i="3" s="1"/>
  <c r="R86" i="3" s="1"/>
  <c r="AA86" i="3"/>
  <c r="A87" i="3"/>
  <c r="B87" i="3" s="1"/>
  <c r="AD86" i="3"/>
  <c r="S85" i="3"/>
  <c r="T84" i="3"/>
  <c r="L23" i="3"/>
  <c r="P87" i="3" l="1"/>
  <c r="Q87" i="3" s="1"/>
  <c r="R87" i="3" s="1"/>
  <c r="Z87" i="3"/>
  <c r="A88" i="3"/>
  <c r="B88" i="3" s="1"/>
  <c r="AD87" i="3"/>
  <c r="AC87" i="3"/>
  <c r="AA87" i="3"/>
  <c r="AG24" i="3"/>
  <c r="AH24" i="3"/>
  <c r="U23" i="3"/>
  <c r="E24" i="3" s="1"/>
  <c r="H24" i="3" s="1"/>
  <c r="Y22" i="3"/>
  <c r="T85" i="3"/>
  <c r="S86" i="3"/>
  <c r="D24" i="3" l="1"/>
  <c r="G24" i="3" s="1"/>
  <c r="T86" i="3"/>
  <c r="S87" i="3"/>
  <c r="A89" i="3"/>
  <c r="B89" i="3" s="1"/>
  <c r="P88" i="3"/>
  <c r="Q88" i="3" s="1"/>
  <c r="R88" i="3" s="1"/>
  <c r="AC88" i="3"/>
  <c r="Z88" i="3"/>
  <c r="AA88" i="3"/>
  <c r="AD88" i="3"/>
  <c r="K24" i="3"/>
  <c r="F24" i="3" l="1"/>
  <c r="AD89" i="3"/>
  <c r="AC89" i="3"/>
  <c r="P89" i="3"/>
  <c r="Q89" i="3" s="1"/>
  <c r="R89" i="3" s="1"/>
  <c r="Z89" i="3"/>
  <c r="AA89" i="3"/>
  <c r="A90" i="3"/>
  <c r="B90" i="3" s="1"/>
  <c r="S88" i="3"/>
  <c r="T87" i="3"/>
  <c r="V24" i="3"/>
  <c r="AE24" i="3"/>
  <c r="I24" i="3"/>
  <c r="J24" i="3"/>
  <c r="M24" i="3"/>
  <c r="N24" i="3" s="1"/>
  <c r="T88" i="3" l="1"/>
  <c r="S89" i="3"/>
  <c r="A91" i="3"/>
  <c r="B91" i="3" s="1"/>
  <c r="P90" i="3"/>
  <c r="Q90" i="3" s="1"/>
  <c r="R90" i="3" s="1"/>
  <c r="AC90" i="3"/>
  <c r="Z90" i="3"/>
  <c r="AA90" i="3"/>
  <c r="AD90" i="3"/>
  <c r="L24" i="3"/>
  <c r="W24" i="3"/>
  <c r="S90" i="3" l="1"/>
  <c r="T89" i="3"/>
  <c r="P91" i="3"/>
  <c r="Q91" i="3" s="1"/>
  <c r="R91" i="3" s="1"/>
  <c r="AD91" i="3"/>
  <c r="AA91" i="3"/>
  <c r="A92" i="3"/>
  <c r="B92" i="3" s="1"/>
  <c r="AC91" i="3"/>
  <c r="Z91" i="3"/>
  <c r="AH25" i="3"/>
  <c r="AG25" i="3"/>
  <c r="U24" i="3"/>
  <c r="D25" i="3" s="1"/>
  <c r="Y23" i="3"/>
  <c r="E25" i="3" l="1"/>
  <c r="H25" i="3" s="1"/>
  <c r="K25" i="3" s="1"/>
  <c r="G25" i="3"/>
  <c r="AA92" i="3"/>
  <c r="AD92" i="3"/>
  <c r="AC92" i="3"/>
  <c r="P92" i="3"/>
  <c r="Q92" i="3" s="1"/>
  <c r="R92" i="3" s="1"/>
  <c r="Z92" i="3"/>
  <c r="A93" i="3"/>
  <c r="B93" i="3" s="1"/>
  <c r="S91" i="3"/>
  <c r="T90" i="3"/>
  <c r="F25" i="3" l="1"/>
  <c r="S92" i="3"/>
  <c r="T91" i="3"/>
  <c r="Z93" i="3"/>
  <c r="AA93" i="3"/>
  <c r="P93" i="3"/>
  <c r="Q93" i="3" s="1"/>
  <c r="R93" i="3" s="1"/>
  <c r="A94" i="3"/>
  <c r="B94" i="3" s="1"/>
  <c r="AD93" i="3"/>
  <c r="AC93" i="3"/>
  <c r="I25" i="3"/>
  <c r="J25" i="3"/>
  <c r="M25" i="3"/>
  <c r="N25" i="3" s="1"/>
  <c r="V25" i="3"/>
  <c r="AE25" i="3"/>
  <c r="W25" i="3" l="1"/>
  <c r="AC94" i="3"/>
  <c r="Z94" i="3"/>
  <c r="AA94" i="3"/>
  <c r="AD94" i="3"/>
  <c r="A95" i="3"/>
  <c r="B95" i="3" s="1"/>
  <c r="P94" i="3"/>
  <c r="Q94" i="3" s="1"/>
  <c r="R94" i="3" s="1"/>
  <c r="L25" i="3"/>
  <c r="T92" i="3"/>
  <c r="S93" i="3"/>
  <c r="U25" i="3" l="1"/>
  <c r="E26" i="3" s="1"/>
  <c r="H26" i="3" s="1"/>
  <c r="AH26" i="3"/>
  <c r="AG26" i="3"/>
  <c r="Y24" i="3"/>
  <c r="Z95" i="3"/>
  <c r="A96" i="3"/>
  <c r="B96" i="3" s="1"/>
  <c r="P95" i="3"/>
  <c r="Q95" i="3" s="1"/>
  <c r="R95" i="3" s="1"/>
  <c r="AC95" i="3"/>
  <c r="AD95" i="3"/>
  <c r="AA95" i="3"/>
  <c r="S94" i="3"/>
  <c r="T93" i="3"/>
  <c r="D26" i="3" l="1"/>
  <c r="G26" i="3" s="1"/>
  <c r="K26" i="3"/>
  <c r="Z96" i="3"/>
  <c r="P96" i="3"/>
  <c r="Q96" i="3" s="1"/>
  <c r="R96" i="3" s="1"/>
  <c r="AC96" i="3"/>
  <c r="AA96" i="3"/>
  <c r="AD96" i="3"/>
  <c r="A97" i="3"/>
  <c r="B97" i="3" s="1"/>
  <c r="T94" i="3"/>
  <c r="S95" i="3"/>
  <c r="F26" i="3" l="1"/>
  <c r="I26" i="3"/>
  <c r="J26" i="3"/>
  <c r="M26" i="3"/>
  <c r="N26" i="3" s="1"/>
  <c r="S96" i="3"/>
  <c r="T95" i="3"/>
  <c r="A98" i="3"/>
  <c r="B98" i="3" s="1"/>
  <c r="P97" i="3"/>
  <c r="Q97" i="3" s="1"/>
  <c r="R97" i="3" s="1"/>
  <c r="AD97" i="3"/>
  <c r="AA97" i="3"/>
  <c r="Z97" i="3"/>
  <c r="AC97" i="3"/>
  <c r="V26" i="3"/>
  <c r="AE26" i="3"/>
  <c r="W26" i="3" l="1"/>
  <c r="A99" i="3"/>
  <c r="B99" i="3" s="1"/>
  <c r="AD98" i="3"/>
  <c r="AA98" i="3"/>
  <c r="P98" i="3"/>
  <c r="Q98" i="3" s="1"/>
  <c r="R98" i="3" s="1"/>
  <c r="Z98" i="3"/>
  <c r="AC98" i="3"/>
  <c r="S97" i="3"/>
  <c r="T96" i="3"/>
  <c r="L26" i="3"/>
  <c r="AD99" i="3" l="1"/>
  <c r="P99" i="3"/>
  <c r="Q99" i="3" s="1"/>
  <c r="R99" i="3" s="1"/>
  <c r="Z99" i="3"/>
  <c r="A100" i="3"/>
  <c r="B100" i="3" s="1"/>
  <c r="AC99" i="3"/>
  <c r="AA99" i="3"/>
  <c r="T97" i="3"/>
  <c r="S98" i="3"/>
  <c r="AH27" i="3"/>
  <c r="U26" i="3"/>
  <c r="D27" i="3" s="1"/>
  <c r="AG27" i="3"/>
  <c r="Y25" i="3"/>
  <c r="E27" i="3" l="1"/>
  <c r="H27" i="3" s="1"/>
  <c r="K27" i="3" s="1"/>
  <c r="G27" i="3"/>
  <c r="A101" i="3"/>
  <c r="B101" i="3" s="1"/>
  <c r="AA100" i="3"/>
  <c r="AC100" i="3"/>
  <c r="Z100" i="3"/>
  <c r="AD100" i="3"/>
  <c r="P100" i="3"/>
  <c r="Q100" i="3" s="1"/>
  <c r="R100" i="3" s="1"/>
  <c r="T98" i="3"/>
  <c r="S99" i="3"/>
  <c r="F27" i="3" l="1"/>
  <c r="AD101" i="3"/>
  <c r="Z101" i="3"/>
  <c r="P101" i="3"/>
  <c r="Q101" i="3" s="1"/>
  <c r="R101" i="3" s="1"/>
  <c r="AC101" i="3"/>
  <c r="A102" i="3"/>
  <c r="B102" i="3" s="1"/>
  <c r="AA101" i="3"/>
  <c r="I27" i="3"/>
  <c r="J27" i="3"/>
  <c r="M27" i="3"/>
  <c r="N27" i="3" s="1"/>
  <c r="V27" i="3"/>
  <c r="AE27" i="3"/>
  <c r="T99" i="3"/>
  <c r="S100" i="3"/>
  <c r="P102" i="3" l="1"/>
  <c r="Q102" i="3" s="1"/>
  <c r="R102" i="3" s="1"/>
  <c r="A103" i="3"/>
  <c r="B103" i="3" s="1"/>
  <c r="AA102" i="3"/>
  <c r="AC102" i="3"/>
  <c r="AD102" i="3"/>
  <c r="Z102" i="3"/>
  <c r="T100" i="3"/>
  <c r="S101" i="3"/>
  <c r="L27" i="3"/>
  <c r="W27" i="3"/>
  <c r="P103" i="3" l="1"/>
  <c r="Q103" i="3" s="1"/>
  <c r="R103" i="3" s="1"/>
  <c r="AD103" i="3"/>
  <c r="AC103" i="3"/>
  <c r="Z103" i="3"/>
  <c r="A104" i="3"/>
  <c r="B104" i="3" s="1"/>
  <c r="AA103" i="3"/>
  <c r="U27" i="3"/>
  <c r="E28" i="3" s="1"/>
  <c r="H28" i="3" s="1"/>
  <c r="AG28" i="3"/>
  <c r="AH28" i="3"/>
  <c r="Y26" i="3"/>
  <c r="S102" i="3"/>
  <c r="T101" i="3"/>
  <c r="D28" i="3" l="1"/>
  <c r="F28" i="3" s="1"/>
  <c r="K28" i="3"/>
  <c r="A105" i="3"/>
  <c r="B105" i="3" s="1"/>
  <c r="AC104" i="3"/>
  <c r="P104" i="3"/>
  <c r="Q104" i="3" s="1"/>
  <c r="R104" i="3" s="1"/>
  <c r="Z104" i="3"/>
  <c r="AA104" i="3"/>
  <c r="T102" i="3"/>
  <c r="S103" i="3"/>
  <c r="G28" i="3" l="1"/>
  <c r="I28" i="3" s="1"/>
  <c r="A106" i="3"/>
  <c r="B106" i="3" s="1"/>
  <c r="AA105" i="3"/>
  <c r="Z105" i="3"/>
  <c r="P105" i="3"/>
  <c r="Q105" i="3" s="1"/>
  <c r="R105" i="3" s="1"/>
  <c r="AC105" i="3"/>
  <c r="AD105" i="3"/>
  <c r="S104" i="3"/>
  <c r="T103" i="3"/>
  <c r="V28" i="3"/>
  <c r="AE28" i="3"/>
  <c r="M28" i="3" l="1"/>
  <c r="N28" i="3" s="1"/>
  <c r="J28" i="3"/>
  <c r="L28" i="3" s="1"/>
  <c r="W28" i="3"/>
  <c r="P106" i="3"/>
  <c r="Q106" i="3" s="1"/>
  <c r="R106" i="3" s="1"/>
  <c r="Z106" i="3"/>
  <c r="A107" i="3"/>
  <c r="B107" i="3" s="1"/>
  <c r="AD106" i="3"/>
  <c r="AC106" i="3"/>
  <c r="AA106" i="3"/>
  <c r="S105" i="3"/>
  <c r="T104" i="3"/>
  <c r="S106" i="3" l="1"/>
  <c r="T105" i="3"/>
  <c r="Z107" i="3"/>
  <c r="AA107" i="3"/>
  <c r="AC107" i="3"/>
  <c r="AD107" i="3"/>
  <c r="P107" i="3"/>
  <c r="Q107" i="3" s="1"/>
  <c r="R107" i="3" s="1"/>
  <c r="A108" i="3"/>
  <c r="B108" i="3" s="1"/>
  <c r="AH29" i="3"/>
  <c r="AG29" i="3"/>
  <c r="U28" i="3"/>
  <c r="E29" i="3" s="1"/>
  <c r="H29" i="3" s="1"/>
  <c r="Y27" i="3"/>
  <c r="D29" i="3" l="1"/>
  <c r="F29" i="3" s="1"/>
  <c r="Z108" i="3"/>
  <c r="AA108" i="3"/>
  <c r="A109" i="3"/>
  <c r="B109" i="3" s="1"/>
  <c r="AC108" i="3"/>
  <c r="P108" i="3"/>
  <c r="Q108" i="3" s="1"/>
  <c r="R108" i="3" s="1"/>
  <c r="AD108" i="3"/>
  <c r="S107" i="3"/>
  <c r="T106" i="3"/>
  <c r="K29" i="3"/>
  <c r="G29" i="3" l="1"/>
  <c r="M29" i="3" s="1"/>
  <c r="N29" i="3" s="1"/>
  <c r="A110" i="3"/>
  <c r="B110" i="3" s="1"/>
  <c r="AD109" i="3"/>
  <c r="P109" i="3"/>
  <c r="Q109" i="3" s="1"/>
  <c r="R109" i="3" s="1"/>
  <c r="AA109" i="3"/>
  <c r="Z109" i="3"/>
  <c r="AC109" i="3"/>
  <c r="V29" i="3"/>
  <c r="AE29" i="3"/>
  <c r="T107" i="3"/>
  <c r="S108" i="3"/>
  <c r="J29" i="3" l="1"/>
  <c r="L29" i="3" s="1"/>
  <c r="I29" i="3"/>
  <c r="W29" i="3" s="1"/>
  <c r="AA110" i="3"/>
  <c r="A111" i="3"/>
  <c r="B111" i="3" s="1"/>
  <c r="AD110" i="3"/>
  <c r="Z110" i="3"/>
  <c r="P110" i="3"/>
  <c r="Q110" i="3" s="1"/>
  <c r="R110" i="3" s="1"/>
  <c r="AC110" i="3"/>
  <c r="S109" i="3"/>
  <c r="T108" i="3"/>
  <c r="A112" i="3" l="1"/>
  <c r="B112" i="3" s="1"/>
  <c r="AA111" i="3"/>
  <c r="AC111" i="3"/>
  <c r="P111" i="3"/>
  <c r="Q111" i="3" s="1"/>
  <c r="R111" i="3" s="1"/>
  <c r="AD111" i="3"/>
  <c r="Z111" i="3"/>
  <c r="U29" i="3"/>
  <c r="D30" i="3" s="1"/>
  <c r="AG30" i="3"/>
  <c r="AH30" i="3"/>
  <c r="Y28" i="3"/>
  <c r="S110" i="3"/>
  <c r="T109" i="3"/>
  <c r="E30" i="3" l="1"/>
  <c r="H30" i="3" s="1"/>
  <c r="K30" i="3" s="1"/>
  <c r="AD112" i="3"/>
  <c r="P112" i="3"/>
  <c r="Q112" i="3" s="1"/>
  <c r="R112" i="3" s="1"/>
  <c r="AA112" i="3"/>
  <c r="Z112" i="3"/>
  <c r="A113" i="3"/>
  <c r="B113" i="3" s="1"/>
  <c r="AC112" i="3"/>
  <c r="G30" i="3"/>
  <c r="T110" i="3"/>
  <c r="S111" i="3"/>
  <c r="F30" i="3" l="1"/>
  <c r="AC113" i="3"/>
  <c r="AA113" i="3"/>
  <c r="A114" i="3"/>
  <c r="B114" i="3" s="1"/>
  <c r="Z113" i="3"/>
  <c r="P113" i="3"/>
  <c r="Q113" i="3" s="1"/>
  <c r="R113" i="3" s="1"/>
  <c r="AD113" i="3"/>
  <c r="S112" i="3"/>
  <c r="T111" i="3"/>
  <c r="I30" i="3"/>
  <c r="J30" i="3"/>
  <c r="M30" i="3"/>
  <c r="N30" i="3" s="1"/>
  <c r="V30" i="3"/>
  <c r="AE30" i="3"/>
  <c r="W30" i="3" l="1"/>
  <c r="P114" i="3"/>
  <c r="Q114" i="3" s="1"/>
  <c r="R114" i="3" s="1"/>
  <c r="AD114" i="3"/>
  <c r="Z114" i="3"/>
  <c r="AC114" i="3"/>
  <c r="AA114" i="3"/>
  <c r="A115" i="3"/>
  <c r="B115" i="3" s="1"/>
  <c r="S113" i="3"/>
  <c r="T112" i="3"/>
  <c r="L30" i="3"/>
  <c r="AA115" i="3" l="1"/>
  <c r="A116" i="3"/>
  <c r="B116" i="3" s="1"/>
  <c r="Z115" i="3"/>
  <c r="AD115" i="3"/>
  <c r="P115" i="3"/>
  <c r="Q115" i="3" s="1"/>
  <c r="R115" i="3" s="1"/>
  <c r="AC115" i="3"/>
  <c r="T113" i="3"/>
  <c r="S114" i="3"/>
  <c r="U30" i="3"/>
  <c r="D31" i="3" s="1"/>
  <c r="AG31" i="3"/>
  <c r="AH31" i="3"/>
  <c r="Y29" i="3"/>
  <c r="E31" i="3" l="1"/>
  <c r="H31" i="3" s="1"/>
  <c r="K31" i="3" s="1"/>
  <c r="AD116" i="3"/>
  <c r="P116" i="3"/>
  <c r="Q116" i="3" s="1"/>
  <c r="R116" i="3" s="1"/>
  <c r="AA116" i="3"/>
  <c r="A117" i="3"/>
  <c r="B117" i="3" s="1"/>
  <c r="AC116" i="3"/>
  <c r="Z116" i="3"/>
  <c r="S115" i="3"/>
  <c r="T114" i="3"/>
  <c r="G31" i="3"/>
  <c r="F31" i="3" l="1"/>
  <c r="A118" i="3"/>
  <c r="B118" i="3" s="1"/>
  <c r="Z117" i="3"/>
  <c r="P117" i="3"/>
  <c r="Q117" i="3" s="1"/>
  <c r="R117" i="3" s="1"/>
  <c r="AC117" i="3"/>
  <c r="AD117" i="3"/>
  <c r="AA117" i="3"/>
  <c r="S116" i="3"/>
  <c r="T115" i="3"/>
  <c r="V31" i="3"/>
  <c r="AE31" i="3"/>
  <c r="I31" i="3"/>
  <c r="J31" i="3"/>
  <c r="M31" i="3"/>
  <c r="N31" i="3" s="1"/>
  <c r="P118" i="3" l="1"/>
  <c r="Q118" i="3" s="1"/>
  <c r="R118" i="3" s="1"/>
  <c r="Z118" i="3"/>
  <c r="AA118" i="3"/>
  <c r="AC118" i="3"/>
  <c r="A119" i="3"/>
  <c r="B119" i="3" s="1"/>
  <c r="AD118" i="3"/>
  <c r="L31" i="3"/>
  <c r="S117" i="3"/>
  <c r="T116" i="3"/>
  <c r="W31" i="3"/>
  <c r="S118" i="3" l="1"/>
  <c r="T117" i="3"/>
  <c r="AG32" i="3"/>
  <c r="AH32" i="3"/>
  <c r="U31" i="3"/>
  <c r="E32" i="3" s="1"/>
  <c r="H32" i="3" s="1"/>
  <c r="Y30" i="3"/>
  <c r="AD119" i="3"/>
  <c r="Z119" i="3"/>
  <c r="AC119" i="3"/>
  <c r="P119" i="3"/>
  <c r="Q119" i="3" s="1"/>
  <c r="R119" i="3" s="1"/>
  <c r="AA119" i="3"/>
  <c r="A120" i="3"/>
  <c r="B120" i="3" s="1"/>
  <c r="D32" i="3" l="1"/>
  <c r="F32" i="3" s="1"/>
  <c r="K32" i="3"/>
  <c r="T118" i="3"/>
  <c r="S119" i="3"/>
  <c r="P120" i="3"/>
  <c r="Q120" i="3" s="1"/>
  <c r="R120" i="3" s="1"/>
  <c r="Z120" i="3"/>
  <c r="AA120" i="3"/>
  <c r="AD120" i="3"/>
  <c r="A121" i="3"/>
  <c r="B121" i="3" s="1"/>
  <c r="AC120" i="3"/>
  <c r="G32" i="3" l="1"/>
  <c r="I32" i="3" s="1"/>
  <c r="A122" i="3"/>
  <c r="B122" i="3" s="1"/>
  <c r="P121" i="3"/>
  <c r="Q121" i="3" s="1"/>
  <c r="R121" i="3" s="1"/>
  <c r="AC121" i="3"/>
  <c r="AD121" i="3"/>
  <c r="AA121" i="3"/>
  <c r="Z121" i="3"/>
  <c r="V32" i="3"/>
  <c r="AE32" i="3"/>
  <c r="T119" i="3"/>
  <c r="S120" i="3"/>
  <c r="M32" i="3" l="1"/>
  <c r="N32" i="3" s="1"/>
  <c r="J32" i="3"/>
  <c r="L32" i="3" s="1"/>
  <c r="W32" i="3"/>
  <c r="AD122" i="3"/>
  <c r="A123" i="3"/>
  <c r="B123" i="3" s="1"/>
  <c r="Z122" i="3"/>
  <c r="AA122" i="3"/>
  <c r="P122" i="3"/>
  <c r="Q122" i="3" s="1"/>
  <c r="R122" i="3" s="1"/>
  <c r="AC122" i="3"/>
  <c r="S121" i="3"/>
  <c r="T120" i="3"/>
  <c r="T121" i="3" l="1"/>
  <c r="S122" i="3"/>
  <c r="AA123" i="3"/>
  <c r="P123" i="3"/>
  <c r="Q123" i="3" s="1"/>
  <c r="R123" i="3" s="1"/>
  <c r="A124" i="3"/>
  <c r="B124" i="3" s="1"/>
  <c r="Z123" i="3"/>
  <c r="AC123" i="3"/>
  <c r="AD123" i="3"/>
  <c r="AH33" i="3"/>
  <c r="AG33" i="3"/>
  <c r="U32" i="3"/>
  <c r="D33" i="3" s="1"/>
  <c r="Y31" i="3"/>
  <c r="E33" i="3" l="1"/>
  <c r="H33" i="3" s="1"/>
  <c r="K33" i="3" s="1"/>
  <c r="A125" i="3"/>
  <c r="B125" i="3" s="1"/>
  <c r="P124" i="3"/>
  <c r="Q124" i="3" s="1"/>
  <c r="R124" i="3" s="1"/>
  <c r="AC124" i="3"/>
  <c r="AA124" i="3"/>
  <c r="Z124" i="3"/>
  <c r="AD124" i="3"/>
  <c r="T122" i="3"/>
  <c r="S123" i="3"/>
  <c r="G33" i="3"/>
  <c r="F33" i="3" l="1"/>
  <c r="P125" i="3"/>
  <c r="Q125" i="3" s="1"/>
  <c r="R125" i="3" s="1"/>
  <c r="Z125" i="3"/>
  <c r="AC125" i="3"/>
  <c r="AD125" i="3"/>
  <c r="AA125" i="3"/>
  <c r="A126" i="3"/>
  <c r="B126" i="3" s="1"/>
  <c r="S124" i="3"/>
  <c r="T123" i="3"/>
  <c r="I33" i="3"/>
  <c r="J33" i="3"/>
  <c r="M33" i="3"/>
  <c r="N33" i="3" s="1"/>
  <c r="V33" i="3"/>
  <c r="AE33" i="3"/>
  <c r="W33" i="3" l="1"/>
  <c r="AA126" i="3"/>
  <c r="P126" i="3"/>
  <c r="Q126" i="3" s="1"/>
  <c r="R126" i="3" s="1"/>
  <c r="Z126" i="3"/>
  <c r="AC126" i="3"/>
  <c r="A127" i="3"/>
  <c r="B127" i="3" s="1"/>
  <c r="AD126" i="3"/>
  <c r="L33" i="3"/>
  <c r="S125" i="3"/>
  <c r="T124" i="3"/>
  <c r="Z127" i="3" l="1"/>
  <c r="AC127" i="3"/>
  <c r="P127" i="3"/>
  <c r="Q127" i="3" s="1"/>
  <c r="R127" i="3" s="1"/>
  <c r="AD127" i="3"/>
  <c r="A128" i="3"/>
  <c r="B128" i="3" s="1"/>
  <c r="AA127" i="3"/>
  <c r="AH34" i="3"/>
  <c r="AG34" i="3"/>
  <c r="U33" i="3"/>
  <c r="D34" i="3" s="1"/>
  <c r="Y32" i="3"/>
  <c r="S126" i="3"/>
  <c r="T125" i="3"/>
  <c r="G34" i="3" l="1"/>
  <c r="P128" i="3"/>
  <c r="Q128" i="3" s="1"/>
  <c r="R128" i="3" s="1"/>
  <c r="Z128" i="3"/>
  <c r="AC128" i="3"/>
  <c r="AA128" i="3"/>
  <c r="A129" i="3"/>
  <c r="B129" i="3" s="1"/>
  <c r="AD128" i="3"/>
  <c r="E34" i="3"/>
  <c r="H34" i="3" s="1"/>
  <c r="S127" i="3"/>
  <c r="T126" i="3"/>
  <c r="F34" i="3" l="1"/>
  <c r="I34" i="3"/>
  <c r="J34" i="3"/>
  <c r="M34" i="3"/>
  <c r="N34" i="3" s="1"/>
  <c r="K34" i="3"/>
  <c r="P129" i="3"/>
  <c r="Q129" i="3" s="1"/>
  <c r="R129" i="3" s="1"/>
  <c r="AC129" i="3"/>
  <c r="Z129" i="3"/>
  <c r="A130" i="3"/>
  <c r="B130" i="3" s="1"/>
  <c r="AD129" i="3"/>
  <c r="AA129" i="3"/>
  <c r="S128" i="3"/>
  <c r="T127" i="3"/>
  <c r="A131" i="3" l="1"/>
  <c r="B131" i="3" s="1"/>
  <c r="AD130" i="3"/>
  <c r="P130" i="3"/>
  <c r="Q130" i="3" s="1"/>
  <c r="R130" i="3" s="1"/>
  <c r="AC130" i="3"/>
  <c r="AA130" i="3"/>
  <c r="Z130" i="3"/>
  <c r="S129" i="3"/>
  <c r="T128" i="3"/>
  <c r="V34" i="3"/>
  <c r="W34" i="3" s="1"/>
  <c r="AE34" i="3"/>
  <c r="L34" i="3"/>
  <c r="T129" i="3" l="1"/>
  <c r="S130" i="3"/>
  <c r="AC131" i="3"/>
  <c r="AD131" i="3"/>
  <c r="A132" i="3"/>
  <c r="B132" i="3" s="1"/>
  <c r="Z131" i="3"/>
  <c r="P131" i="3"/>
  <c r="Q131" i="3" s="1"/>
  <c r="R131" i="3" s="1"/>
  <c r="AA131" i="3"/>
  <c r="U34" i="3"/>
  <c r="E35" i="3" s="1"/>
  <c r="H35" i="3" s="1"/>
  <c r="AH35" i="3"/>
  <c r="AG35" i="3"/>
  <c r="Y33" i="3"/>
  <c r="D35" i="3" l="1"/>
  <c r="G35" i="3" s="1"/>
  <c r="AD132" i="3"/>
  <c r="P132" i="3"/>
  <c r="Q132" i="3" s="1"/>
  <c r="R132" i="3" s="1"/>
  <c r="Z132" i="3"/>
  <c r="A133" i="3"/>
  <c r="B133" i="3" s="1"/>
  <c r="AC132" i="3"/>
  <c r="AA132" i="3"/>
  <c r="T130" i="3"/>
  <c r="S131" i="3"/>
  <c r="K35" i="3"/>
  <c r="F35" i="3" l="1"/>
  <c r="AD133" i="3"/>
  <c r="P133" i="3"/>
  <c r="Q133" i="3" s="1"/>
  <c r="R133" i="3" s="1"/>
  <c r="Z133" i="3"/>
  <c r="A134" i="3"/>
  <c r="B134" i="3" s="1"/>
  <c r="AA133" i="3"/>
  <c r="AC133" i="3"/>
  <c r="S132" i="3"/>
  <c r="T131" i="3"/>
  <c r="I35" i="3"/>
  <c r="J35" i="3"/>
  <c r="M35" i="3"/>
  <c r="N35" i="3" s="1"/>
  <c r="V35" i="3"/>
  <c r="AE35" i="3"/>
  <c r="W35" i="3" l="1"/>
  <c r="AC134" i="3"/>
  <c r="AD134" i="3"/>
  <c r="AA134" i="3"/>
  <c r="A135" i="3"/>
  <c r="B135" i="3" s="1"/>
  <c r="P134" i="3"/>
  <c r="Q134" i="3" s="1"/>
  <c r="R134" i="3" s="1"/>
  <c r="Z134" i="3"/>
  <c r="L35" i="3"/>
  <c r="S133" i="3"/>
  <c r="T132" i="3"/>
  <c r="AD135" i="3" l="1"/>
  <c r="P135" i="3"/>
  <c r="Q135" i="3" s="1"/>
  <c r="R135" i="3" s="1"/>
  <c r="A136" i="3"/>
  <c r="B136" i="3" s="1"/>
  <c r="AA135" i="3"/>
  <c r="AC135" i="3"/>
  <c r="Z135" i="3"/>
  <c r="S134" i="3"/>
  <c r="T133" i="3"/>
  <c r="U35" i="3"/>
  <c r="E36" i="3" s="1"/>
  <c r="H36" i="3" s="1"/>
  <c r="AG36" i="3"/>
  <c r="AH36" i="3"/>
  <c r="Y34" i="3"/>
  <c r="K36" i="3" l="1"/>
  <c r="A137" i="3"/>
  <c r="B137" i="3" s="1"/>
  <c r="P136" i="3"/>
  <c r="Q136" i="3" s="1"/>
  <c r="R136" i="3" s="1"/>
  <c r="AA136" i="3"/>
  <c r="Z136" i="3"/>
  <c r="AD136" i="3"/>
  <c r="AC136" i="3"/>
  <c r="T134" i="3"/>
  <c r="S135" i="3"/>
  <c r="D36" i="3"/>
  <c r="T135" i="3" l="1"/>
  <c r="S136" i="3"/>
  <c r="F36" i="3"/>
  <c r="G36" i="3"/>
  <c r="P137" i="3"/>
  <c r="Q137" i="3" s="1"/>
  <c r="R137" i="3" s="1"/>
  <c r="Z137" i="3"/>
  <c r="AA137" i="3"/>
  <c r="AD137" i="3"/>
  <c r="AC137" i="3"/>
  <c r="A138" i="3"/>
  <c r="B138" i="3" s="1"/>
  <c r="V36" i="3"/>
  <c r="AE36" i="3"/>
  <c r="A139" i="3" l="1"/>
  <c r="B139" i="3" s="1"/>
  <c r="AC138" i="3"/>
  <c r="P138" i="3"/>
  <c r="Q138" i="3" s="1"/>
  <c r="R138" i="3" s="1"/>
  <c r="AA138" i="3"/>
  <c r="AD138" i="3"/>
  <c r="Z138" i="3"/>
  <c r="S137" i="3"/>
  <c r="T136" i="3"/>
  <c r="I36" i="3"/>
  <c r="W36" i="3" s="1"/>
  <c r="J36" i="3"/>
  <c r="M36" i="3"/>
  <c r="N36" i="3" s="1"/>
  <c r="L36" i="3" l="1"/>
  <c r="T137" i="3"/>
  <c r="S138" i="3"/>
  <c r="A140" i="3"/>
  <c r="B140" i="3" s="1"/>
  <c r="AA139" i="3"/>
  <c r="AD139" i="3"/>
  <c r="AC139" i="3"/>
  <c r="Z139" i="3"/>
  <c r="P139" i="3"/>
  <c r="Q139" i="3" s="1"/>
  <c r="R139" i="3" s="1"/>
  <c r="P140" i="3" l="1"/>
  <c r="Q140" i="3" s="1"/>
  <c r="R140" i="3" s="1"/>
  <c r="AD140" i="3"/>
  <c r="A141" i="3"/>
  <c r="B141" i="3" s="1"/>
  <c r="AA140" i="3"/>
  <c r="Z140" i="3"/>
  <c r="AC140" i="3"/>
  <c r="AH37" i="3"/>
  <c r="AG37" i="3"/>
  <c r="U36" i="3"/>
  <c r="E37" i="3" s="1"/>
  <c r="H37" i="3" s="1"/>
  <c r="Y35" i="3"/>
  <c r="S139" i="3"/>
  <c r="T138" i="3"/>
  <c r="D37" i="3" l="1"/>
  <c r="G37" i="3" s="1"/>
  <c r="A142" i="3"/>
  <c r="B142" i="3" s="1"/>
  <c r="P141" i="3"/>
  <c r="Q141" i="3" s="1"/>
  <c r="R141" i="3" s="1"/>
  <c r="AC141" i="3"/>
  <c r="Z141" i="3"/>
  <c r="AD141" i="3"/>
  <c r="AA141" i="3"/>
  <c r="K37" i="3"/>
  <c r="S140" i="3"/>
  <c r="T139" i="3"/>
  <c r="F37" i="3" l="1"/>
  <c r="A143" i="3"/>
  <c r="B143" i="3" s="1"/>
  <c r="AA142" i="3"/>
  <c r="P142" i="3"/>
  <c r="Q142" i="3" s="1"/>
  <c r="R142" i="3" s="1"/>
  <c r="AC142" i="3"/>
  <c r="AD142" i="3"/>
  <c r="Z142" i="3"/>
  <c r="I37" i="3"/>
  <c r="J37" i="3"/>
  <c r="M37" i="3"/>
  <c r="N37" i="3" s="1"/>
  <c r="V37" i="3"/>
  <c r="AE37" i="3"/>
  <c r="T140" i="3"/>
  <c r="S141" i="3"/>
  <c r="W37" i="3" l="1"/>
  <c r="P143" i="3"/>
  <c r="Q143" i="3" s="1"/>
  <c r="R143" i="3" s="1"/>
  <c r="AC143" i="3"/>
  <c r="A144" i="3"/>
  <c r="B144" i="3" s="1"/>
  <c r="AD143" i="3"/>
  <c r="AA143" i="3"/>
  <c r="Z143" i="3"/>
  <c r="T141" i="3"/>
  <c r="S142" i="3"/>
  <c r="L37" i="3"/>
  <c r="T142" i="3" l="1"/>
  <c r="S143" i="3"/>
  <c r="Z144" i="3"/>
  <c r="P144" i="3"/>
  <c r="Q144" i="3" s="1"/>
  <c r="R144" i="3" s="1"/>
  <c r="A145" i="3"/>
  <c r="B145" i="3" s="1"/>
  <c r="AA144" i="3"/>
  <c r="AC144" i="3"/>
  <c r="AD144" i="3"/>
  <c r="AH38" i="3"/>
  <c r="AG38" i="3"/>
  <c r="U37" i="3"/>
  <c r="D38" i="3" s="1"/>
  <c r="Y36" i="3"/>
  <c r="G38" i="3" l="1"/>
  <c r="P145" i="3"/>
  <c r="Q145" i="3" s="1"/>
  <c r="R145" i="3" s="1"/>
  <c r="A146" i="3"/>
  <c r="B146" i="3" s="1"/>
  <c r="Z145" i="3"/>
  <c r="AA145" i="3"/>
  <c r="AC145" i="3"/>
  <c r="AD145" i="3"/>
  <c r="T143" i="3"/>
  <c r="S144" i="3"/>
  <c r="E38" i="3"/>
  <c r="H38" i="3" s="1"/>
  <c r="Z146" i="3" l="1"/>
  <c r="A147" i="3"/>
  <c r="B147" i="3" s="1"/>
  <c r="AA146" i="3"/>
  <c r="AD146" i="3"/>
  <c r="P146" i="3"/>
  <c r="Q146" i="3" s="1"/>
  <c r="R146" i="3" s="1"/>
  <c r="AC146" i="3"/>
  <c r="K38" i="3"/>
  <c r="F38" i="3"/>
  <c r="I38" i="3"/>
  <c r="J38" i="3"/>
  <c r="M38" i="3"/>
  <c r="N38" i="3" s="1"/>
  <c r="T144" i="3"/>
  <c r="S145" i="3"/>
  <c r="Z147" i="3" l="1"/>
  <c r="P147" i="3"/>
  <c r="Q147" i="3" s="1"/>
  <c r="R147" i="3" s="1"/>
  <c r="AC147" i="3"/>
  <c r="A148" i="3"/>
  <c r="B148" i="3" s="1"/>
  <c r="AD147" i="3"/>
  <c r="AA147" i="3"/>
  <c r="S146" i="3"/>
  <c r="T145" i="3"/>
  <c r="L38" i="3"/>
  <c r="V38" i="3"/>
  <c r="W38" i="3" s="1"/>
  <c r="AE38" i="3"/>
  <c r="AD148" i="3" l="1"/>
  <c r="P148" i="3"/>
  <c r="Q148" i="3" s="1"/>
  <c r="R148" i="3" s="1"/>
  <c r="Z148" i="3"/>
  <c r="AC148" i="3"/>
  <c r="AA148" i="3"/>
  <c r="A149" i="3"/>
  <c r="B149" i="3" s="1"/>
  <c r="S147" i="3"/>
  <c r="T146" i="3"/>
  <c r="U38" i="3"/>
  <c r="D39" i="3" s="1"/>
  <c r="AG39" i="3"/>
  <c r="AH39" i="3"/>
  <c r="Y37" i="3"/>
  <c r="G39" i="3" l="1"/>
  <c r="AD149" i="3"/>
  <c r="AC149" i="3"/>
  <c r="P149" i="3"/>
  <c r="Q149" i="3" s="1"/>
  <c r="R149" i="3" s="1"/>
  <c r="AA149" i="3"/>
  <c r="Z149" i="3"/>
  <c r="A150" i="3"/>
  <c r="B150" i="3" s="1"/>
  <c r="T147" i="3"/>
  <c r="S148" i="3"/>
  <c r="E39" i="3"/>
  <c r="H39" i="3" s="1"/>
  <c r="AA150" i="3" l="1"/>
  <c r="P150" i="3"/>
  <c r="Q150" i="3" s="1"/>
  <c r="R150" i="3" s="1"/>
  <c r="Z150" i="3"/>
  <c r="AD150" i="3"/>
  <c r="AC150" i="3"/>
  <c r="A151" i="3"/>
  <c r="B151" i="3" s="1"/>
  <c r="F39" i="3"/>
  <c r="K39" i="3"/>
  <c r="I39" i="3"/>
  <c r="J39" i="3"/>
  <c r="M39" i="3"/>
  <c r="N39" i="3" s="1"/>
  <c r="T148" i="3"/>
  <c r="S149" i="3"/>
  <c r="S150" i="3" l="1"/>
  <c r="T149" i="3"/>
  <c r="P151" i="3"/>
  <c r="Q151" i="3" s="1"/>
  <c r="R151" i="3" s="1"/>
  <c r="AC151" i="3"/>
  <c r="AD151" i="3"/>
  <c r="Z151" i="3"/>
  <c r="A152" i="3"/>
  <c r="B152" i="3" s="1"/>
  <c r="AA151" i="3"/>
  <c r="L39" i="3"/>
  <c r="V39" i="3"/>
  <c r="W39" i="3" s="1"/>
  <c r="AE39" i="3"/>
  <c r="S151" i="3" l="1"/>
  <c r="T150" i="3"/>
  <c r="A153" i="3"/>
  <c r="B153" i="3" s="1"/>
  <c r="AC152" i="3"/>
  <c r="AA152" i="3"/>
  <c r="P152" i="3"/>
  <c r="Q152" i="3" s="1"/>
  <c r="R152" i="3" s="1"/>
  <c r="AD152" i="3"/>
  <c r="Z152" i="3"/>
  <c r="U39" i="3"/>
  <c r="E40" i="3" s="1"/>
  <c r="H40" i="3" s="1"/>
  <c r="AH40" i="3"/>
  <c r="AG40" i="3"/>
  <c r="Y38" i="3"/>
  <c r="D40" i="3" l="1"/>
  <c r="F40" i="3" s="1"/>
  <c r="A154" i="3"/>
  <c r="B154" i="3" s="1"/>
  <c r="P153" i="3"/>
  <c r="Q153" i="3" s="1"/>
  <c r="R153" i="3" s="1"/>
  <c r="AD153" i="3"/>
  <c r="Z153" i="3"/>
  <c r="AA153" i="3"/>
  <c r="AC153" i="3"/>
  <c r="S152" i="3"/>
  <c r="T151" i="3"/>
  <c r="K40" i="3"/>
  <c r="G40" i="3" l="1"/>
  <c r="M40" i="3" s="1"/>
  <c r="N40" i="3" s="1"/>
  <c r="P154" i="3"/>
  <c r="Q154" i="3" s="1"/>
  <c r="R154" i="3" s="1"/>
  <c r="AD154" i="3"/>
  <c r="Z154" i="3"/>
  <c r="AA154" i="3"/>
  <c r="A155" i="3"/>
  <c r="B155" i="3" s="1"/>
  <c r="AC154" i="3"/>
  <c r="S153" i="3"/>
  <c r="T152" i="3"/>
  <c r="V40" i="3"/>
  <c r="AE40" i="3"/>
  <c r="I40" i="3" l="1"/>
  <c r="W40" i="3" s="1"/>
  <c r="J40" i="3"/>
  <c r="L40" i="3" s="1"/>
  <c r="Z155" i="3"/>
  <c r="P155" i="3"/>
  <c r="Q155" i="3" s="1"/>
  <c r="R155" i="3" s="1"/>
  <c r="A156" i="3"/>
  <c r="B156" i="3" s="1"/>
  <c r="AD155" i="3"/>
  <c r="AC155" i="3"/>
  <c r="AA155" i="3"/>
  <c r="T153" i="3"/>
  <c r="S154" i="3"/>
  <c r="U40" i="3" l="1"/>
  <c r="D41" i="3" s="1"/>
  <c r="AG41" i="3"/>
  <c r="AH41" i="3"/>
  <c r="Y39" i="3"/>
  <c r="S155" i="3"/>
  <c r="T154" i="3"/>
  <c r="AA156" i="3"/>
  <c r="A157" i="3"/>
  <c r="B157" i="3" s="1"/>
  <c r="AD156" i="3"/>
  <c r="Z156" i="3"/>
  <c r="AC156" i="3"/>
  <c r="P156" i="3"/>
  <c r="Q156" i="3" s="1"/>
  <c r="R156" i="3" s="1"/>
  <c r="G41" i="3" l="1"/>
  <c r="A158" i="3"/>
  <c r="B158" i="3" s="1"/>
  <c r="AD157" i="3"/>
  <c r="P157" i="3"/>
  <c r="Q157" i="3" s="1"/>
  <c r="R157" i="3" s="1"/>
  <c r="AA157" i="3"/>
  <c r="Z157" i="3"/>
  <c r="AC157" i="3"/>
  <c r="E41" i="3"/>
  <c r="H41" i="3" s="1"/>
  <c r="T155" i="3"/>
  <c r="S156" i="3"/>
  <c r="F41" i="3" l="1"/>
  <c r="S157" i="3"/>
  <c r="T156" i="3"/>
  <c r="A159" i="3"/>
  <c r="B159" i="3" s="1"/>
  <c r="P158" i="3"/>
  <c r="Q158" i="3" s="1"/>
  <c r="R158" i="3" s="1"/>
  <c r="AA158" i="3"/>
  <c r="AC158" i="3"/>
  <c r="Z158" i="3"/>
  <c r="AD158" i="3"/>
  <c r="I41" i="3"/>
  <c r="J41" i="3"/>
  <c r="M41" i="3"/>
  <c r="N41" i="3" s="1"/>
  <c r="K41" i="3"/>
  <c r="V41" i="3" l="1"/>
  <c r="W41" i="3" s="1"/>
  <c r="AE41" i="3"/>
  <c r="L41" i="3"/>
  <c r="A160" i="3"/>
  <c r="B160" i="3" s="1"/>
  <c r="AC159" i="3"/>
  <c r="P159" i="3"/>
  <c r="Q159" i="3" s="1"/>
  <c r="R159" i="3" s="1"/>
  <c r="AD159" i="3"/>
  <c r="Z159" i="3"/>
  <c r="AA159" i="3"/>
  <c r="S158" i="3"/>
  <c r="T157" i="3"/>
  <c r="AA160" i="3" l="1"/>
  <c r="P160" i="3"/>
  <c r="Q160" i="3" s="1"/>
  <c r="R160" i="3" s="1"/>
  <c r="Z160" i="3"/>
  <c r="AC160" i="3"/>
  <c r="AD160" i="3"/>
  <c r="A161" i="3"/>
  <c r="B161" i="3" s="1"/>
  <c r="U41" i="3"/>
  <c r="E42" i="3" s="1"/>
  <c r="H42" i="3" s="1"/>
  <c r="AG42" i="3"/>
  <c r="AH42" i="3"/>
  <c r="Y40" i="3"/>
  <c r="T158" i="3"/>
  <c r="S159" i="3"/>
  <c r="D42" i="3" l="1"/>
  <c r="G42" i="3" s="1"/>
  <c r="Z161" i="3"/>
  <c r="AA161" i="3"/>
  <c r="P161" i="3"/>
  <c r="Q161" i="3" s="1"/>
  <c r="R161" i="3" s="1"/>
  <c r="A162" i="3"/>
  <c r="B162" i="3" s="1"/>
  <c r="AC161" i="3"/>
  <c r="AD161" i="3"/>
  <c r="S160" i="3"/>
  <c r="T159" i="3"/>
  <c r="K42" i="3"/>
  <c r="F42" i="3" l="1"/>
  <c r="AD162" i="3"/>
  <c r="Z162" i="3"/>
  <c r="P162" i="3"/>
  <c r="Q162" i="3" s="1"/>
  <c r="R162" i="3" s="1"/>
  <c r="AC162" i="3"/>
  <c r="AA162" i="3"/>
  <c r="A163" i="3"/>
  <c r="B163" i="3" s="1"/>
  <c r="V42" i="3"/>
  <c r="AE42" i="3"/>
  <c r="S161" i="3"/>
  <c r="T160" i="3"/>
  <c r="I42" i="3"/>
  <c r="J42" i="3"/>
  <c r="M42" i="3"/>
  <c r="N42" i="3" s="1"/>
  <c r="W42" i="3" l="1"/>
  <c r="L42" i="3"/>
  <c r="T161" i="3"/>
  <c r="S162" i="3"/>
  <c r="AD163" i="3"/>
  <c r="A164" i="3"/>
  <c r="B164" i="3" s="1"/>
  <c r="AC163" i="3"/>
  <c r="Z163" i="3"/>
  <c r="P163" i="3"/>
  <c r="Q163" i="3" s="1"/>
  <c r="R163" i="3" s="1"/>
  <c r="AA163" i="3"/>
  <c r="P164" i="3" l="1"/>
  <c r="Q164" i="3" s="1"/>
  <c r="R164" i="3" s="1"/>
  <c r="AA164" i="3"/>
  <c r="AD164" i="3"/>
  <c r="Z164" i="3"/>
  <c r="A165" i="3"/>
  <c r="B165" i="3" s="1"/>
  <c r="AC164" i="3"/>
  <c r="AG43" i="3"/>
  <c r="AH43" i="3"/>
  <c r="U42" i="3"/>
  <c r="E43" i="3" s="1"/>
  <c r="H43" i="3" s="1"/>
  <c r="Y41" i="3"/>
  <c r="S163" i="3"/>
  <c r="T162" i="3"/>
  <c r="K43" i="3" l="1"/>
  <c r="AD165" i="3"/>
  <c r="A166" i="3"/>
  <c r="B166" i="3" s="1"/>
  <c r="AA165" i="3"/>
  <c r="AC165" i="3"/>
  <c r="Z165" i="3"/>
  <c r="P165" i="3"/>
  <c r="Q165" i="3" s="1"/>
  <c r="R165" i="3" s="1"/>
  <c r="D43" i="3"/>
  <c r="S164" i="3"/>
  <c r="T163" i="3"/>
  <c r="A167" i="3" l="1"/>
  <c r="B167" i="3" s="1"/>
  <c r="AA166" i="3"/>
  <c r="AC166" i="3"/>
  <c r="P166" i="3"/>
  <c r="Q166" i="3" s="1"/>
  <c r="R166" i="3" s="1"/>
  <c r="AD166" i="3"/>
  <c r="Z166" i="3"/>
  <c r="T164" i="3"/>
  <c r="S165" i="3"/>
  <c r="V43" i="3"/>
  <c r="AE43" i="3"/>
  <c r="F43" i="3"/>
  <c r="G43" i="3"/>
  <c r="P167" i="3" l="1"/>
  <c r="Q167" i="3" s="1"/>
  <c r="R167" i="3" s="1"/>
  <c r="AA167" i="3"/>
  <c r="AC167" i="3"/>
  <c r="Z167" i="3"/>
  <c r="A168" i="3"/>
  <c r="B168" i="3" s="1"/>
  <c r="AD167" i="3"/>
  <c r="S166" i="3"/>
  <c r="T165" i="3"/>
  <c r="I43" i="3"/>
  <c r="W43" i="3" s="1"/>
  <c r="J43" i="3"/>
  <c r="M43" i="3"/>
  <c r="N43" i="3" s="1"/>
  <c r="A169" i="3" l="1"/>
  <c r="B169" i="3" s="1"/>
  <c r="Z168" i="3"/>
  <c r="P168" i="3"/>
  <c r="Q168" i="3" s="1"/>
  <c r="R168" i="3" s="1"/>
  <c r="AD168" i="3"/>
  <c r="AC168" i="3"/>
  <c r="AA168" i="3"/>
  <c r="L43" i="3"/>
  <c r="T166" i="3"/>
  <c r="S167" i="3"/>
  <c r="AD169" i="3" l="1"/>
  <c r="P169" i="3"/>
  <c r="Q169" i="3" s="1"/>
  <c r="R169" i="3" s="1"/>
  <c r="A170" i="3"/>
  <c r="B170" i="3" s="1"/>
  <c r="Z169" i="3"/>
  <c r="AA169" i="3"/>
  <c r="AC169" i="3"/>
  <c r="AG44" i="3"/>
  <c r="AH44" i="3"/>
  <c r="U43" i="3"/>
  <c r="E44" i="3" s="1"/>
  <c r="H44" i="3" s="1"/>
  <c r="Y42" i="3"/>
  <c r="S168" i="3"/>
  <c r="T167" i="3"/>
  <c r="D44" i="3" l="1"/>
  <c r="F44" i="3" s="1"/>
  <c r="K44" i="3"/>
  <c r="AA170" i="3"/>
  <c r="AC170" i="3"/>
  <c r="P170" i="3"/>
  <c r="Q170" i="3" s="1"/>
  <c r="R170" i="3" s="1"/>
  <c r="A171" i="3"/>
  <c r="B171" i="3" s="1"/>
  <c r="AD170" i="3"/>
  <c r="Z170" i="3"/>
  <c r="T168" i="3"/>
  <c r="S169" i="3"/>
  <c r="G44" i="3" l="1"/>
  <c r="J44" i="3" s="1"/>
  <c r="A172" i="3"/>
  <c r="B172" i="3" s="1"/>
  <c r="AD171" i="3"/>
  <c r="P171" i="3"/>
  <c r="Q171" i="3" s="1"/>
  <c r="R171" i="3" s="1"/>
  <c r="Z171" i="3"/>
  <c r="AA171" i="3"/>
  <c r="AC171" i="3"/>
  <c r="V44" i="3"/>
  <c r="AE44" i="3"/>
  <c r="T169" i="3"/>
  <c r="S170" i="3"/>
  <c r="M44" i="3" l="1"/>
  <c r="N44" i="3" s="1"/>
  <c r="I44" i="3"/>
  <c r="W44" i="3" s="1"/>
  <c r="A173" i="3"/>
  <c r="B173" i="3" s="1"/>
  <c r="AD172" i="3"/>
  <c r="P172" i="3"/>
  <c r="Q172" i="3" s="1"/>
  <c r="R172" i="3" s="1"/>
  <c r="AA172" i="3"/>
  <c r="AC172" i="3"/>
  <c r="Z172" i="3"/>
  <c r="T170" i="3"/>
  <c r="S171" i="3"/>
  <c r="L44" i="3"/>
  <c r="Z173" i="3" l="1"/>
  <c r="P173" i="3"/>
  <c r="Q173" i="3" s="1"/>
  <c r="R173" i="3" s="1"/>
  <c r="AD173" i="3"/>
  <c r="AA173" i="3"/>
  <c r="AC173" i="3"/>
  <c r="A174" i="3"/>
  <c r="B174" i="3" s="1"/>
  <c r="T171" i="3"/>
  <c r="S172" i="3"/>
  <c r="U44" i="3"/>
  <c r="E45" i="3" s="1"/>
  <c r="H45" i="3" s="1"/>
  <c r="AH45" i="3"/>
  <c r="AG45" i="3"/>
  <c r="Y43" i="3"/>
  <c r="D45" i="3" l="1"/>
  <c r="G45" i="3" s="1"/>
  <c r="K45" i="3"/>
  <c r="Z174" i="3"/>
  <c r="A175" i="3"/>
  <c r="B175" i="3" s="1"/>
  <c r="AD174" i="3"/>
  <c r="P174" i="3"/>
  <c r="Q174" i="3" s="1"/>
  <c r="R174" i="3" s="1"/>
  <c r="AA174" i="3"/>
  <c r="AC174" i="3"/>
  <c r="S173" i="3"/>
  <c r="T172" i="3"/>
  <c r="F45" i="3" l="1"/>
  <c r="P175" i="3"/>
  <c r="Q175" i="3" s="1"/>
  <c r="R175" i="3" s="1"/>
  <c r="A176" i="3"/>
  <c r="B176" i="3" s="1"/>
  <c r="AD175" i="3"/>
  <c r="AC175" i="3"/>
  <c r="AA175" i="3"/>
  <c r="Z175" i="3"/>
  <c r="I45" i="3"/>
  <c r="J45" i="3"/>
  <c r="M45" i="3"/>
  <c r="N45" i="3" s="1"/>
  <c r="S174" i="3"/>
  <c r="T173" i="3"/>
  <c r="V45" i="3"/>
  <c r="AE45" i="3"/>
  <c r="AD176" i="3" l="1"/>
  <c r="P176" i="3"/>
  <c r="Q176" i="3" s="1"/>
  <c r="R176" i="3" s="1"/>
  <c r="A177" i="3"/>
  <c r="B177" i="3" s="1"/>
  <c r="Z176" i="3"/>
  <c r="AC176" i="3"/>
  <c r="AA176" i="3"/>
  <c r="T174" i="3"/>
  <c r="S175" i="3"/>
  <c r="L45" i="3"/>
  <c r="W45" i="3"/>
  <c r="T175" i="3" l="1"/>
  <c r="S176" i="3"/>
  <c r="P177" i="3"/>
  <c r="Q177" i="3" s="1"/>
  <c r="R177" i="3" s="1"/>
  <c r="AA177" i="3"/>
  <c r="Z177" i="3"/>
  <c r="A178" i="3"/>
  <c r="B178" i="3" s="1"/>
  <c r="AC177" i="3"/>
  <c r="AD177" i="3"/>
  <c r="U45" i="3"/>
  <c r="D46" i="3" s="1"/>
  <c r="AG46" i="3"/>
  <c r="AH46" i="3"/>
  <c r="Y44" i="3"/>
  <c r="E46" i="3" l="1"/>
  <c r="H46" i="3" s="1"/>
  <c r="K46" i="3" s="1"/>
  <c r="G46" i="3"/>
  <c r="P178" i="3"/>
  <c r="Q178" i="3" s="1"/>
  <c r="R178" i="3" s="1"/>
  <c r="AA178" i="3"/>
  <c r="A179" i="3"/>
  <c r="B179" i="3" s="1"/>
  <c r="Z178" i="3"/>
  <c r="AD178" i="3"/>
  <c r="AC178" i="3"/>
  <c r="T176" i="3"/>
  <c r="S177" i="3"/>
  <c r="F46" i="3" l="1"/>
  <c r="P179" i="3"/>
  <c r="Q179" i="3" s="1"/>
  <c r="R179" i="3" s="1"/>
  <c r="A180" i="3"/>
  <c r="B180" i="3" s="1"/>
  <c r="AA179" i="3"/>
  <c r="Z179" i="3"/>
  <c r="AD179" i="3"/>
  <c r="AC179" i="3"/>
  <c r="I46" i="3"/>
  <c r="J46" i="3"/>
  <c r="M46" i="3"/>
  <c r="N46" i="3" s="1"/>
  <c r="V46" i="3"/>
  <c r="AE46" i="3"/>
  <c r="S178" i="3"/>
  <c r="T177" i="3"/>
  <c r="W46" i="3" l="1"/>
  <c r="AC180" i="3"/>
  <c r="A181" i="3"/>
  <c r="B181" i="3" s="1"/>
  <c r="AA180" i="3"/>
  <c r="AD180" i="3"/>
  <c r="Z180" i="3"/>
  <c r="P180" i="3"/>
  <c r="Q180" i="3" s="1"/>
  <c r="R180" i="3" s="1"/>
  <c r="T178" i="3"/>
  <c r="S179" i="3"/>
  <c r="L46" i="3"/>
  <c r="AA181" i="3" l="1"/>
  <c r="Z181" i="3"/>
  <c r="A182" i="3"/>
  <c r="B182" i="3" s="1"/>
  <c r="AD181" i="3"/>
  <c r="AC181" i="3"/>
  <c r="P181" i="3"/>
  <c r="Q181" i="3" s="1"/>
  <c r="R181" i="3" s="1"/>
  <c r="S180" i="3"/>
  <c r="T179" i="3"/>
  <c r="AG47" i="3"/>
  <c r="U46" i="3"/>
  <c r="D47" i="3" s="1"/>
  <c r="AH47" i="3"/>
  <c r="Y45" i="3"/>
  <c r="E47" i="3" l="1"/>
  <c r="H47" i="3" s="1"/>
  <c r="K47" i="3" s="1"/>
  <c r="A183" i="3"/>
  <c r="B183" i="3" s="1"/>
  <c r="AA182" i="3"/>
  <c r="P182" i="3"/>
  <c r="Q182" i="3" s="1"/>
  <c r="R182" i="3" s="1"/>
  <c r="Z182" i="3"/>
  <c r="AD182" i="3"/>
  <c r="AC182" i="3"/>
  <c r="T180" i="3"/>
  <c r="S181" i="3"/>
  <c r="G47" i="3"/>
  <c r="F47" i="3" l="1"/>
  <c r="Z183" i="3"/>
  <c r="AA183" i="3"/>
  <c r="AC183" i="3"/>
  <c r="A184" i="3"/>
  <c r="B184" i="3" s="1"/>
  <c r="P183" i="3"/>
  <c r="Q183" i="3" s="1"/>
  <c r="R183" i="3" s="1"/>
  <c r="AD183" i="3"/>
  <c r="S182" i="3"/>
  <c r="T181" i="3"/>
  <c r="I47" i="3"/>
  <c r="J47" i="3"/>
  <c r="M47" i="3"/>
  <c r="N47" i="3" s="1"/>
  <c r="V47" i="3"/>
  <c r="AE47" i="3"/>
  <c r="W47" i="3" l="1"/>
  <c r="AD184" i="3"/>
  <c r="Z184" i="3"/>
  <c r="P184" i="3"/>
  <c r="Q184" i="3" s="1"/>
  <c r="R184" i="3" s="1"/>
  <c r="AA184" i="3"/>
  <c r="A185" i="3"/>
  <c r="B185" i="3" s="1"/>
  <c r="AC184" i="3"/>
  <c r="L47" i="3"/>
  <c r="S183" i="3"/>
  <c r="T182" i="3"/>
  <c r="AD185" i="3" l="1"/>
  <c r="A186" i="3"/>
  <c r="B186" i="3" s="1"/>
  <c r="AC185" i="3"/>
  <c r="P185" i="3"/>
  <c r="Q185" i="3" s="1"/>
  <c r="R185" i="3" s="1"/>
  <c r="AA185" i="3"/>
  <c r="Z185" i="3"/>
  <c r="AG48" i="3"/>
  <c r="U47" i="3"/>
  <c r="E48" i="3" s="1"/>
  <c r="H48" i="3" s="1"/>
  <c r="AH48" i="3"/>
  <c r="Y46" i="3"/>
  <c r="S184" i="3"/>
  <c r="T183" i="3"/>
  <c r="AD186" i="3" l="1"/>
  <c r="Z186" i="3"/>
  <c r="A187" i="3"/>
  <c r="B187" i="3" s="1"/>
  <c r="P186" i="3"/>
  <c r="Q186" i="3" s="1"/>
  <c r="R186" i="3" s="1"/>
  <c r="AA186" i="3"/>
  <c r="AC186" i="3"/>
  <c r="K48" i="3"/>
  <c r="D48" i="3"/>
  <c r="T184" i="3"/>
  <c r="S185" i="3"/>
  <c r="P187" i="3" l="1"/>
  <c r="Q187" i="3" s="1"/>
  <c r="R187" i="3" s="1"/>
  <c r="AD187" i="3"/>
  <c r="A188" i="3"/>
  <c r="B188" i="3" s="1"/>
  <c r="AA187" i="3"/>
  <c r="AC187" i="3"/>
  <c r="Z187" i="3"/>
  <c r="S186" i="3"/>
  <c r="T185" i="3"/>
  <c r="V48" i="3"/>
  <c r="AE48" i="3"/>
  <c r="F48" i="3"/>
  <c r="G48" i="3"/>
  <c r="S187" i="3" l="1"/>
  <c r="T186" i="3"/>
  <c r="Z188" i="3"/>
  <c r="A189" i="3"/>
  <c r="B189" i="3" s="1"/>
  <c r="AA188" i="3"/>
  <c r="P188" i="3"/>
  <c r="Q188" i="3" s="1"/>
  <c r="R188" i="3" s="1"/>
  <c r="AD188" i="3"/>
  <c r="AC188" i="3"/>
  <c r="I48" i="3"/>
  <c r="W48" i="3" s="1"/>
  <c r="J48" i="3"/>
  <c r="M48" i="3"/>
  <c r="N48" i="3" s="1"/>
  <c r="Z189" i="3" l="1"/>
  <c r="P189" i="3"/>
  <c r="Q189" i="3" s="1"/>
  <c r="R189" i="3" s="1"/>
  <c r="A190" i="3"/>
  <c r="B190" i="3" s="1"/>
  <c r="AC189" i="3"/>
  <c r="AA189" i="3"/>
  <c r="AD189" i="3"/>
  <c r="S188" i="3"/>
  <c r="T187" i="3"/>
  <c r="L48" i="3"/>
  <c r="AC190" i="3" l="1"/>
  <c r="P190" i="3"/>
  <c r="Q190" i="3" s="1"/>
  <c r="R190" i="3" s="1"/>
  <c r="Z190" i="3"/>
  <c r="A191" i="3"/>
  <c r="B191" i="3" s="1"/>
  <c r="AD190" i="3"/>
  <c r="AA190" i="3"/>
  <c r="S189" i="3"/>
  <c r="T188" i="3"/>
  <c r="AH49" i="3"/>
  <c r="U48" i="3"/>
  <c r="E49" i="3" s="1"/>
  <c r="H49" i="3" s="1"/>
  <c r="AG49" i="3"/>
  <c r="Y47" i="3"/>
  <c r="D49" i="3" l="1"/>
  <c r="G49" i="3" s="1"/>
  <c r="K49" i="3"/>
  <c r="Z191" i="3"/>
  <c r="P191" i="3"/>
  <c r="Q191" i="3" s="1"/>
  <c r="R191" i="3" s="1"/>
  <c r="AA191" i="3"/>
  <c r="AC191" i="3"/>
  <c r="A192" i="3"/>
  <c r="B192" i="3" s="1"/>
  <c r="AD191" i="3"/>
  <c r="S190" i="3"/>
  <c r="T189" i="3"/>
  <c r="F49" i="3" l="1"/>
  <c r="P192" i="3"/>
  <c r="Q192" i="3" s="1"/>
  <c r="R192" i="3" s="1"/>
  <c r="Z192" i="3"/>
  <c r="AD192" i="3"/>
  <c r="AA192" i="3"/>
  <c r="A193" i="3"/>
  <c r="B193" i="3" s="1"/>
  <c r="AC192" i="3"/>
  <c r="V49" i="3"/>
  <c r="AE49" i="3"/>
  <c r="I49" i="3"/>
  <c r="J49" i="3"/>
  <c r="M49" i="3"/>
  <c r="N49" i="3" s="1"/>
  <c r="S191" i="3"/>
  <c r="T190" i="3"/>
  <c r="W49" i="3" l="1"/>
  <c r="Z193" i="3"/>
  <c r="AC193" i="3"/>
  <c r="AA193" i="3"/>
  <c r="AD193" i="3"/>
  <c r="P193" i="3"/>
  <c r="Q193" i="3" s="1"/>
  <c r="R193" i="3" s="1"/>
  <c r="A194" i="3"/>
  <c r="B194" i="3" s="1"/>
  <c r="S192" i="3"/>
  <c r="T191" i="3"/>
  <c r="L49" i="3"/>
  <c r="T192" i="3" l="1"/>
  <c r="S193" i="3"/>
  <c r="AD194" i="3"/>
  <c r="P194" i="3"/>
  <c r="Q194" i="3" s="1"/>
  <c r="R194" i="3" s="1"/>
  <c r="AA194" i="3"/>
  <c r="A195" i="3"/>
  <c r="B195" i="3" s="1"/>
  <c r="AC194" i="3"/>
  <c r="Z194" i="3"/>
  <c r="AG50" i="3"/>
  <c r="AH50" i="3"/>
  <c r="U49" i="3"/>
  <c r="D50" i="3" s="1"/>
  <c r="Y48" i="3"/>
  <c r="E50" i="3" l="1"/>
  <c r="H50" i="3" s="1"/>
  <c r="K50" i="3" s="1"/>
  <c r="G50" i="3"/>
  <c r="S194" i="3"/>
  <c r="T193" i="3"/>
  <c r="Z195" i="3"/>
  <c r="AA195" i="3"/>
  <c r="P195" i="3"/>
  <c r="Q195" i="3" s="1"/>
  <c r="R195" i="3" s="1"/>
  <c r="A196" i="3"/>
  <c r="B196" i="3" s="1"/>
  <c r="AC195" i="3"/>
  <c r="AD195" i="3"/>
  <c r="F50" i="3" l="1"/>
  <c r="P196" i="3"/>
  <c r="Q196" i="3" s="1"/>
  <c r="R196" i="3" s="1"/>
  <c r="A197" i="3"/>
  <c r="B197" i="3" s="1"/>
  <c r="Z196" i="3"/>
  <c r="AC196" i="3"/>
  <c r="AA196" i="3"/>
  <c r="AD196" i="3"/>
  <c r="S195" i="3"/>
  <c r="T194" i="3"/>
  <c r="I50" i="3"/>
  <c r="J50" i="3"/>
  <c r="M50" i="3"/>
  <c r="N50" i="3" s="1"/>
  <c r="V50" i="3"/>
  <c r="AE50" i="3"/>
  <c r="L50" i="3" l="1"/>
  <c r="S196" i="3"/>
  <c r="T195" i="3"/>
  <c r="AD197" i="3"/>
  <c r="P197" i="3"/>
  <c r="Q197" i="3" s="1"/>
  <c r="R197" i="3" s="1"/>
  <c r="AA197" i="3"/>
  <c r="A198" i="3"/>
  <c r="B198" i="3" s="1"/>
  <c r="Z197" i="3"/>
  <c r="AC197" i="3"/>
  <c r="W50" i="3"/>
  <c r="P198" i="3" l="1"/>
  <c r="Q198" i="3" s="1"/>
  <c r="R198" i="3" s="1"/>
  <c r="A199" i="3"/>
  <c r="B199" i="3" s="1"/>
  <c r="AA198" i="3"/>
  <c r="Z198" i="3"/>
  <c r="AC198" i="3"/>
  <c r="AD198" i="3"/>
  <c r="U50" i="3"/>
  <c r="D51" i="3" s="1"/>
  <c r="AH51" i="3"/>
  <c r="AG51" i="3"/>
  <c r="Y49" i="3"/>
  <c r="S197" i="3"/>
  <c r="T196" i="3"/>
  <c r="E51" i="3" l="1"/>
  <c r="H51" i="3" s="1"/>
  <c r="K51" i="3" s="1"/>
  <c r="AD199" i="3"/>
  <c r="P199" i="3"/>
  <c r="Q199" i="3" s="1"/>
  <c r="R199" i="3" s="1"/>
  <c r="A200" i="3"/>
  <c r="B200" i="3" s="1"/>
  <c r="AC199" i="3"/>
  <c r="AA199" i="3"/>
  <c r="Z199" i="3"/>
  <c r="G51" i="3"/>
  <c r="T197" i="3"/>
  <c r="S198" i="3"/>
  <c r="F51" i="3" l="1"/>
  <c r="AA200" i="3"/>
  <c r="A201" i="3"/>
  <c r="B201" i="3" s="1"/>
  <c r="AC200" i="3"/>
  <c r="Z200" i="3"/>
  <c r="P200" i="3"/>
  <c r="Q200" i="3" s="1"/>
  <c r="R200" i="3" s="1"/>
  <c r="AD200" i="3"/>
  <c r="V51" i="3"/>
  <c r="AE51" i="3"/>
  <c r="I51" i="3"/>
  <c r="J51" i="3"/>
  <c r="M51" i="3"/>
  <c r="N51" i="3" s="1"/>
  <c r="T198" i="3"/>
  <c r="S199" i="3"/>
  <c r="W51" i="3" l="1"/>
  <c r="A202" i="3"/>
  <c r="B202" i="3" s="1"/>
  <c r="AC201" i="3"/>
  <c r="Z201" i="3"/>
  <c r="AD201" i="3"/>
  <c r="P201" i="3"/>
  <c r="Q201" i="3" s="1"/>
  <c r="R201" i="3" s="1"/>
  <c r="AA201" i="3"/>
  <c r="L51" i="3"/>
  <c r="S200" i="3"/>
  <c r="T199" i="3"/>
  <c r="AD202" i="3" l="1"/>
  <c r="P202" i="3"/>
  <c r="Q202" i="3" s="1"/>
  <c r="R202" i="3" s="1"/>
  <c r="AA202" i="3"/>
  <c r="AC202" i="3"/>
  <c r="Z202" i="3"/>
  <c r="A203" i="3"/>
  <c r="B203" i="3" s="1"/>
  <c r="AH52" i="3"/>
  <c r="AG52" i="3"/>
  <c r="U51" i="3"/>
  <c r="E52" i="3" s="1"/>
  <c r="H52" i="3" s="1"/>
  <c r="Y50" i="3"/>
  <c r="S201" i="3"/>
  <c r="T200" i="3"/>
  <c r="D52" i="3" l="1"/>
  <c r="G52" i="3" s="1"/>
  <c r="K52" i="3"/>
  <c r="Z203" i="3"/>
  <c r="P203" i="3"/>
  <c r="Q203" i="3" s="1"/>
  <c r="R203" i="3" s="1"/>
  <c r="AD203" i="3"/>
  <c r="AA203" i="3"/>
  <c r="A204" i="3"/>
  <c r="B204" i="3" s="1"/>
  <c r="AC203" i="3"/>
  <c r="S202" i="3"/>
  <c r="T201" i="3"/>
  <c r="F52" i="3" l="1"/>
  <c r="P204" i="3"/>
  <c r="Q204" i="3" s="1"/>
  <c r="R204" i="3" s="1"/>
  <c r="Z204" i="3"/>
  <c r="AA204" i="3"/>
  <c r="AC204" i="3"/>
  <c r="S203" i="3"/>
  <c r="T202" i="3"/>
  <c r="V52" i="3"/>
  <c r="AE52" i="3"/>
  <c r="I52" i="3"/>
  <c r="J52" i="3"/>
  <c r="M52" i="3"/>
  <c r="N52" i="3" s="1"/>
  <c r="S204" i="3" l="1"/>
  <c r="T203" i="3"/>
  <c r="L52" i="3"/>
  <c r="W52" i="3"/>
  <c r="T204" i="3" l="1"/>
  <c r="AH53" i="3"/>
  <c r="AG53" i="3"/>
  <c r="U52" i="3"/>
  <c r="E53" i="3" s="1"/>
  <c r="H53" i="3" s="1"/>
  <c r="Y51" i="3"/>
  <c r="K53" i="3" l="1"/>
  <c r="D53" i="3"/>
  <c r="V53" i="3" l="1"/>
  <c r="AE53" i="3"/>
  <c r="F53" i="3"/>
  <c r="G53" i="3"/>
  <c r="I53" i="3" l="1"/>
  <c r="W53" i="3" s="1"/>
  <c r="J53" i="3"/>
  <c r="M53" i="3"/>
  <c r="N53" i="3" s="1"/>
  <c r="L53" i="3" l="1"/>
  <c r="AH54" i="3" l="1"/>
  <c r="AG54" i="3"/>
  <c r="U53" i="3"/>
  <c r="D54" i="3" s="1"/>
  <c r="Y52" i="3"/>
  <c r="G54" i="3" l="1"/>
  <c r="E54" i="3"/>
  <c r="H54" i="3" s="1"/>
  <c r="I54" i="3" l="1"/>
  <c r="J54" i="3"/>
  <c r="M54" i="3"/>
  <c r="N54" i="3" s="1"/>
  <c r="F54" i="3"/>
  <c r="K54" i="3"/>
  <c r="L54" i="3" l="1"/>
  <c r="V54" i="3"/>
  <c r="W54" i="3" s="1"/>
  <c r="AE54" i="3"/>
  <c r="U54" i="3" l="1"/>
  <c r="D55" i="3" s="1"/>
  <c r="AG55" i="3"/>
  <c r="AH55" i="3"/>
  <c r="Y53" i="3"/>
  <c r="E55" i="3" l="1"/>
  <c r="H55" i="3" s="1"/>
  <c r="K55" i="3" s="1"/>
  <c r="G55" i="3"/>
  <c r="F55" i="3" l="1"/>
  <c r="V55" i="3"/>
  <c r="AE55" i="3"/>
  <c r="I55" i="3"/>
  <c r="J55" i="3"/>
  <c r="M55" i="3"/>
  <c r="N55" i="3" s="1"/>
  <c r="W55" i="3" l="1"/>
  <c r="L55" i="3"/>
  <c r="AH56" i="3" l="1"/>
  <c r="U55" i="3"/>
  <c r="D56" i="3" s="1"/>
  <c r="AG56" i="3"/>
  <c r="Y54" i="3"/>
  <c r="E56" i="3" l="1"/>
  <c r="H56" i="3" s="1"/>
  <c r="K56" i="3" s="1"/>
  <c r="G56" i="3"/>
  <c r="F56" i="3" l="1"/>
  <c r="I56" i="3"/>
  <c r="J56" i="3"/>
  <c r="M56" i="3"/>
  <c r="N56" i="3" s="1"/>
  <c r="V56" i="3"/>
  <c r="AE56" i="3"/>
  <c r="W56" i="3" l="1"/>
  <c r="L56" i="3"/>
  <c r="AG57" i="3" l="1"/>
  <c r="U56" i="3"/>
  <c r="D57" i="3" s="1"/>
  <c r="AH57" i="3"/>
  <c r="Y55" i="3"/>
  <c r="E57" i="3" l="1"/>
  <c r="H57" i="3" s="1"/>
  <c r="K57" i="3" s="1"/>
  <c r="G57" i="3"/>
  <c r="F57" i="3" l="1"/>
  <c r="I57" i="3"/>
  <c r="J57" i="3"/>
  <c r="M57" i="3"/>
  <c r="N57" i="3" s="1"/>
  <c r="V57" i="3"/>
  <c r="AE57" i="3"/>
  <c r="W57" i="3" l="1"/>
  <c r="L57" i="3"/>
  <c r="U57" i="3" l="1"/>
  <c r="D58" i="3" s="1"/>
  <c r="AH58" i="3"/>
  <c r="AG58" i="3"/>
  <c r="Y56" i="3"/>
  <c r="E58" i="3" l="1"/>
  <c r="H58" i="3" s="1"/>
  <c r="K58" i="3" s="1"/>
  <c r="G58" i="3"/>
  <c r="F58" i="3" l="1"/>
  <c r="V58" i="3"/>
  <c r="AE58" i="3"/>
  <c r="I58" i="3"/>
  <c r="J58" i="3"/>
  <c r="M58" i="3"/>
  <c r="N58" i="3" s="1"/>
  <c r="W58" i="3" l="1"/>
  <c r="L58" i="3"/>
  <c r="AG59" i="3" l="1"/>
  <c r="U58" i="3"/>
  <c r="E59" i="3" s="1"/>
  <c r="H59" i="3" s="1"/>
  <c r="AH59" i="3"/>
  <c r="Y57" i="3"/>
  <c r="D59" i="3" l="1"/>
  <c r="F59" i="3" s="1"/>
  <c r="K59" i="3"/>
  <c r="G59" i="3" l="1"/>
  <c r="M59" i="3" s="1"/>
  <c r="N59" i="3" s="1"/>
  <c r="V59" i="3"/>
  <c r="AE59" i="3"/>
  <c r="I59" i="3" l="1"/>
  <c r="W59" i="3" s="1"/>
  <c r="J59" i="3"/>
  <c r="L59" i="3" s="1"/>
  <c r="AH60" i="3" l="1"/>
  <c r="U59" i="3"/>
  <c r="D60" i="3" s="1"/>
  <c r="AG60" i="3"/>
  <c r="Y58" i="3"/>
  <c r="E60" i="3" l="1"/>
  <c r="H60" i="3" s="1"/>
  <c r="K60" i="3" s="1"/>
  <c r="G60" i="3"/>
  <c r="F60" i="3" l="1"/>
  <c r="I60" i="3"/>
  <c r="J60" i="3"/>
  <c r="M60" i="3"/>
  <c r="N60" i="3" s="1"/>
  <c r="V60" i="3"/>
  <c r="AE60" i="3"/>
  <c r="W60" i="3" l="1"/>
  <c r="L60" i="3"/>
  <c r="AG61" i="3" l="1"/>
  <c r="U60" i="3"/>
  <c r="D61" i="3" s="1"/>
  <c r="AH61" i="3"/>
  <c r="Y59" i="3"/>
  <c r="G61" i="3" l="1"/>
  <c r="E61" i="3"/>
  <c r="H61" i="3" s="1"/>
  <c r="F61" i="3" l="1"/>
  <c r="I61" i="3"/>
  <c r="J61" i="3"/>
  <c r="M61" i="3"/>
  <c r="N61" i="3" s="1"/>
  <c r="K61" i="3"/>
  <c r="V61" i="3" l="1"/>
  <c r="W61" i="3" s="1"/>
  <c r="AE61" i="3"/>
  <c r="L61" i="3"/>
  <c r="AG62" i="3" l="1"/>
  <c r="U61" i="3"/>
  <c r="D62" i="3" s="1"/>
  <c r="AH62" i="3"/>
  <c r="Y60" i="3"/>
  <c r="G62" i="3" l="1"/>
  <c r="E62" i="3"/>
  <c r="H62" i="3" s="1"/>
  <c r="F62" i="3" l="1"/>
  <c r="I62" i="3"/>
  <c r="J62" i="3"/>
  <c r="M62" i="3"/>
  <c r="N62" i="3" s="1"/>
  <c r="K62" i="3"/>
  <c r="V62" i="3" l="1"/>
  <c r="W62" i="3" s="1"/>
  <c r="AE62" i="3"/>
  <c r="L62" i="3"/>
  <c r="U62" i="3" l="1"/>
  <c r="E63" i="3" s="1"/>
  <c r="H63" i="3" s="1"/>
  <c r="AG63" i="3"/>
  <c r="AH63" i="3"/>
  <c r="Y61" i="3"/>
  <c r="D63" i="3" l="1"/>
  <c r="G63" i="3" s="1"/>
  <c r="K63" i="3"/>
  <c r="F63" i="3" l="1"/>
  <c r="I63" i="3"/>
  <c r="J63" i="3"/>
  <c r="M63" i="3"/>
  <c r="N63" i="3" s="1"/>
  <c r="V63" i="3"/>
  <c r="AE63" i="3"/>
  <c r="W63" i="3" l="1"/>
  <c r="L63" i="3"/>
  <c r="U63" i="3" l="1"/>
  <c r="E64" i="3" s="1"/>
  <c r="H64" i="3" s="1"/>
  <c r="AH64" i="3"/>
  <c r="AG64" i="3"/>
  <c r="Y62" i="3"/>
  <c r="D64" i="3" l="1"/>
  <c r="G64" i="3" s="1"/>
  <c r="K64" i="3"/>
  <c r="F64" i="3" l="1"/>
  <c r="V64" i="3"/>
  <c r="AE64" i="3"/>
  <c r="I64" i="3"/>
  <c r="J64" i="3"/>
  <c r="M64" i="3"/>
  <c r="N64" i="3" s="1"/>
  <c r="W64" i="3" l="1"/>
  <c r="L64" i="3"/>
  <c r="U64" i="3" l="1"/>
  <c r="E65" i="3" s="1"/>
  <c r="H65" i="3" s="1"/>
  <c r="AH65" i="3"/>
  <c r="AG65" i="3"/>
  <c r="Y63" i="3"/>
  <c r="D65" i="3" l="1"/>
  <c r="G65" i="3" s="1"/>
  <c r="K65" i="3"/>
  <c r="F65" i="3" l="1"/>
  <c r="V65" i="3"/>
  <c r="AE65" i="3"/>
  <c r="I65" i="3"/>
  <c r="J65" i="3"/>
  <c r="M65" i="3"/>
  <c r="N65" i="3" s="1"/>
  <c r="W65" i="3" l="1"/>
  <c r="L65" i="3"/>
  <c r="U65" i="3" l="1"/>
  <c r="D66" i="3" s="1"/>
  <c r="AH66" i="3"/>
  <c r="AG66" i="3"/>
  <c r="Y64" i="3"/>
  <c r="E66" i="3" l="1"/>
  <c r="H66" i="3" s="1"/>
  <c r="K66" i="3" s="1"/>
  <c r="G66" i="3"/>
  <c r="F66" i="3" l="1"/>
  <c r="I66" i="3"/>
  <c r="J66" i="3"/>
  <c r="M66" i="3"/>
  <c r="N66" i="3" s="1"/>
  <c r="V66" i="3"/>
  <c r="AE66" i="3"/>
  <c r="W66" i="3" l="1"/>
  <c r="L66" i="3"/>
  <c r="U66" i="3" l="1"/>
  <c r="D67" i="3" s="1"/>
  <c r="AH67" i="3"/>
  <c r="AG67" i="3"/>
  <c r="Y65" i="3"/>
  <c r="E67" i="3" l="1"/>
  <c r="H67" i="3" s="1"/>
  <c r="K67" i="3" s="1"/>
  <c r="G67" i="3"/>
  <c r="F67" i="3" l="1"/>
  <c r="I67" i="3"/>
  <c r="J67" i="3"/>
  <c r="M67" i="3"/>
  <c r="N67" i="3" s="1"/>
  <c r="V67" i="3"/>
  <c r="AE67" i="3"/>
  <c r="W67" i="3" l="1"/>
  <c r="L67" i="3"/>
  <c r="U67" i="3" l="1"/>
  <c r="D68" i="3" s="1"/>
  <c r="AH68" i="3"/>
  <c r="AG68" i="3"/>
  <c r="Y66" i="3"/>
  <c r="E68" i="3" l="1"/>
  <c r="H68" i="3" s="1"/>
  <c r="K68" i="3" s="1"/>
  <c r="G68" i="3"/>
  <c r="F68" i="3" l="1"/>
  <c r="I68" i="3"/>
  <c r="J68" i="3"/>
  <c r="M68" i="3"/>
  <c r="N68" i="3" s="1"/>
  <c r="V68" i="3"/>
  <c r="AE68" i="3"/>
  <c r="W68" i="3" l="1"/>
  <c r="L68" i="3"/>
  <c r="U68" i="3" l="1"/>
  <c r="D69" i="3" s="1"/>
  <c r="AH69" i="3"/>
  <c r="AG69" i="3"/>
  <c r="Y67" i="3"/>
  <c r="E69" i="3" l="1"/>
  <c r="H69" i="3" s="1"/>
  <c r="K69" i="3" s="1"/>
  <c r="G69" i="3"/>
  <c r="F69" i="3" l="1"/>
  <c r="I69" i="3"/>
  <c r="J69" i="3"/>
  <c r="M69" i="3"/>
  <c r="N69" i="3" s="1"/>
  <c r="V69" i="3"/>
  <c r="AE69" i="3"/>
  <c r="W69" i="3" l="1"/>
  <c r="L69" i="3"/>
  <c r="AH70" i="3" l="1"/>
  <c r="U69" i="3"/>
  <c r="E70" i="3" s="1"/>
  <c r="H70" i="3" s="1"/>
  <c r="AG70" i="3"/>
  <c r="Y68" i="3"/>
  <c r="D70" i="3" l="1"/>
  <c r="G70" i="3" s="1"/>
  <c r="K70" i="3"/>
  <c r="F70" i="3" l="1"/>
  <c r="I70" i="3"/>
  <c r="J70" i="3"/>
  <c r="M70" i="3"/>
  <c r="N70" i="3" s="1"/>
  <c r="V70" i="3"/>
  <c r="AE70" i="3"/>
  <c r="W70" i="3" l="1"/>
  <c r="L70" i="3"/>
  <c r="AG71" i="3" l="1"/>
  <c r="AH71" i="3"/>
  <c r="U70" i="3"/>
  <c r="E71" i="3" s="1"/>
  <c r="H71" i="3" s="1"/>
  <c r="Y69" i="3"/>
  <c r="D71" i="3" l="1"/>
  <c r="G71" i="3" s="1"/>
  <c r="K71" i="3"/>
  <c r="F71" i="3" l="1"/>
  <c r="I71" i="3"/>
  <c r="J71" i="3"/>
  <c r="M71" i="3"/>
  <c r="N71" i="3" s="1"/>
  <c r="V71" i="3"/>
  <c r="AE71" i="3"/>
  <c r="W71" i="3" l="1"/>
  <c r="L71" i="3"/>
  <c r="AH72" i="3" l="1"/>
  <c r="U71" i="3"/>
  <c r="E72" i="3" s="1"/>
  <c r="H72" i="3" s="1"/>
  <c r="AG72" i="3"/>
  <c r="Y70" i="3"/>
  <c r="D72" i="3" l="1"/>
  <c r="F72" i="3" s="1"/>
  <c r="K72" i="3"/>
  <c r="G72" i="3" l="1"/>
  <c r="M72" i="3" s="1"/>
  <c r="N72" i="3" s="1"/>
  <c r="V72" i="3"/>
  <c r="AE72" i="3"/>
  <c r="I72" i="3" l="1"/>
  <c r="W72" i="3" s="1"/>
  <c r="J72" i="3"/>
  <c r="L72" i="3" s="1"/>
  <c r="U72" i="3" l="1"/>
  <c r="D73" i="3" s="1"/>
  <c r="AG73" i="3"/>
  <c r="AH73" i="3"/>
  <c r="Y71" i="3"/>
  <c r="E73" i="3" l="1"/>
  <c r="H73" i="3" s="1"/>
  <c r="K73" i="3" s="1"/>
  <c r="G73" i="3"/>
  <c r="F73" i="3" l="1"/>
  <c r="I73" i="3"/>
  <c r="J73" i="3"/>
  <c r="M73" i="3"/>
  <c r="N73" i="3" s="1"/>
  <c r="V73" i="3"/>
  <c r="AE73" i="3"/>
  <c r="W73" i="3" l="1"/>
  <c r="L73" i="3"/>
  <c r="AG74" i="3" l="1"/>
  <c r="AH74" i="3"/>
  <c r="U73" i="3"/>
  <c r="D74" i="3" s="1"/>
  <c r="Y72" i="3"/>
  <c r="G74" i="3" l="1"/>
  <c r="E74" i="3"/>
  <c r="H74" i="3" s="1"/>
  <c r="I74" i="3" l="1"/>
  <c r="J74" i="3"/>
  <c r="M74" i="3"/>
  <c r="N74" i="3" s="1"/>
  <c r="K74" i="3"/>
  <c r="F74" i="3"/>
  <c r="V74" i="3" l="1"/>
  <c r="W74" i="3" s="1"/>
  <c r="AE74" i="3"/>
  <c r="L74" i="3"/>
  <c r="AG75" i="3" l="1"/>
  <c r="U74" i="3"/>
  <c r="E75" i="3" s="1"/>
  <c r="H75" i="3" s="1"/>
  <c r="AH75" i="3"/>
  <c r="Y73" i="3"/>
  <c r="K75" i="3" l="1"/>
  <c r="D75" i="3"/>
  <c r="V75" i="3" l="1"/>
  <c r="AE75" i="3"/>
  <c r="F75" i="3"/>
  <c r="G75" i="3"/>
  <c r="I75" i="3" l="1"/>
  <c r="W75" i="3" s="1"/>
  <c r="J75" i="3"/>
  <c r="M75" i="3"/>
  <c r="N75" i="3" s="1"/>
  <c r="L75" i="3" l="1"/>
  <c r="U75" i="3" l="1"/>
  <c r="E76" i="3" s="1"/>
  <c r="H76" i="3" s="1"/>
  <c r="AH76" i="3"/>
  <c r="AG76" i="3"/>
  <c r="Y74" i="3"/>
  <c r="D76" i="3" l="1"/>
  <c r="F76" i="3" s="1"/>
  <c r="K76" i="3"/>
  <c r="G76" i="3" l="1"/>
  <c r="I76" i="3" s="1"/>
  <c r="V76" i="3"/>
  <c r="AE76" i="3"/>
  <c r="J76" i="3" l="1"/>
  <c r="L76" i="3" s="1"/>
  <c r="M76" i="3"/>
  <c r="N76" i="3" s="1"/>
  <c r="W76" i="3"/>
  <c r="U76" i="3" l="1"/>
  <c r="D77" i="3" s="1"/>
  <c r="AH77" i="3"/>
  <c r="AG77" i="3"/>
  <c r="Y75" i="3"/>
  <c r="E77" i="3" l="1"/>
  <c r="H77" i="3" s="1"/>
  <c r="K77" i="3" s="1"/>
  <c r="G77" i="3"/>
  <c r="F77" i="3" l="1"/>
  <c r="I77" i="3"/>
  <c r="J77" i="3"/>
  <c r="M77" i="3"/>
  <c r="N77" i="3" s="1"/>
  <c r="V77" i="3"/>
  <c r="AE77" i="3"/>
  <c r="W77" i="3" l="1"/>
  <c r="L77" i="3"/>
  <c r="AH78" i="3" l="1"/>
  <c r="U77" i="3"/>
  <c r="D78" i="3" s="1"/>
  <c r="AG78" i="3"/>
  <c r="Y76" i="3"/>
  <c r="E78" i="3" l="1"/>
  <c r="H78" i="3" s="1"/>
  <c r="K78" i="3" s="1"/>
  <c r="G78" i="3"/>
  <c r="F78" i="3" l="1"/>
  <c r="I78" i="3"/>
  <c r="J78" i="3"/>
  <c r="M78" i="3"/>
  <c r="N78" i="3" s="1"/>
  <c r="V78" i="3"/>
  <c r="AE78" i="3"/>
  <c r="W78" i="3" l="1"/>
  <c r="L78" i="3"/>
  <c r="U78" i="3" l="1"/>
  <c r="E79" i="3" s="1"/>
  <c r="H79" i="3" s="1"/>
  <c r="AH79" i="3"/>
  <c r="AG79" i="3"/>
  <c r="Y77" i="3"/>
  <c r="D79" i="3" l="1"/>
  <c r="G79" i="3" s="1"/>
  <c r="K79" i="3"/>
  <c r="F79" i="3" l="1"/>
  <c r="I79" i="3"/>
  <c r="J79" i="3"/>
  <c r="M79" i="3"/>
  <c r="N79" i="3" s="1"/>
  <c r="V79" i="3"/>
  <c r="AE79" i="3"/>
  <c r="W79" i="3" l="1"/>
  <c r="L79" i="3"/>
  <c r="AH80" i="3" l="1"/>
  <c r="AG80" i="3"/>
  <c r="U79" i="3"/>
  <c r="E80" i="3" s="1"/>
  <c r="H80" i="3" s="1"/>
  <c r="Y78" i="3"/>
  <c r="D80" i="3" l="1"/>
  <c r="F80" i="3" s="1"/>
  <c r="K80" i="3"/>
  <c r="G80" i="3" l="1"/>
  <c r="I80" i="3" s="1"/>
  <c r="V80" i="3"/>
  <c r="AE80" i="3"/>
  <c r="J80" i="3" l="1"/>
  <c r="L80" i="3" s="1"/>
  <c r="M80" i="3"/>
  <c r="N80" i="3" s="1"/>
  <c r="W80" i="3"/>
  <c r="U80" i="3" l="1"/>
  <c r="E81" i="3" s="1"/>
  <c r="H81" i="3" s="1"/>
  <c r="AG81" i="3"/>
  <c r="AH81" i="3"/>
  <c r="Y79" i="3"/>
  <c r="D81" i="3" l="1"/>
  <c r="G81" i="3" s="1"/>
  <c r="K81" i="3"/>
  <c r="F81" i="3" l="1"/>
  <c r="I81" i="3"/>
  <c r="J81" i="3"/>
  <c r="M81" i="3"/>
  <c r="N81" i="3" s="1"/>
  <c r="V81" i="3"/>
  <c r="AE81" i="3"/>
  <c r="W81" i="3" l="1"/>
  <c r="L81" i="3"/>
  <c r="AH82" i="3" l="1"/>
  <c r="AG82" i="3"/>
  <c r="U81" i="3"/>
  <c r="E82" i="3" s="1"/>
  <c r="H82" i="3" s="1"/>
  <c r="Y80" i="3"/>
  <c r="D82" i="3" l="1"/>
  <c r="G82" i="3" s="1"/>
  <c r="K82" i="3"/>
  <c r="F82" i="3" l="1"/>
  <c r="I82" i="3"/>
  <c r="J82" i="3"/>
  <c r="M82" i="3"/>
  <c r="N82" i="3" s="1"/>
  <c r="V82" i="3"/>
  <c r="AE82" i="3"/>
  <c r="W82" i="3" l="1"/>
  <c r="L82" i="3"/>
  <c r="AG83" i="3" l="1"/>
  <c r="U82" i="3"/>
  <c r="D83" i="3" s="1"/>
  <c r="AH83" i="3"/>
  <c r="Y81" i="3"/>
  <c r="E83" i="3" l="1"/>
  <c r="H83" i="3" s="1"/>
  <c r="K83" i="3" s="1"/>
  <c r="G83" i="3"/>
  <c r="F83" i="3" l="1"/>
  <c r="I83" i="3"/>
  <c r="J83" i="3"/>
  <c r="M83" i="3"/>
  <c r="N83" i="3" s="1"/>
  <c r="V83" i="3"/>
  <c r="AE83" i="3"/>
  <c r="W83" i="3" l="1"/>
  <c r="L83" i="3"/>
  <c r="AG84" i="3" l="1"/>
  <c r="AH84" i="3"/>
  <c r="U83" i="3"/>
  <c r="D84" i="3" s="1"/>
  <c r="Y82" i="3"/>
  <c r="G84" i="3" l="1"/>
  <c r="E84" i="3"/>
  <c r="H84" i="3" s="1"/>
  <c r="K84" i="3" l="1"/>
  <c r="I84" i="3"/>
  <c r="J84" i="3"/>
  <c r="M84" i="3"/>
  <c r="N84" i="3" s="1"/>
  <c r="F84" i="3"/>
  <c r="L84" i="3" l="1"/>
  <c r="V84" i="3"/>
  <c r="W84" i="3" s="1"/>
  <c r="AE84" i="3"/>
  <c r="AH85" i="3" l="1"/>
  <c r="AG85" i="3"/>
  <c r="U84" i="3"/>
  <c r="D85" i="3" s="1"/>
  <c r="Y83" i="3"/>
  <c r="E85" i="3" l="1"/>
  <c r="H85" i="3" s="1"/>
  <c r="K85" i="3" s="1"/>
  <c r="G85" i="3"/>
  <c r="F85" i="3" l="1"/>
  <c r="I85" i="3"/>
  <c r="J85" i="3"/>
  <c r="M85" i="3"/>
  <c r="N85" i="3" s="1"/>
  <c r="V85" i="3"/>
  <c r="AE85" i="3"/>
  <c r="W85" i="3" l="1"/>
  <c r="L85" i="3"/>
  <c r="AH86" i="3" l="1"/>
  <c r="AG86" i="3"/>
  <c r="U85" i="3"/>
  <c r="E86" i="3" s="1"/>
  <c r="H86" i="3" s="1"/>
  <c r="Y84" i="3"/>
  <c r="D86" i="3" l="1"/>
  <c r="F86" i="3" s="1"/>
  <c r="K86" i="3"/>
  <c r="G86" i="3" l="1"/>
  <c r="M86" i="3" s="1"/>
  <c r="N86" i="3" s="1"/>
  <c r="V86" i="3"/>
  <c r="AE86" i="3"/>
  <c r="I86" i="3" l="1"/>
  <c r="W86" i="3" s="1"/>
  <c r="J86" i="3"/>
  <c r="L86" i="3" s="1"/>
  <c r="U86" i="3" l="1"/>
  <c r="E87" i="3" s="1"/>
  <c r="H87" i="3" s="1"/>
  <c r="AH87" i="3"/>
  <c r="AG87" i="3"/>
  <c r="Y85" i="3"/>
  <c r="D87" i="3" l="1"/>
  <c r="G87" i="3" s="1"/>
  <c r="K87" i="3"/>
  <c r="F87" i="3" l="1"/>
  <c r="V87" i="3"/>
  <c r="AE87" i="3"/>
  <c r="I87" i="3"/>
  <c r="J87" i="3"/>
  <c r="M87" i="3"/>
  <c r="N87" i="3" s="1"/>
  <c r="L87" i="3" l="1"/>
  <c r="W87" i="3"/>
  <c r="U87" i="3" l="1"/>
  <c r="E88" i="3" s="1"/>
  <c r="H88" i="3" s="1"/>
  <c r="AG88" i="3"/>
  <c r="AH88" i="3"/>
  <c r="Y86" i="3"/>
  <c r="D88" i="3" l="1"/>
  <c r="G88" i="3" s="1"/>
  <c r="K88" i="3"/>
  <c r="F88" i="3" l="1"/>
  <c r="I88" i="3"/>
  <c r="J88" i="3"/>
  <c r="M88" i="3"/>
  <c r="N88" i="3" s="1"/>
  <c r="V88" i="3"/>
  <c r="AE88" i="3"/>
  <c r="W88" i="3" l="1"/>
  <c r="L88" i="3"/>
  <c r="AH89" i="3" l="1"/>
  <c r="U88" i="3"/>
  <c r="E89" i="3" s="1"/>
  <c r="H89" i="3" s="1"/>
  <c r="AG89" i="3"/>
  <c r="Y87" i="3"/>
  <c r="K89" i="3" l="1"/>
  <c r="D89" i="3"/>
  <c r="V89" i="3" l="1"/>
  <c r="AE89" i="3"/>
  <c r="F89" i="3"/>
  <c r="G89" i="3"/>
  <c r="I89" i="3" l="1"/>
  <c r="W89" i="3" s="1"/>
  <c r="J89" i="3"/>
  <c r="M89" i="3"/>
  <c r="N89" i="3" s="1"/>
  <c r="L89" i="3" l="1"/>
  <c r="U89" i="3" l="1"/>
  <c r="D90" i="3" s="1"/>
  <c r="AH90" i="3"/>
  <c r="AG90" i="3"/>
  <c r="Y88" i="3"/>
  <c r="G90" i="3" l="1"/>
  <c r="E90" i="3"/>
  <c r="H90" i="3" s="1"/>
  <c r="F90" i="3" l="1"/>
  <c r="I90" i="3"/>
  <c r="J90" i="3"/>
  <c r="M90" i="3"/>
  <c r="N90" i="3" s="1"/>
  <c r="K90" i="3"/>
  <c r="V90" i="3" l="1"/>
  <c r="W90" i="3" s="1"/>
  <c r="AE90" i="3"/>
  <c r="L90" i="3"/>
  <c r="AG91" i="3" l="1"/>
  <c r="AH91" i="3"/>
  <c r="U90" i="3"/>
  <c r="D91" i="3" s="1"/>
  <c r="Y89" i="3"/>
  <c r="G91" i="3" l="1"/>
  <c r="E91" i="3"/>
  <c r="H91" i="3" s="1"/>
  <c r="F91" i="3" l="1"/>
  <c r="I91" i="3"/>
  <c r="J91" i="3"/>
  <c r="M91" i="3"/>
  <c r="N91" i="3" s="1"/>
  <c r="K91" i="3"/>
  <c r="V91" i="3" l="1"/>
  <c r="W91" i="3" s="1"/>
  <c r="AE91" i="3"/>
  <c r="L91" i="3"/>
  <c r="AH92" i="3" l="1"/>
  <c r="AG92" i="3"/>
  <c r="U91" i="3"/>
  <c r="D92" i="3" s="1"/>
  <c r="Y90" i="3"/>
  <c r="G92" i="3" l="1"/>
  <c r="E92" i="3"/>
  <c r="H92" i="3" s="1"/>
  <c r="F92" i="3" l="1"/>
  <c r="I92" i="3"/>
  <c r="J92" i="3"/>
  <c r="M92" i="3"/>
  <c r="N92" i="3" s="1"/>
  <c r="K92" i="3"/>
  <c r="V92" i="3" l="1"/>
  <c r="W92" i="3" s="1"/>
  <c r="AE92" i="3"/>
  <c r="L92" i="3"/>
  <c r="U92" i="3" l="1"/>
  <c r="D93" i="3" s="1"/>
  <c r="AH93" i="3"/>
  <c r="AG93" i="3"/>
  <c r="Y91" i="3"/>
  <c r="E93" i="3" l="1"/>
  <c r="H93" i="3" s="1"/>
  <c r="K93" i="3" s="1"/>
  <c r="G93" i="3"/>
  <c r="F93" i="3" l="1"/>
  <c r="I93" i="3"/>
  <c r="J93" i="3"/>
  <c r="M93" i="3"/>
  <c r="N93" i="3" s="1"/>
  <c r="V93" i="3"/>
  <c r="AE93" i="3"/>
  <c r="W93" i="3" l="1"/>
  <c r="L93" i="3"/>
  <c r="AG94" i="3" l="1"/>
  <c r="AH94" i="3"/>
  <c r="U93" i="3"/>
  <c r="D94" i="3" s="1"/>
  <c r="Y92" i="3"/>
  <c r="E94" i="3" l="1"/>
  <c r="H94" i="3" s="1"/>
  <c r="K94" i="3" s="1"/>
  <c r="G94" i="3"/>
  <c r="F94" i="3" l="1"/>
  <c r="I94" i="3"/>
  <c r="J94" i="3"/>
  <c r="M94" i="3"/>
  <c r="N94" i="3" s="1"/>
  <c r="V94" i="3"/>
  <c r="AE94" i="3"/>
  <c r="L94" i="3" l="1"/>
  <c r="W94" i="3"/>
  <c r="U94" i="3" l="1"/>
  <c r="D95" i="3" s="1"/>
  <c r="AG95" i="3"/>
  <c r="AH95" i="3"/>
  <c r="Y93" i="3"/>
  <c r="E95" i="3" l="1"/>
  <c r="H95" i="3" s="1"/>
  <c r="K95" i="3" s="1"/>
  <c r="G95" i="3"/>
  <c r="F95" i="3" l="1"/>
  <c r="I95" i="3"/>
  <c r="J95" i="3"/>
  <c r="M95" i="3"/>
  <c r="N95" i="3" s="1"/>
  <c r="V95" i="3"/>
  <c r="AE95" i="3"/>
  <c r="W95" i="3" l="1"/>
  <c r="L95" i="3"/>
  <c r="AG96" i="3" l="1"/>
  <c r="AH96" i="3"/>
  <c r="U95" i="3"/>
  <c r="D96" i="3" s="1"/>
  <c r="Y94" i="3"/>
  <c r="G96" i="3" l="1"/>
  <c r="E96" i="3"/>
  <c r="H96" i="3" s="1"/>
  <c r="F96" i="3" l="1"/>
  <c r="I96" i="3"/>
  <c r="J96" i="3"/>
  <c r="M96" i="3"/>
  <c r="N96" i="3" s="1"/>
  <c r="K96" i="3"/>
  <c r="L96" i="3" l="1"/>
  <c r="V96" i="3"/>
  <c r="W96" i="3" s="1"/>
  <c r="AE96" i="3"/>
  <c r="AG97" i="3" l="1"/>
  <c r="AH97" i="3"/>
  <c r="U96" i="3"/>
  <c r="E97" i="3" s="1"/>
  <c r="H97" i="3" s="1"/>
  <c r="Y95" i="3"/>
  <c r="K97" i="3" l="1"/>
  <c r="D97" i="3"/>
  <c r="V97" i="3" l="1"/>
  <c r="AE97" i="3"/>
  <c r="F97" i="3"/>
  <c r="G97" i="3"/>
  <c r="I97" i="3" l="1"/>
  <c r="W97" i="3" s="1"/>
  <c r="J97" i="3"/>
  <c r="M97" i="3"/>
  <c r="N97" i="3" s="1"/>
  <c r="L97" i="3" l="1"/>
  <c r="U97" i="3" l="1"/>
  <c r="D98" i="3" s="1"/>
  <c r="AH98" i="3"/>
  <c r="AG98" i="3"/>
  <c r="Y96" i="3"/>
  <c r="G98" i="3" l="1"/>
  <c r="E98" i="3"/>
  <c r="H98" i="3" s="1"/>
  <c r="I98" i="3" l="1"/>
  <c r="J98" i="3"/>
  <c r="M98" i="3"/>
  <c r="N98" i="3" s="1"/>
  <c r="F98" i="3"/>
  <c r="K98" i="3"/>
  <c r="L98" i="3" l="1"/>
  <c r="V98" i="3"/>
  <c r="W98" i="3" s="1"/>
  <c r="AE98" i="3"/>
  <c r="AG99" i="3" l="1"/>
  <c r="AH99" i="3"/>
  <c r="U98" i="3"/>
  <c r="D99" i="3" s="1"/>
  <c r="Y97" i="3"/>
  <c r="G99" i="3" l="1"/>
  <c r="E99" i="3"/>
  <c r="H99" i="3" s="1"/>
  <c r="F99" i="3" l="1"/>
  <c r="I99" i="3"/>
  <c r="J99" i="3"/>
  <c r="M99" i="3"/>
  <c r="N99" i="3" s="1"/>
  <c r="K99" i="3"/>
  <c r="V99" i="3" l="1"/>
  <c r="W99" i="3" s="1"/>
  <c r="AE99" i="3"/>
  <c r="L99" i="3"/>
  <c r="U99" i="3" l="1"/>
  <c r="D100" i="3" s="1"/>
  <c r="AH100" i="3"/>
  <c r="AG100" i="3"/>
  <c r="Y98" i="3"/>
  <c r="E100" i="3" l="1"/>
  <c r="H100" i="3" s="1"/>
  <c r="K100" i="3" s="1"/>
  <c r="G100" i="3"/>
  <c r="F100" i="3" l="1"/>
  <c r="V100" i="3"/>
  <c r="AE100" i="3"/>
  <c r="I100" i="3"/>
  <c r="J100" i="3"/>
  <c r="M100" i="3"/>
  <c r="N100" i="3" s="1"/>
  <c r="W100" i="3" l="1"/>
  <c r="L100" i="3"/>
  <c r="AH101" i="3" l="1"/>
  <c r="U100" i="3"/>
  <c r="E101" i="3" s="1"/>
  <c r="H101" i="3" s="1"/>
  <c r="AG101" i="3"/>
  <c r="Y99" i="3"/>
  <c r="K101" i="3" l="1"/>
  <c r="D101" i="3"/>
  <c r="V101" i="3" l="1"/>
  <c r="AE101" i="3"/>
  <c r="F101" i="3"/>
  <c r="G101" i="3"/>
  <c r="I101" i="3" l="1"/>
  <c r="W101" i="3" s="1"/>
  <c r="J101" i="3"/>
  <c r="M101" i="3"/>
  <c r="N101" i="3" s="1"/>
  <c r="L101" i="3" l="1"/>
  <c r="AH102" i="3" l="1"/>
  <c r="AG102" i="3"/>
  <c r="U101" i="3"/>
  <c r="E102" i="3" s="1"/>
  <c r="H102" i="3" s="1"/>
  <c r="Y100" i="3"/>
  <c r="K102" i="3" l="1"/>
  <c r="D102" i="3"/>
  <c r="V102" i="3" l="1"/>
  <c r="AE102" i="3"/>
  <c r="F102" i="3"/>
  <c r="G102" i="3"/>
  <c r="I102" i="3" l="1"/>
  <c r="W102" i="3" s="1"/>
  <c r="J102" i="3"/>
  <c r="M102" i="3"/>
  <c r="N102" i="3" s="1"/>
  <c r="L102" i="3" l="1"/>
  <c r="AG103" i="3" l="1"/>
  <c r="AH103" i="3"/>
  <c r="U102" i="3"/>
  <c r="E103" i="3" s="1"/>
  <c r="H103" i="3" s="1"/>
  <c r="Y101" i="3"/>
  <c r="K103" i="3" l="1"/>
  <c r="D103" i="3"/>
  <c r="V103" i="3" l="1"/>
  <c r="AE103" i="3"/>
  <c r="F103" i="3"/>
  <c r="G103" i="3"/>
  <c r="I103" i="3" l="1"/>
  <c r="W103" i="3" s="1"/>
  <c r="J103" i="3"/>
  <c r="M103" i="3"/>
  <c r="N103" i="3" s="1"/>
  <c r="L103" i="3" l="1"/>
  <c r="AG104" i="3" l="1"/>
  <c r="AH104" i="3"/>
  <c r="U103" i="3"/>
  <c r="E104" i="3" s="1"/>
  <c r="H104" i="3" s="1"/>
  <c r="Y102" i="3"/>
  <c r="K104" i="3" l="1"/>
  <c r="D104" i="3"/>
  <c r="V104" i="3" l="1"/>
  <c r="AE104" i="3"/>
  <c r="F104" i="3"/>
  <c r="G104" i="3"/>
  <c r="I104" i="3" l="1"/>
  <c r="W104" i="3" s="1"/>
  <c r="J104" i="3"/>
  <c r="M104" i="3"/>
  <c r="N104" i="3" s="1"/>
  <c r="L104" i="3" l="1"/>
  <c r="AD104" i="3"/>
  <c r="U104" i="3" l="1"/>
  <c r="E105" i="3" s="1"/>
  <c r="H105" i="3" s="1"/>
  <c r="AG105" i="3"/>
  <c r="AH105" i="3"/>
  <c r="Y103" i="3"/>
  <c r="D105" i="3" l="1"/>
  <c r="G105" i="3" s="1"/>
  <c r="K105" i="3"/>
  <c r="F105" i="3" l="1"/>
  <c r="V105" i="3"/>
  <c r="AE105" i="3"/>
  <c r="I105" i="3"/>
  <c r="J105" i="3"/>
  <c r="M105" i="3"/>
  <c r="N105" i="3" s="1"/>
  <c r="W105" i="3" l="1"/>
  <c r="L105" i="3"/>
  <c r="AH106" i="3" l="1"/>
  <c r="AG106" i="3"/>
  <c r="U105" i="3"/>
  <c r="D106" i="3" s="1"/>
  <c r="Y104" i="3"/>
  <c r="E106" i="3" l="1"/>
  <c r="H106" i="3" s="1"/>
  <c r="K106" i="3" s="1"/>
  <c r="G106" i="3"/>
  <c r="F106" i="3" l="1"/>
  <c r="V106" i="3"/>
  <c r="AE106" i="3"/>
  <c r="I106" i="3"/>
  <c r="J106" i="3"/>
  <c r="M106" i="3"/>
  <c r="N106" i="3" s="1"/>
  <c r="W106" i="3" l="1"/>
  <c r="L106" i="3"/>
  <c r="AG107" i="3" l="1"/>
  <c r="AH107" i="3"/>
  <c r="U106" i="3"/>
  <c r="E107" i="3" s="1"/>
  <c r="H107" i="3" s="1"/>
  <c r="Y105" i="3"/>
  <c r="K107" i="3" l="1"/>
  <c r="D107" i="3"/>
  <c r="V107" i="3" l="1"/>
  <c r="AE107" i="3"/>
  <c r="F107" i="3"/>
  <c r="G107" i="3"/>
  <c r="I107" i="3" l="1"/>
  <c r="W107" i="3" s="1"/>
  <c r="J107" i="3"/>
  <c r="M107" i="3"/>
  <c r="N107" i="3" s="1"/>
  <c r="L107" i="3" l="1"/>
  <c r="AH108" i="3" l="1"/>
  <c r="U107" i="3"/>
  <c r="E108" i="3" s="1"/>
  <c r="H108" i="3" s="1"/>
  <c r="AG108" i="3"/>
  <c r="Y106" i="3"/>
  <c r="D108" i="3" l="1"/>
  <c r="G108" i="3" s="1"/>
  <c r="K108" i="3"/>
  <c r="F108" i="3" l="1"/>
  <c r="I108" i="3"/>
  <c r="J108" i="3"/>
  <c r="M108" i="3"/>
  <c r="N108" i="3" s="1"/>
  <c r="V108" i="3"/>
  <c r="AE108" i="3"/>
  <c r="W108" i="3" l="1"/>
  <c r="L108" i="3"/>
  <c r="AG109" i="3" l="1"/>
  <c r="U108" i="3"/>
  <c r="D109" i="3" s="1"/>
  <c r="AH109" i="3"/>
  <c r="Y107" i="3"/>
  <c r="E109" i="3" l="1"/>
  <c r="H109" i="3" s="1"/>
  <c r="K109" i="3" s="1"/>
  <c r="G109" i="3"/>
  <c r="F109" i="3" l="1"/>
  <c r="V109" i="3"/>
  <c r="AE109" i="3"/>
  <c r="I109" i="3"/>
  <c r="J109" i="3"/>
  <c r="M109" i="3"/>
  <c r="N109" i="3" s="1"/>
  <c r="L109" i="3" l="1"/>
  <c r="W109" i="3"/>
  <c r="AH110" i="3" l="1"/>
  <c r="AG110" i="3"/>
  <c r="U109" i="3"/>
  <c r="D110" i="3" s="1"/>
  <c r="Y108" i="3"/>
  <c r="E110" i="3" l="1"/>
  <c r="H110" i="3" s="1"/>
  <c r="K110" i="3" s="1"/>
  <c r="G110" i="3"/>
  <c r="F110" i="3" l="1"/>
  <c r="I110" i="3"/>
  <c r="J110" i="3"/>
  <c r="M110" i="3"/>
  <c r="N110" i="3" s="1"/>
  <c r="V110" i="3"/>
  <c r="AE110" i="3"/>
  <c r="W110" i="3" l="1"/>
  <c r="L110" i="3"/>
  <c r="AH111" i="3" l="1"/>
  <c r="U110" i="3"/>
  <c r="E111" i="3" s="1"/>
  <c r="H111" i="3" s="1"/>
  <c r="AG111" i="3"/>
  <c r="Y109" i="3"/>
  <c r="D111" i="3" l="1"/>
  <c r="G111" i="3" s="1"/>
  <c r="K111" i="3"/>
  <c r="F111" i="3" l="1"/>
  <c r="I111" i="3"/>
  <c r="J111" i="3"/>
  <c r="M111" i="3"/>
  <c r="N111" i="3" s="1"/>
  <c r="V111" i="3"/>
  <c r="AE111" i="3"/>
  <c r="W111" i="3" l="1"/>
  <c r="L111" i="3"/>
  <c r="AH112" i="3" l="1"/>
  <c r="U111" i="3"/>
  <c r="D112" i="3" s="1"/>
  <c r="AG112" i="3"/>
  <c r="Y110" i="3"/>
  <c r="E112" i="3" l="1"/>
  <c r="H112" i="3" s="1"/>
  <c r="K112" i="3" s="1"/>
  <c r="G112" i="3"/>
  <c r="F112" i="3" l="1"/>
  <c r="V112" i="3"/>
  <c r="AE112" i="3"/>
  <c r="I112" i="3"/>
  <c r="J112" i="3"/>
  <c r="M112" i="3"/>
  <c r="N112" i="3" s="1"/>
  <c r="W112" i="3" l="1"/>
  <c r="L112" i="3"/>
  <c r="AG113" i="3" l="1"/>
  <c r="U112" i="3"/>
  <c r="E113" i="3" s="1"/>
  <c r="H113" i="3" s="1"/>
  <c r="AH113" i="3"/>
  <c r="Y111" i="3"/>
  <c r="D113" i="3" l="1"/>
  <c r="G113" i="3" s="1"/>
  <c r="K113" i="3"/>
  <c r="F113" i="3" l="1"/>
  <c r="V113" i="3"/>
  <c r="AE113" i="3"/>
  <c r="I113" i="3"/>
  <c r="J113" i="3"/>
  <c r="M113" i="3"/>
  <c r="N113" i="3" s="1"/>
  <c r="W113" i="3" l="1"/>
  <c r="L113" i="3"/>
  <c r="AH114" i="3" l="1"/>
  <c r="U113" i="3"/>
  <c r="D114" i="3" s="1"/>
  <c r="AG114" i="3"/>
  <c r="Y112" i="3"/>
  <c r="E114" i="3" l="1"/>
  <c r="H114" i="3" s="1"/>
  <c r="K114" i="3" s="1"/>
  <c r="G114" i="3"/>
  <c r="F114" i="3" l="1"/>
  <c r="I114" i="3"/>
  <c r="J114" i="3"/>
  <c r="M114" i="3"/>
  <c r="N114" i="3" s="1"/>
  <c r="V114" i="3"/>
  <c r="AE114" i="3"/>
  <c r="W114" i="3" l="1"/>
  <c r="L114" i="3"/>
  <c r="U114" i="3" l="1"/>
  <c r="D115" i="3" s="1"/>
  <c r="AH115" i="3"/>
  <c r="AG115" i="3"/>
  <c r="Y113" i="3"/>
  <c r="G115" i="3" l="1"/>
  <c r="E115" i="3"/>
  <c r="H115" i="3" s="1"/>
  <c r="F115" i="3" l="1"/>
  <c r="I115" i="3"/>
  <c r="J115" i="3"/>
  <c r="M115" i="3"/>
  <c r="N115" i="3" s="1"/>
  <c r="K115" i="3"/>
  <c r="V115" i="3" l="1"/>
  <c r="W115" i="3" s="1"/>
  <c r="AE115" i="3"/>
  <c r="L115" i="3"/>
  <c r="AH116" i="3" l="1"/>
  <c r="U115" i="3"/>
  <c r="E116" i="3" s="1"/>
  <c r="H116" i="3" s="1"/>
  <c r="AG116" i="3"/>
  <c r="Y114" i="3"/>
  <c r="K116" i="3" l="1"/>
  <c r="D116" i="3"/>
  <c r="V116" i="3" l="1"/>
  <c r="AE116" i="3"/>
  <c r="F116" i="3"/>
  <c r="G116" i="3"/>
  <c r="I116" i="3" l="1"/>
  <c r="W116" i="3" s="1"/>
  <c r="J116" i="3"/>
  <c r="M116" i="3"/>
  <c r="N116" i="3" s="1"/>
  <c r="L116" i="3" l="1"/>
  <c r="U116" i="3" l="1"/>
  <c r="D117" i="3" s="1"/>
  <c r="AH117" i="3"/>
  <c r="AG117" i="3"/>
  <c r="Y115" i="3"/>
  <c r="E117" i="3" l="1"/>
  <c r="H117" i="3" s="1"/>
  <c r="K117" i="3" s="1"/>
  <c r="G117" i="3"/>
  <c r="F117" i="3" l="1"/>
  <c r="I117" i="3"/>
  <c r="J117" i="3"/>
  <c r="M117" i="3"/>
  <c r="N117" i="3" s="1"/>
  <c r="V117" i="3"/>
  <c r="AE117" i="3"/>
  <c r="W117" i="3" l="1"/>
  <c r="L117" i="3"/>
  <c r="AG118" i="3" l="1"/>
  <c r="U117" i="3"/>
  <c r="D118" i="3" s="1"/>
  <c r="AH118" i="3"/>
  <c r="Y116" i="3"/>
  <c r="E118" i="3" l="1"/>
  <c r="H118" i="3" s="1"/>
  <c r="K118" i="3" s="1"/>
  <c r="G118" i="3"/>
  <c r="F118" i="3" l="1"/>
  <c r="I118" i="3"/>
  <c r="J118" i="3"/>
  <c r="M118" i="3"/>
  <c r="N118" i="3" s="1"/>
  <c r="V118" i="3"/>
  <c r="AE118" i="3"/>
  <c r="L118" i="3" l="1"/>
  <c r="W118" i="3"/>
  <c r="U118" i="3" l="1"/>
  <c r="E119" i="3" s="1"/>
  <c r="H119" i="3" s="1"/>
  <c r="AG119" i="3"/>
  <c r="AH119" i="3"/>
  <c r="Y117" i="3"/>
  <c r="D119" i="3" l="1"/>
  <c r="F119" i="3" s="1"/>
  <c r="K119" i="3"/>
  <c r="G119" i="3" l="1"/>
  <c r="M119" i="3" s="1"/>
  <c r="N119" i="3" s="1"/>
  <c r="V119" i="3"/>
  <c r="AE119" i="3"/>
  <c r="I119" i="3" l="1"/>
  <c r="W119" i="3" s="1"/>
  <c r="J119" i="3"/>
  <c r="L119" i="3" s="1"/>
  <c r="AH120" i="3" l="1"/>
  <c r="U119" i="3"/>
  <c r="D120" i="3" s="1"/>
  <c r="AG120" i="3"/>
  <c r="Y118" i="3"/>
  <c r="E120" i="3" l="1"/>
  <c r="H120" i="3" s="1"/>
  <c r="K120" i="3" s="1"/>
  <c r="G120" i="3"/>
  <c r="F120" i="3" l="1"/>
  <c r="I120" i="3"/>
  <c r="J120" i="3"/>
  <c r="M120" i="3"/>
  <c r="N120" i="3" s="1"/>
  <c r="V120" i="3"/>
  <c r="AE120" i="3"/>
  <c r="W120" i="3" l="1"/>
  <c r="L120" i="3"/>
  <c r="U120" i="3" l="1"/>
  <c r="E121" i="3" s="1"/>
  <c r="H121" i="3" s="1"/>
  <c r="AH121" i="3"/>
  <c r="AG121" i="3"/>
  <c r="Y119" i="3"/>
  <c r="D121" i="3" l="1"/>
  <c r="G121" i="3" s="1"/>
  <c r="K121" i="3"/>
  <c r="F121" i="3" l="1"/>
  <c r="I121" i="3"/>
  <c r="J121" i="3"/>
  <c r="M121" i="3"/>
  <c r="N121" i="3" s="1"/>
  <c r="V121" i="3"/>
  <c r="AE121" i="3"/>
  <c r="L121" i="3" l="1"/>
  <c r="W121" i="3"/>
  <c r="U121" i="3" l="1"/>
  <c r="D122" i="3" s="1"/>
  <c r="AG122" i="3"/>
  <c r="AH122" i="3"/>
  <c r="Y120" i="3"/>
  <c r="G122" i="3" l="1"/>
  <c r="E122" i="3"/>
  <c r="H122" i="3" s="1"/>
  <c r="F122" i="3" l="1"/>
  <c r="K122" i="3"/>
  <c r="I122" i="3"/>
  <c r="J122" i="3"/>
  <c r="M122" i="3"/>
  <c r="N122" i="3" s="1"/>
  <c r="L122" i="3" l="1"/>
  <c r="V122" i="3"/>
  <c r="W122" i="3" s="1"/>
  <c r="AE122" i="3"/>
  <c r="U122" i="3" l="1"/>
  <c r="D123" i="3" s="1"/>
  <c r="AH123" i="3"/>
  <c r="AG123" i="3"/>
  <c r="Y121" i="3"/>
  <c r="G123" i="3" l="1"/>
  <c r="E123" i="3"/>
  <c r="H123" i="3" s="1"/>
  <c r="I123" i="3" l="1"/>
  <c r="J123" i="3"/>
  <c r="M123" i="3"/>
  <c r="N123" i="3" s="1"/>
  <c r="K123" i="3"/>
  <c r="F123" i="3"/>
  <c r="V123" i="3" l="1"/>
  <c r="W123" i="3" s="1"/>
  <c r="AE123" i="3"/>
  <c r="L123" i="3"/>
  <c r="U123" i="3" l="1"/>
  <c r="D124" i="3" s="1"/>
  <c r="AH124" i="3"/>
  <c r="AG124" i="3"/>
  <c r="Y122" i="3"/>
  <c r="E124" i="3" l="1"/>
  <c r="H124" i="3" s="1"/>
  <c r="K124" i="3" s="1"/>
  <c r="G124" i="3"/>
  <c r="F124" i="3" l="1"/>
  <c r="I124" i="3"/>
  <c r="J124" i="3"/>
  <c r="M124" i="3"/>
  <c r="N124" i="3" s="1"/>
  <c r="V124" i="3"/>
  <c r="AE124" i="3"/>
  <c r="W124" i="3" l="1"/>
  <c r="L124" i="3"/>
  <c r="U124" i="3" l="1"/>
  <c r="E125" i="3" s="1"/>
  <c r="H125" i="3" s="1"/>
  <c r="AH125" i="3"/>
  <c r="AG125" i="3"/>
  <c r="Y123" i="3"/>
  <c r="K125" i="3" l="1"/>
  <c r="D125" i="3"/>
  <c r="V125" i="3" l="1"/>
  <c r="AE125" i="3"/>
  <c r="F125" i="3"/>
  <c r="G125" i="3"/>
  <c r="I125" i="3" l="1"/>
  <c r="W125" i="3" s="1"/>
  <c r="J125" i="3"/>
  <c r="M125" i="3"/>
  <c r="N125" i="3" s="1"/>
  <c r="L125" i="3" l="1"/>
  <c r="AG126" i="3" l="1"/>
  <c r="AH126" i="3"/>
  <c r="U125" i="3"/>
  <c r="D126" i="3" s="1"/>
  <c r="Y124" i="3"/>
  <c r="E126" i="3" l="1"/>
  <c r="H126" i="3" s="1"/>
  <c r="K126" i="3" s="1"/>
  <c r="G126" i="3"/>
  <c r="F126" i="3" l="1"/>
  <c r="I126" i="3"/>
  <c r="J126" i="3"/>
  <c r="M126" i="3"/>
  <c r="N126" i="3" s="1"/>
  <c r="V126" i="3"/>
  <c r="AE126" i="3"/>
  <c r="W126" i="3" l="1"/>
  <c r="L126" i="3"/>
  <c r="U126" i="3" l="1"/>
  <c r="E127" i="3" s="1"/>
  <c r="H127" i="3" s="1"/>
  <c r="AH127" i="3"/>
  <c r="AG127" i="3"/>
  <c r="Y125" i="3"/>
  <c r="D127" i="3" l="1"/>
  <c r="G127" i="3" s="1"/>
  <c r="K127" i="3"/>
  <c r="F127" i="3" l="1"/>
  <c r="I127" i="3"/>
  <c r="J127" i="3"/>
  <c r="M127" i="3"/>
  <c r="N127" i="3" s="1"/>
  <c r="V127" i="3"/>
  <c r="AE127" i="3"/>
  <c r="W127" i="3" l="1"/>
  <c r="L127" i="3"/>
  <c r="AH128" i="3" l="1"/>
  <c r="U127" i="3"/>
  <c r="E128" i="3" s="1"/>
  <c r="H128" i="3" s="1"/>
  <c r="AG128" i="3"/>
  <c r="Y126" i="3"/>
  <c r="D128" i="3" l="1"/>
  <c r="G128" i="3" s="1"/>
  <c r="K128" i="3"/>
  <c r="F128" i="3" l="1"/>
  <c r="I128" i="3"/>
  <c r="J128" i="3"/>
  <c r="M128" i="3"/>
  <c r="N128" i="3" s="1"/>
  <c r="V128" i="3"/>
  <c r="AE128" i="3"/>
  <c r="W128" i="3" l="1"/>
  <c r="L128" i="3"/>
  <c r="AH129" i="3" l="1"/>
  <c r="U128" i="3"/>
  <c r="D129" i="3" s="1"/>
  <c r="AG129" i="3"/>
  <c r="Y127" i="3"/>
  <c r="G129" i="3" l="1"/>
  <c r="E129" i="3"/>
  <c r="H129" i="3" s="1"/>
  <c r="F129" i="3" l="1"/>
  <c r="I129" i="3"/>
  <c r="J129" i="3"/>
  <c r="M129" i="3"/>
  <c r="N129" i="3" s="1"/>
  <c r="K129" i="3"/>
  <c r="V129" i="3" l="1"/>
  <c r="W129" i="3" s="1"/>
  <c r="AE129" i="3"/>
  <c r="L129" i="3"/>
  <c r="U129" i="3" l="1"/>
  <c r="E130" i="3" s="1"/>
  <c r="H130" i="3" s="1"/>
  <c r="AH130" i="3"/>
  <c r="AG130" i="3"/>
  <c r="Y128" i="3"/>
  <c r="D130" i="3" l="1"/>
  <c r="G130" i="3" s="1"/>
  <c r="K130" i="3"/>
  <c r="F130" i="3" l="1"/>
  <c r="V130" i="3"/>
  <c r="AE130" i="3"/>
  <c r="I130" i="3"/>
  <c r="J130" i="3"/>
  <c r="M130" i="3"/>
  <c r="N130" i="3" s="1"/>
  <c r="L130" i="3" l="1"/>
  <c r="W130" i="3"/>
  <c r="U130" i="3" l="1"/>
  <c r="E131" i="3" s="1"/>
  <c r="H131" i="3" s="1"/>
  <c r="AH131" i="3"/>
  <c r="AG131" i="3"/>
  <c r="Y129" i="3"/>
  <c r="D131" i="3" l="1"/>
  <c r="F131" i="3" s="1"/>
  <c r="K131" i="3"/>
  <c r="G131" i="3" l="1"/>
  <c r="M131" i="3" s="1"/>
  <c r="N131" i="3" s="1"/>
  <c r="V131" i="3"/>
  <c r="AE131" i="3"/>
  <c r="J131" i="3" l="1"/>
  <c r="L131" i="3" s="1"/>
  <c r="I131" i="3"/>
  <c r="W131" i="3" s="1"/>
  <c r="U131" i="3" l="1"/>
  <c r="E132" i="3" s="1"/>
  <c r="H132" i="3" s="1"/>
  <c r="AH132" i="3"/>
  <c r="AG132" i="3"/>
  <c r="Y130" i="3"/>
  <c r="K132" i="3" l="1"/>
  <c r="D132" i="3"/>
  <c r="V132" i="3" l="1"/>
  <c r="AE132" i="3"/>
  <c r="F132" i="3"/>
  <c r="G132" i="3"/>
  <c r="I132" i="3" l="1"/>
  <c r="W132" i="3" s="1"/>
  <c r="J132" i="3"/>
  <c r="M132" i="3"/>
  <c r="N132" i="3" s="1"/>
  <c r="L132" i="3" l="1"/>
  <c r="U132" i="3" l="1"/>
  <c r="D133" i="3" s="1"/>
  <c r="AH133" i="3"/>
  <c r="AG133" i="3"/>
  <c r="Y131" i="3"/>
  <c r="E133" i="3" l="1"/>
  <c r="H133" i="3" s="1"/>
  <c r="K133" i="3" s="1"/>
  <c r="G133" i="3"/>
  <c r="F133" i="3" l="1"/>
  <c r="V133" i="3"/>
  <c r="AE133" i="3"/>
  <c r="I133" i="3"/>
  <c r="J133" i="3"/>
  <c r="M133" i="3"/>
  <c r="N133" i="3" s="1"/>
  <c r="W133" i="3" l="1"/>
  <c r="L133" i="3"/>
  <c r="AG134" i="3" l="1"/>
  <c r="U133" i="3"/>
  <c r="D134" i="3" s="1"/>
  <c r="AH134" i="3"/>
  <c r="Y132" i="3"/>
  <c r="E134" i="3" l="1"/>
  <c r="H134" i="3" s="1"/>
  <c r="K134" i="3" s="1"/>
  <c r="G134" i="3"/>
  <c r="F134" i="3" l="1"/>
  <c r="I134" i="3"/>
  <c r="J134" i="3"/>
  <c r="M134" i="3"/>
  <c r="N134" i="3" s="1"/>
  <c r="V134" i="3"/>
  <c r="AE134" i="3"/>
  <c r="W134" i="3" l="1"/>
  <c r="L134" i="3"/>
  <c r="U134" i="3" l="1"/>
  <c r="E135" i="3" s="1"/>
  <c r="H135" i="3" s="1"/>
  <c r="AH135" i="3"/>
  <c r="AG135" i="3"/>
  <c r="Y133" i="3"/>
  <c r="K135" i="3" l="1"/>
  <c r="D135" i="3"/>
  <c r="V135" i="3" l="1"/>
  <c r="AE135" i="3"/>
  <c r="F135" i="3"/>
  <c r="G135" i="3"/>
  <c r="I135" i="3" l="1"/>
  <c r="W135" i="3" s="1"/>
  <c r="J135" i="3"/>
  <c r="M135" i="3"/>
  <c r="N135" i="3" s="1"/>
  <c r="L135" i="3" l="1"/>
  <c r="AH136" i="3" l="1"/>
  <c r="U135" i="3"/>
  <c r="D136" i="3" s="1"/>
  <c r="AG136" i="3"/>
  <c r="Y134" i="3"/>
  <c r="E136" i="3" l="1"/>
  <c r="H136" i="3" s="1"/>
  <c r="K136" i="3" s="1"/>
  <c r="G136" i="3"/>
  <c r="F136" i="3" l="1"/>
  <c r="I136" i="3"/>
  <c r="J136" i="3"/>
  <c r="M136" i="3"/>
  <c r="N136" i="3" s="1"/>
  <c r="V136" i="3"/>
  <c r="AE136" i="3"/>
  <c r="W136" i="3" l="1"/>
  <c r="L136" i="3"/>
  <c r="U136" i="3" l="1"/>
  <c r="D137" i="3" s="1"/>
  <c r="AH137" i="3"/>
  <c r="AG137" i="3"/>
  <c r="Y135" i="3"/>
  <c r="E137" i="3" l="1"/>
  <c r="H137" i="3" s="1"/>
  <c r="K137" i="3" s="1"/>
  <c r="G137" i="3"/>
  <c r="F137" i="3" l="1"/>
  <c r="I137" i="3"/>
  <c r="J137" i="3"/>
  <c r="M137" i="3"/>
  <c r="N137" i="3" s="1"/>
  <c r="V137" i="3"/>
  <c r="AE137" i="3"/>
  <c r="W137" i="3" l="1"/>
  <c r="L137" i="3"/>
  <c r="AH138" i="3" l="1"/>
  <c r="U137" i="3"/>
  <c r="E138" i="3" s="1"/>
  <c r="H138" i="3" s="1"/>
  <c r="AG138" i="3"/>
  <c r="Y136" i="3"/>
  <c r="D138" i="3" l="1"/>
  <c r="F138" i="3" s="1"/>
  <c r="K138" i="3"/>
  <c r="G138" i="3" l="1"/>
  <c r="M138" i="3" s="1"/>
  <c r="N138" i="3" s="1"/>
  <c r="V138" i="3"/>
  <c r="AE138" i="3"/>
  <c r="I138" i="3" l="1"/>
  <c r="W138" i="3" s="1"/>
  <c r="J138" i="3"/>
  <c r="L138" i="3" s="1"/>
  <c r="U138" i="3" l="1"/>
  <c r="E139" i="3" s="1"/>
  <c r="H139" i="3" s="1"/>
  <c r="AG139" i="3"/>
  <c r="AH139" i="3"/>
  <c r="Y137" i="3"/>
  <c r="D139" i="3" l="1"/>
  <c r="G139" i="3" s="1"/>
  <c r="K139" i="3"/>
  <c r="F139" i="3" l="1"/>
  <c r="V139" i="3"/>
  <c r="AE139" i="3"/>
  <c r="I139" i="3"/>
  <c r="J139" i="3"/>
  <c r="M139" i="3"/>
  <c r="N139" i="3" s="1"/>
  <c r="W139" i="3" l="1"/>
  <c r="L139" i="3"/>
  <c r="AG140" i="3" l="1"/>
  <c r="U139" i="3"/>
  <c r="E140" i="3" s="1"/>
  <c r="H140" i="3" s="1"/>
  <c r="AH140" i="3"/>
  <c r="Y138" i="3"/>
  <c r="D140" i="3" l="1"/>
  <c r="G140" i="3" s="1"/>
  <c r="K140" i="3"/>
  <c r="F140" i="3" l="1"/>
  <c r="V140" i="3"/>
  <c r="AE140" i="3"/>
  <c r="I140" i="3"/>
  <c r="J140" i="3"/>
  <c r="M140" i="3"/>
  <c r="N140" i="3" s="1"/>
  <c r="W140" i="3" l="1"/>
  <c r="L140" i="3"/>
  <c r="AG141" i="3" l="1"/>
  <c r="U140" i="3"/>
  <c r="D141" i="3" s="1"/>
  <c r="AH141" i="3"/>
  <c r="Y139" i="3"/>
  <c r="E141" i="3" l="1"/>
  <c r="H141" i="3" s="1"/>
  <c r="K141" i="3" s="1"/>
  <c r="G141" i="3"/>
  <c r="F141" i="3" l="1"/>
  <c r="I141" i="3"/>
  <c r="J141" i="3"/>
  <c r="M141" i="3"/>
  <c r="N141" i="3" s="1"/>
  <c r="V141" i="3"/>
  <c r="AE141" i="3"/>
  <c r="W141" i="3" l="1"/>
  <c r="L141" i="3"/>
  <c r="U141" i="3" l="1"/>
  <c r="D142" i="3" s="1"/>
  <c r="AH142" i="3"/>
  <c r="AG142" i="3"/>
  <c r="Y140" i="3"/>
  <c r="E142" i="3" l="1"/>
  <c r="H142" i="3" s="1"/>
  <c r="K142" i="3" s="1"/>
  <c r="G142" i="3"/>
  <c r="F142" i="3" l="1"/>
  <c r="V142" i="3"/>
  <c r="AE142" i="3"/>
  <c r="I142" i="3"/>
  <c r="J142" i="3"/>
  <c r="M142" i="3"/>
  <c r="N142" i="3" s="1"/>
  <c r="W142" i="3" l="1"/>
  <c r="L142" i="3"/>
  <c r="U142" i="3" l="1"/>
  <c r="E143" i="3" s="1"/>
  <c r="H143" i="3" s="1"/>
  <c r="AG143" i="3"/>
  <c r="AH143" i="3"/>
  <c r="Y141" i="3"/>
  <c r="D143" i="3" l="1"/>
  <c r="F143" i="3" s="1"/>
  <c r="K143" i="3"/>
  <c r="G143" i="3" l="1"/>
  <c r="M143" i="3" s="1"/>
  <c r="N143" i="3" s="1"/>
  <c r="V143" i="3"/>
  <c r="AE143" i="3"/>
  <c r="J143" i="3" l="1"/>
  <c r="L143" i="3" s="1"/>
  <c r="I143" i="3"/>
  <c r="W143" i="3" s="1"/>
  <c r="U143" i="3" l="1"/>
  <c r="D144" i="3" s="1"/>
  <c r="AG144" i="3"/>
  <c r="AH144" i="3"/>
  <c r="Y142" i="3"/>
  <c r="E144" i="3" l="1"/>
  <c r="H144" i="3" s="1"/>
  <c r="K144" i="3" s="1"/>
  <c r="G144" i="3"/>
  <c r="F144" i="3" l="1"/>
  <c r="V144" i="3"/>
  <c r="AE144" i="3"/>
  <c r="I144" i="3"/>
  <c r="J144" i="3"/>
  <c r="M144" i="3"/>
  <c r="N144" i="3" s="1"/>
  <c r="W144" i="3" l="1"/>
  <c r="L144" i="3"/>
  <c r="AH145" i="3" l="1"/>
  <c r="AG145" i="3"/>
  <c r="U144" i="3"/>
  <c r="D145" i="3" s="1"/>
  <c r="Y143" i="3"/>
  <c r="E145" i="3" l="1"/>
  <c r="H145" i="3" s="1"/>
  <c r="K145" i="3" s="1"/>
  <c r="G145" i="3"/>
  <c r="F145" i="3" l="1"/>
  <c r="I145" i="3"/>
  <c r="J145" i="3"/>
  <c r="M145" i="3"/>
  <c r="N145" i="3" s="1"/>
  <c r="V145" i="3"/>
  <c r="AE145" i="3"/>
  <c r="W145" i="3" l="1"/>
  <c r="L145" i="3"/>
  <c r="U145" i="3" l="1"/>
  <c r="D146" i="3" s="1"/>
  <c r="AH146" i="3"/>
  <c r="AG146" i="3"/>
  <c r="Y144" i="3"/>
  <c r="E146" i="3" l="1"/>
  <c r="H146" i="3" s="1"/>
  <c r="K146" i="3" s="1"/>
  <c r="G146" i="3"/>
  <c r="F146" i="3" l="1"/>
  <c r="I146" i="3"/>
  <c r="J146" i="3"/>
  <c r="M146" i="3"/>
  <c r="N146" i="3" s="1"/>
  <c r="V146" i="3"/>
  <c r="AE146" i="3"/>
  <c r="W146" i="3" l="1"/>
  <c r="L146" i="3"/>
  <c r="U146" i="3" l="1"/>
  <c r="D147" i="3" s="1"/>
  <c r="AG147" i="3"/>
  <c r="AH147" i="3"/>
  <c r="Y145" i="3"/>
  <c r="E147" i="3" l="1"/>
  <c r="H147" i="3" s="1"/>
  <c r="K147" i="3" s="1"/>
  <c r="G147" i="3"/>
  <c r="F147" i="3" l="1"/>
  <c r="V147" i="3"/>
  <c r="AE147" i="3"/>
  <c r="I147" i="3"/>
  <c r="J147" i="3"/>
  <c r="M147" i="3"/>
  <c r="N147" i="3" s="1"/>
  <c r="W147" i="3" l="1"/>
  <c r="L147" i="3"/>
  <c r="AG148" i="3" l="1"/>
  <c r="U147" i="3"/>
  <c r="E148" i="3" s="1"/>
  <c r="H148" i="3" s="1"/>
  <c r="AH148" i="3"/>
  <c r="Y146" i="3"/>
  <c r="K148" i="3" l="1"/>
  <c r="D148" i="3"/>
  <c r="V148" i="3" l="1"/>
  <c r="AE148" i="3"/>
  <c r="F148" i="3"/>
  <c r="G148" i="3"/>
  <c r="I148" i="3" l="1"/>
  <c r="W148" i="3" s="1"/>
  <c r="J148" i="3"/>
  <c r="M148" i="3"/>
  <c r="N148" i="3" s="1"/>
  <c r="L148" i="3" l="1"/>
  <c r="AG149" i="3" l="1"/>
  <c r="U148" i="3"/>
  <c r="D149" i="3" s="1"/>
  <c r="AH149" i="3"/>
  <c r="Y147" i="3"/>
  <c r="E149" i="3" l="1"/>
  <c r="H149" i="3" s="1"/>
  <c r="K149" i="3" s="1"/>
  <c r="G149" i="3"/>
  <c r="F149" i="3" l="1"/>
  <c r="I149" i="3"/>
  <c r="J149" i="3"/>
  <c r="M149" i="3"/>
  <c r="N149" i="3" s="1"/>
  <c r="V149" i="3"/>
  <c r="AE149" i="3"/>
  <c r="W149" i="3" l="1"/>
  <c r="L149" i="3"/>
  <c r="AH150" i="3" l="1"/>
  <c r="U149" i="3"/>
  <c r="D150" i="3" s="1"/>
  <c r="AG150" i="3"/>
  <c r="Y148" i="3"/>
  <c r="E150" i="3" l="1"/>
  <c r="H150" i="3" s="1"/>
  <c r="K150" i="3" s="1"/>
  <c r="G150" i="3"/>
  <c r="F150" i="3" l="1"/>
  <c r="I150" i="3"/>
  <c r="J150" i="3"/>
  <c r="M150" i="3"/>
  <c r="N150" i="3" s="1"/>
  <c r="V150" i="3"/>
  <c r="AE150" i="3"/>
  <c r="W150" i="3" l="1"/>
  <c r="L150" i="3"/>
  <c r="AH151" i="3" l="1"/>
  <c r="U150" i="3"/>
  <c r="E151" i="3" s="1"/>
  <c r="H151" i="3" s="1"/>
  <c r="AG151" i="3"/>
  <c r="Y149" i="3"/>
  <c r="D151" i="3" l="1"/>
  <c r="G151" i="3" s="1"/>
  <c r="K151" i="3"/>
  <c r="F151" i="3" l="1"/>
  <c r="I151" i="3"/>
  <c r="J151" i="3"/>
  <c r="M151" i="3"/>
  <c r="N151" i="3" s="1"/>
  <c r="V151" i="3"/>
  <c r="AE151" i="3"/>
  <c r="W151" i="3" l="1"/>
  <c r="L151" i="3"/>
  <c r="AH152" i="3" l="1"/>
  <c r="AG152" i="3"/>
  <c r="U151" i="3"/>
  <c r="E152" i="3" s="1"/>
  <c r="H152" i="3" s="1"/>
  <c r="Y150" i="3"/>
  <c r="D152" i="3" l="1"/>
  <c r="G152" i="3" s="1"/>
  <c r="K152" i="3"/>
  <c r="F152" i="3" l="1"/>
  <c r="V152" i="3"/>
  <c r="AE152" i="3"/>
  <c r="I152" i="3"/>
  <c r="J152" i="3"/>
  <c r="M152" i="3"/>
  <c r="N152" i="3" s="1"/>
  <c r="W152" i="3" l="1"/>
  <c r="L152" i="3"/>
  <c r="AH153" i="3" l="1"/>
  <c r="U152" i="3"/>
  <c r="D153" i="3" s="1"/>
  <c r="AG153" i="3"/>
  <c r="Y151" i="3"/>
  <c r="G153" i="3" l="1"/>
  <c r="E153" i="3"/>
  <c r="H153" i="3" s="1"/>
  <c r="K153" i="3" l="1"/>
  <c r="I153" i="3"/>
  <c r="J153" i="3"/>
  <c r="M153" i="3"/>
  <c r="N153" i="3" s="1"/>
  <c r="F153" i="3"/>
  <c r="V153" i="3" l="1"/>
  <c r="W153" i="3" s="1"/>
  <c r="AE153" i="3"/>
  <c r="L153" i="3"/>
  <c r="U153" i="3" l="1"/>
  <c r="D154" i="3" s="1"/>
  <c r="AG154" i="3"/>
  <c r="AH154" i="3"/>
  <c r="Y152" i="3"/>
  <c r="E154" i="3" l="1"/>
  <c r="H154" i="3" s="1"/>
  <c r="K154" i="3" s="1"/>
  <c r="G154" i="3"/>
  <c r="F154" i="3" l="1"/>
  <c r="I154" i="3"/>
  <c r="J154" i="3"/>
  <c r="M154" i="3"/>
  <c r="N154" i="3" s="1"/>
  <c r="V154" i="3"/>
  <c r="AE154" i="3"/>
  <c r="L154" i="3" l="1"/>
  <c r="W154" i="3"/>
  <c r="U154" i="3" l="1"/>
  <c r="E155" i="3" s="1"/>
  <c r="H155" i="3" s="1"/>
  <c r="AH155" i="3"/>
  <c r="AG155" i="3"/>
  <c r="Y153" i="3"/>
  <c r="D155" i="3" l="1"/>
  <c r="G155" i="3" s="1"/>
  <c r="K155" i="3"/>
  <c r="F155" i="3" l="1"/>
  <c r="V155" i="3"/>
  <c r="AE155" i="3"/>
  <c r="I155" i="3"/>
  <c r="J155" i="3"/>
  <c r="M155" i="3"/>
  <c r="N155" i="3" s="1"/>
  <c r="W155" i="3" l="1"/>
  <c r="L155" i="3"/>
  <c r="AG156" i="3" l="1"/>
  <c r="U155" i="3"/>
  <c r="D156" i="3" s="1"/>
  <c r="AH156" i="3"/>
  <c r="Y154" i="3"/>
  <c r="E156" i="3" l="1"/>
  <c r="H156" i="3" s="1"/>
  <c r="K156" i="3" s="1"/>
  <c r="G156" i="3"/>
  <c r="F156" i="3" l="1"/>
  <c r="V156" i="3"/>
  <c r="AE156" i="3"/>
  <c r="I156" i="3"/>
  <c r="J156" i="3"/>
  <c r="M156" i="3"/>
  <c r="N156" i="3" s="1"/>
  <c r="W156" i="3" l="1"/>
  <c r="L156" i="3"/>
  <c r="U156" i="3" l="1"/>
  <c r="E157" i="3" s="1"/>
  <c r="H157" i="3" s="1"/>
  <c r="AH157" i="3"/>
  <c r="AG157" i="3"/>
  <c r="Y155" i="3"/>
  <c r="D157" i="3" l="1"/>
  <c r="G157" i="3" s="1"/>
  <c r="K157" i="3"/>
  <c r="F157" i="3" l="1"/>
  <c r="I157" i="3"/>
  <c r="J157" i="3"/>
  <c r="M157" i="3"/>
  <c r="N157" i="3" s="1"/>
  <c r="V157" i="3"/>
  <c r="AE157" i="3"/>
  <c r="W157" i="3" l="1"/>
  <c r="L157" i="3"/>
  <c r="U157" i="3" l="1"/>
  <c r="E158" i="3" s="1"/>
  <c r="H158" i="3" s="1"/>
  <c r="AH158" i="3"/>
  <c r="AG158" i="3"/>
  <c r="Y156" i="3"/>
  <c r="D158" i="3" l="1"/>
  <c r="F158" i="3" s="1"/>
  <c r="K158" i="3"/>
  <c r="G158" i="3" l="1"/>
  <c r="I158" i="3" s="1"/>
  <c r="V158" i="3"/>
  <c r="AE158" i="3"/>
  <c r="M158" i="3" l="1"/>
  <c r="N158" i="3" s="1"/>
  <c r="J158" i="3"/>
  <c r="L158" i="3" s="1"/>
  <c r="W158" i="3"/>
  <c r="U158" i="3" l="1"/>
  <c r="E159" i="3" s="1"/>
  <c r="H159" i="3" s="1"/>
  <c r="AG159" i="3"/>
  <c r="AH159" i="3"/>
  <c r="Y157" i="3"/>
  <c r="D159" i="3" l="1"/>
  <c r="F159" i="3" s="1"/>
  <c r="K159" i="3"/>
  <c r="G159" i="3" l="1"/>
  <c r="M159" i="3" s="1"/>
  <c r="N159" i="3" s="1"/>
  <c r="V159" i="3"/>
  <c r="AE159" i="3"/>
  <c r="I159" i="3" l="1"/>
  <c r="W159" i="3" s="1"/>
  <c r="J159" i="3"/>
  <c r="L159" i="3" s="1"/>
  <c r="AH160" i="3" l="1"/>
  <c r="U159" i="3"/>
  <c r="E160" i="3" s="1"/>
  <c r="H160" i="3" s="1"/>
  <c r="AG160" i="3"/>
  <c r="Y158" i="3"/>
  <c r="D160" i="3" l="1"/>
  <c r="G160" i="3" s="1"/>
  <c r="K160" i="3"/>
  <c r="F160" i="3" l="1"/>
  <c r="I160" i="3"/>
  <c r="J160" i="3"/>
  <c r="M160" i="3"/>
  <c r="N160" i="3" s="1"/>
  <c r="V160" i="3"/>
  <c r="AE160" i="3"/>
  <c r="W160" i="3" l="1"/>
  <c r="L160" i="3"/>
  <c r="AG161" i="3" l="1"/>
  <c r="AH161" i="3"/>
  <c r="U160" i="3"/>
  <c r="E161" i="3" s="1"/>
  <c r="H161" i="3" s="1"/>
  <c r="Y159" i="3"/>
  <c r="D161" i="3" l="1"/>
  <c r="G161" i="3" s="1"/>
  <c r="K161" i="3"/>
  <c r="F161" i="3" l="1"/>
  <c r="I161" i="3"/>
  <c r="J161" i="3"/>
  <c r="M161" i="3"/>
  <c r="N161" i="3" s="1"/>
  <c r="V161" i="3"/>
  <c r="AE161" i="3"/>
  <c r="W161" i="3" l="1"/>
  <c r="L161" i="3"/>
  <c r="U161" i="3" l="1"/>
  <c r="D162" i="3" s="1"/>
  <c r="AG162" i="3"/>
  <c r="AH162" i="3"/>
  <c r="Y160" i="3"/>
  <c r="G162" i="3" l="1"/>
  <c r="E162" i="3"/>
  <c r="H162" i="3" s="1"/>
  <c r="F162" i="3" l="1"/>
  <c r="I162" i="3"/>
  <c r="J162" i="3"/>
  <c r="M162" i="3"/>
  <c r="N162" i="3" s="1"/>
  <c r="K162" i="3"/>
  <c r="V162" i="3" l="1"/>
  <c r="W162" i="3" s="1"/>
  <c r="AE162" i="3"/>
  <c r="L162" i="3"/>
  <c r="U162" i="3" l="1"/>
  <c r="D163" i="3" s="1"/>
  <c r="AH163" i="3"/>
  <c r="AG163" i="3"/>
  <c r="Y161" i="3"/>
  <c r="E163" i="3" l="1"/>
  <c r="H163" i="3" s="1"/>
  <c r="K163" i="3" s="1"/>
  <c r="G163" i="3"/>
  <c r="F163" i="3" l="1"/>
  <c r="V163" i="3"/>
  <c r="AE163" i="3"/>
  <c r="I163" i="3"/>
  <c r="J163" i="3"/>
  <c r="M163" i="3"/>
  <c r="N163" i="3" s="1"/>
  <c r="W163" i="3" l="1"/>
  <c r="L163" i="3"/>
  <c r="AH164" i="3" l="1"/>
  <c r="U163" i="3"/>
  <c r="D164" i="3" s="1"/>
  <c r="AG164" i="3"/>
  <c r="Y162" i="3"/>
  <c r="E164" i="3" l="1"/>
  <c r="H164" i="3" s="1"/>
  <c r="K164" i="3" s="1"/>
  <c r="G164" i="3"/>
  <c r="F164" i="3" l="1"/>
  <c r="I164" i="3"/>
  <c r="J164" i="3"/>
  <c r="M164" i="3"/>
  <c r="N164" i="3" s="1"/>
  <c r="V164" i="3"/>
  <c r="AE164" i="3"/>
  <c r="W164" i="3" l="1"/>
  <c r="L164" i="3"/>
  <c r="U164" i="3" l="1"/>
  <c r="D165" i="3" s="1"/>
  <c r="AG165" i="3"/>
  <c r="AH165" i="3"/>
  <c r="Y163" i="3"/>
  <c r="E165" i="3" l="1"/>
  <c r="H165" i="3" s="1"/>
  <c r="K165" i="3" s="1"/>
  <c r="G165" i="3"/>
  <c r="F165" i="3" l="1"/>
  <c r="V165" i="3"/>
  <c r="AE165" i="3"/>
  <c r="I165" i="3"/>
  <c r="J165" i="3"/>
  <c r="M165" i="3"/>
  <c r="N165" i="3" s="1"/>
  <c r="L165" i="3" l="1"/>
  <c r="W165" i="3"/>
  <c r="AH166" i="3" l="1"/>
  <c r="U165" i="3"/>
  <c r="E166" i="3" s="1"/>
  <c r="H166" i="3" s="1"/>
  <c r="AG166" i="3"/>
  <c r="Y164" i="3"/>
  <c r="D166" i="3" l="1"/>
  <c r="G166" i="3" s="1"/>
  <c r="K166" i="3"/>
  <c r="F166" i="3" l="1"/>
  <c r="I166" i="3"/>
  <c r="J166" i="3"/>
  <c r="M166" i="3"/>
  <c r="N166" i="3" s="1"/>
  <c r="V166" i="3"/>
  <c r="AE166" i="3"/>
  <c r="W166" i="3" l="1"/>
  <c r="L166" i="3"/>
  <c r="AH167" i="3" l="1"/>
  <c r="AG167" i="3"/>
  <c r="U166" i="3"/>
  <c r="E167" i="3" s="1"/>
  <c r="H167" i="3" s="1"/>
  <c r="Y165" i="3"/>
  <c r="K167" i="3" l="1"/>
  <c r="D167" i="3"/>
  <c r="V167" i="3" l="1"/>
  <c r="AE167" i="3"/>
  <c r="F167" i="3"/>
  <c r="G167" i="3"/>
  <c r="I167" i="3" l="1"/>
  <c r="W167" i="3" s="1"/>
  <c r="J167" i="3"/>
  <c r="M167" i="3"/>
  <c r="N167" i="3" s="1"/>
  <c r="L167" i="3" l="1"/>
  <c r="AH168" i="3" l="1"/>
  <c r="U167" i="3"/>
  <c r="E168" i="3" s="1"/>
  <c r="H168" i="3" s="1"/>
  <c r="AG168" i="3"/>
  <c r="Y166" i="3"/>
  <c r="D168" i="3" l="1"/>
  <c r="F168" i="3" s="1"/>
  <c r="K168" i="3"/>
  <c r="G168" i="3" l="1"/>
  <c r="I168" i="3" s="1"/>
  <c r="V168" i="3"/>
  <c r="AE168" i="3"/>
  <c r="M168" i="3" l="1"/>
  <c r="N168" i="3" s="1"/>
  <c r="J168" i="3"/>
  <c r="L168" i="3" s="1"/>
  <c r="W168" i="3"/>
  <c r="U168" i="3" l="1"/>
  <c r="E169" i="3" s="1"/>
  <c r="H169" i="3" s="1"/>
  <c r="AH169" i="3"/>
  <c r="AG169" i="3"/>
  <c r="Y167" i="3"/>
  <c r="D169" i="3" l="1"/>
  <c r="F169" i="3" s="1"/>
  <c r="K169" i="3"/>
  <c r="G169" i="3" l="1"/>
  <c r="I169" i="3" s="1"/>
  <c r="V169" i="3"/>
  <c r="AE169" i="3"/>
  <c r="M169" i="3" l="1"/>
  <c r="N169" i="3" s="1"/>
  <c r="J169" i="3"/>
  <c r="L169" i="3" s="1"/>
  <c r="W169" i="3"/>
  <c r="AH170" i="3" l="1"/>
  <c r="U169" i="3"/>
  <c r="E170" i="3" s="1"/>
  <c r="H170" i="3" s="1"/>
  <c r="AG170" i="3"/>
  <c r="Y168" i="3"/>
  <c r="D170" i="3" l="1"/>
  <c r="G170" i="3" s="1"/>
  <c r="K170" i="3"/>
  <c r="F170" i="3" l="1"/>
  <c r="I170" i="3"/>
  <c r="J170" i="3"/>
  <c r="M170" i="3"/>
  <c r="N170" i="3" s="1"/>
  <c r="V170" i="3"/>
  <c r="AE170" i="3"/>
  <c r="W170" i="3" l="1"/>
  <c r="L170" i="3"/>
  <c r="AG171" i="3" l="1"/>
  <c r="U170" i="3"/>
  <c r="E171" i="3" s="1"/>
  <c r="H171" i="3" s="1"/>
  <c r="AH171" i="3"/>
  <c r="Y169" i="3"/>
  <c r="K171" i="3" l="1"/>
  <c r="D171" i="3"/>
  <c r="F171" i="3" l="1"/>
  <c r="G171" i="3"/>
  <c r="V171" i="3"/>
  <c r="AE171" i="3"/>
  <c r="I171" i="3" l="1"/>
  <c r="W171" i="3" s="1"/>
  <c r="J171" i="3"/>
  <c r="M171" i="3"/>
  <c r="N171" i="3" s="1"/>
  <c r="L171" i="3" l="1"/>
  <c r="U171" i="3" l="1"/>
  <c r="E172" i="3" s="1"/>
  <c r="H172" i="3" s="1"/>
  <c r="AH172" i="3"/>
  <c r="AG172" i="3"/>
  <c r="Y170" i="3"/>
  <c r="K172" i="3" l="1"/>
  <c r="D172" i="3"/>
  <c r="V172" i="3" l="1"/>
  <c r="AE172" i="3"/>
  <c r="F172" i="3"/>
  <c r="G172" i="3"/>
  <c r="I172" i="3" l="1"/>
  <c r="W172" i="3" s="1"/>
  <c r="J172" i="3"/>
  <c r="M172" i="3"/>
  <c r="N172" i="3" s="1"/>
  <c r="L172" i="3" l="1"/>
  <c r="U172" i="3" l="1"/>
  <c r="E173" i="3" s="1"/>
  <c r="H173" i="3" s="1"/>
  <c r="AH173" i="3"/>
  <c r="AG173" i="3"/>
  <c r="Y171" i="3"/>
  <c r="D173" i="3" l="1"/>
  <c r="G173" i="3" s="1"/>
  <c r="K173" i="3"/>
  <c r="F173" i="3" l="1"/>
  <c r="I173" i="3"/>
  <c r="J173" i="3"/>
  <c r="M173" i="3"/>
  <c r="N173" i="3" s="1"/>
  <c r="V173" i="3"/>
  <c r="AE173" i="3"/>
  <c r="L173" i="3" l="1"/>
  <c r="W173" i="3"/>
  <c r="U173" i="3" l="1"/>
  <c r="E174" i="3" s="1"/>
  <c r="H174" i="3" s="1"/>
  <c r="AG174" i="3"/>
  <c r="AH174" i="3"/>
  <c r="Y172" i="3"/>
  <c r="D174" i="3" l="1"/>
  <c r="G174" i="3" s="1"/>
  <c r="K174" i="3"/>
  <c r="F174" i="3" l="1"/>
  <c r="V174" i="3"/>
  <c r="AE174" i="3"/>
  <c r="I174" i="3"/>
  <c r="J174" i="3"/>
  <c r="M174" i="3"/>
  <c r="N174" i="3" s="1"/>
  <c r="W174" i="3" l="1"/>
  <c r="L174" i="3"/>
  <c r="U174" i="3" l="1"/>
  <c r="D175" i="3" s="1"/>
  <c r="AG175" i="3"/>
  <c r="AH175" i="3"/>
  <c r="Y173" i="3"/>
  <c r="E175" i="3" l="1"/>
  <c r="H175" i="3" s="1"/>
  <c r="K175" i="3" s="1"/>
  <c r="G175" i="3"/>
  <c r="F175" i="3" l="1"/>
  <c r="I175" i="3"/>
  <c r="J175" i="3"/>
  <c r="M175" i="3"/>
  <c r="N175" i="3" s="1"/>
  <c r="V175" i="3"/>
  <c r="AE175" i="3"/>
  <c r="W175" i="3" l="1"/>
  <c r="L175" i="3"/>
  <c r="U175" i="3" l="1"/>
  <c r="E176" i="3" s="1"/>
  <c r="H176" i="3" s="1"/>
  <c r="AG176" i="3"/>
  <c r="AH176" i="3"/>
  <c r="Y174" i="3"/>
  <c r="D176" i="3" l="1"/>
  <c r="G176" i="3" s="1"/>
  <c r="K176" i="3"/>
  <c r="F176" i="3" l="1"/>
  <c r="I176" i="3"/>
  <c r="J176" i="3"/>
  <c r="M176" i="3"/>
  <c r="N176" i="3" s="1"/>
  <c r="V176" i="3"/>
  <c r="AE176" i="3"/>
  <c r="W176" i="3" l="1"/>
  <c r="L176" i="3"/>
  <c r="AH177" i="3" l="1"/>
  <c r="U176" i="3"/>
  <c r="D177" i="3" s="1"/>
  <c r="AG177" i="3"/>
  <c r="Y175" i="3"/>
  <c r="G177" i="3" l="1"/>
  <c r="E177" i="3"/>
  <c r="H177" i="3" s="1"/>
  <c r="F177" i="3" l="1"/>
  <c r="I177" i="3"/>
  <c r="J177" i="3"/>
  <c r="M177" i="3"/>
  <c r="N177" i="3" s="1"/>
  <c r="K177" i="3"/>
  <c r="V177" i="3" l="1"/>
  <c r="W177" i="3" s="1"/>
  <c r="AE177" i="3"/>
  <c r="L177" i="3"/>
  <c r="AH178" i="3" l="1"/>
  <c r="U177" i="3"/>
  <c r="E178" i="3" s="1"/>
  <c r="H178" i="3" s="1"/>
  <c r="AG178" i="3"/>
  <c r="Y176" i="3"/>
  <c r="D178" i="3" l="1"/>
  <c r="G178" i="3" s="1"/>
  <c r="K178" i="3"/>
  <c r="F178" i="3" l="1"/>
  <c r="I178" i="3"/>
  <c r="J178" i="3"/>
  <c r="M178" i="3"/>
  <c r="N178" i="3" s="1"/>
  <c r="V178" i="3"/>
  <c r="AE178" i="3"/>
  <c r="W178" i="3" l="1"/>
  <c r="L178" i="3"/>
  <c r="U178" i="3" l="1"/>
  <c r="E179" i="3" s="1"/>
  <c r="H179" i="3" s="1"/>
  <c r="AG179" i="3"/>
  <c r="AH179" i="3"/>
  <c r="Y177" i="3"/>
  <c r="D179" i="3" l="1"/>
  <c r="G179" i="3" s="1"/>
  <c r="K179" i="3"/>
  <c r="F179" i="3" l="1"/>
  <c r="V179" i="3"/>
  <c r="AE179" i="3"/>
  <c r="I179" i="3"/>
  <c r="J179" i="3"/>
  <c r="M179" i="3"/>
  <c r="N179" i="3" s="1"/>
  <c r="W179" i="3" l="1"/>
  <c r="L179" i="3"/>
  <c r="AG180" i="3" l="1"/>
  <c r="U179" i="3"/>
  <c r="D180" i="3" s="1"/>
  <c r="AH180" i="3"/>
  <c r="Y178" i="3"/>
  <c r="E180" i="3" l="1"/>
  <c r="H180" i="3" s="1"/>
  <c r="K180" i="3" s="1"/>
  <c r="G180" i="3"/>
  <c r="F180" i="3" l="1"/>
  <c r="I180" i="3"/>
  <c r="J180" i="3"/>
  <c r="M180" i="3"/>
  <c r="N180" i="3" s="1"/>
  <c r="V180" i="3"/>
  <c r="AE180" i="3"/>
  <c r="L180" i="3" l="1"/>
  <c r="W180" i="3"/>
  <c r="U180" i="3" l="1"/>
  <c r="E181" i="3" s="1"/>
  <c r="H181" i="3" s="1"/>
  <c r="AH181" i="3"/>
  <c r="AG181" i="3"/>
  <c r="Y179" i="3"/>
  <c r="D181" i="3" l="1"/>
  <c r="G181" i="3" s="1"/>
  <c r="K181" i="3"/>
  <c r="F181" i="3" l="1"/>
  <c r="I181" i="3"/>
  <c r="J181" i="3"/>
  <c r="M181" i="3"/>
  <c r="N181" i="3" s="1"/>
  <c r="V181" i="3"/>
  <c r="AE181" i="3"/>
  <c r="W181" i="3" l="1"/>
  <c r="L181" i="3"/>
  <c r="AH182" i="3" l="1"/>
  <c r="U181" i="3"/>
  <c r="E182" i="3" s="1"/>
  <c r="H182" i="3" s="1"/>
  <c r="AG182" i="3"/>
  <c r="Y180" i="3"/>
  <c r="K182" i="3" l="1"/>
  <c r="D182" i="3"/>
  <c r="V182" i="3" l="1"/>
  <c r="AE182" i="3"/>
  <c r="F182" i="3"/>
  <c r="G182" i="3"/>
  <c r="I182" i="3" l="1"/>
  <c r="W182" i="3" s="1"/>
  <c r="J182" i="3"/>
  <c r="M182" i="3"/>
  <c r="N182" i="3" s="1"/>
  <c r="L182" i="3" l="1"/>
  <c r="U182" i="3" l="1"/>
  <c r="E183" i="3" s="1"/>
  <c r="H183" i="3" s="1"/>
  <c r="AH183" i="3"/>
  <c r="AG183" i="3"/>
  <c r="Y181" i="3"/>
  <c r="D183" i="3" l="1"/>
  <c r="G183" i="3" s="1"/>
  <c r="K183" i="3"/>
  <c r="F183" i="3" l="1"/>
  <c r="I183" i="3"/>
  <c r="J183" i="3"/>
  <c r="M183" i="3"/>
  <c r="N183" i="3" s="1"/>
  <c r="V183" i="3"/>
  <c r="AE183" i="3"/>
  <c r="W183" i="3" l="1"/>
  <c r="L183" i="3"/>
  <c r="U183" i="3" l="1"/>
  <c r="D184" i="3" s="1"/>
  <c r="AG184" i="3"/>
  <c r="AH184" i="3"/>
  <c r="Y182" i="3"/>
  <c r="G184" i="3" l="1"/>
  <c r="E184" i="3"/>
  <c r="H184" i="3" s="1"/>
  <c r="K184" i="3" l="1"/>
  <c r="I184" i="3"/>
  <c r="J184" i="3"/>
  <c r="M184" i="3"/>
  <c r="N184" i="3" s="1"/>
  <c r="F184" i="3"/>
  <c r="V184" i="3" l="1"/>
  <c r="W184" i="3" s="1"/>
  <c r="AE184" i="3"/>
  <c r="L184" i="3"/>
  <c r="AH185" i="3" l="1"/>
  <c r="AG185" i="3"/>
  <c r="U184" i="3"/>
  <c r="D185" i="3" s="1"/>
  <c r="Y183" i="3"/>
  <c r="E185" i="3" l="1"/>
  <c r="H185" i="3" s="1"/>
  <c r="K185" i="3" s="1"/>
  <c r="G185" i="3"/>
  <c r="F185" i="3" l="1"/>
  <c r="I185" i="3"/>
  <c r="J185" i="3"/>
  <c r="M185" i="3"/>
  <c r="N185" i="3" s="1"/>
  <c r="V185" i="3"/>
  <c r="AE185" i="3"/>
  <c r="W185" i="3" l="1"/>
  <c r="L185" i="3"/>
  <c r="U185" i="3" l="1"/>
  <c r="E186" i="3" s="1"/>
  <c r="H186" i="3" s="1"/>
  <c r="AH186" i="3"/>
  <c r="AG186" i="3"/>
  <c r="Y184" i="3"/>
  <c r="D186" i="3" l="1"/>
  <c r="G186" i="3" s="1"/>
  <c r="K186" i="3"/>
  <c r="F186" i="3" l="1"/>
  <c r="V186" i="3"/>
  <c r="AE186" i="3"/>
  <c r="I186" i="3"/>
  <c r="J186" i="3"/>
  <c r="M186" i="3"/>
  <c r="N186" i="3" s="1"/>
  <c r="L186" i="3" l="1"/>
  <c r="W186" i="3"/>
  <c r="AG187" i="3" l="1"/>
  <c r="AH187" i="3"/>
  <c r="U186" i="3"/>
  <c r="D187" i="3" s="1"/>
  <c r="Y185" i="3"/>
  <c r="G187" i="3" l="1"/>
  <c r="E187" i="3"/>
  <c r="H187" i="3" s="1"/>
  <c r="I187" i="3" l="1"/>
  <c r="J187" i="3"/>
  <c r="M187" i="3"/>
  <c r="N187" i="3" s="1"/>
  <c r="F187" i="3"/>
  <c r="K187" i="3"/>
  <c r="L187" i="3" l="1"/>
  <c r="V187" i="3"/>
  <c r="W187" i="3" s="1"/>
  <c r="AE187" i="3"/>
  <c r="AG188" i="3" l="1"/>
  <c r="U187" i="3"/>
  <c r="E188" i="3" s="1"/>
  <c r="H188" i="3" s="1"/>
  <c r="AH188" i="3"/>
  <c r="Y186" i="3"/>
  <c r="D188" i="3" l="1"/>
  <c r="G188" i="3" s="1"/>
  <c r="K188" i="3"/>
  <c r="F188" i="3" l="1"/>
  <c r="I188" i="3"/>
  <c r="J188" i="3"/>
  <c r="M188" i="3"/>
  <c r="N188" i="3" s="1"/>
  <c r="V188" i="3"/>
  <c r="AE188" i="3"/>
  <c r="W188" i="3" l="1"/>
  <c r="L188" i="3"/>
  <c r="U188" i="3" l="1"/>
  <c r="E189" i="3" s="1"/>
  <c r="H189" i="3" s="1"/>
  <c r="AH189" i="3"/>
  <c r="AG189" i="3"/>
  <c r="Y187" i="3"/>
  <c r="D189" i="3" l="1"/>
  <c r="G189" i="3" s="1"/>
  <c r="K189" i="3"/>
  <c r="F189" i="3" l="1"/>
  <c r="I189" i="3"/>
  <c r="J189" i="3"/>
  <c r="M189" i="3"/>
  <c r="N189" i="3" s="1"/>
  <c r="V189" i="3"/>
  <c r="AE189" i="3"/>
  <c r="W189" i="3" l="1"/>
  <c r="L189" i="3"/>
  <c r="AH190" i="3" l="1"/>
  <c r="U189" i="3"/>
  <c r="D190" i="3" s="1"/>
  <c r="AG190" i="3"/>
  <c r="Y188" i="3"/>
  <c r="G190" i="3" l="1"/>
  <c r="E190" i="3"/>
  <c r="H190" i="3" s="1"/>
  <c r="K190" i="3" l="1"/>
  <c r="I190" i="3"/>
  <c r="J190" i="3"/>
  <c r="M190" i="3"/>
  <c r="N190" i="3" s="1"/>
  <c r="F190" i="3"/>
  <c r="L190" i="3" l="1"/>
  <c r="V190" i="3"/>
  <c r="W190" i="3" s="1"/>
  <c r="AE190" i="3"/>
  <c r="AG191" i="3" l="1"/>
  <c r="U190" i="3"/>
  <c r="E191" i="3" s="1"/>
  <c r="H191" i="3" s="1"/>
  <c r="AH191" i="3"/>
  <c r="Y189" i="3"/>
  <c r="K191" i="3" l="1"/>
  <c r="D191" i="3"/>
  <c r="V191" i="3" l="1"/>
  <c r="AE191" i="3"/>
  <c r="F191" i="3"/>
  <c r="G191" i="3"/>
  <c r="I191" i="3" l="1"/>
  <c r="W191" i="3" s="1"/>
  <c r="J191" i="3"/>
  <c r="M191" i="3"/>
  <c r="N191" i="3" s="1"/>
  <c r="L191" i="3" l="1"/>
  <c r="AG192" i="3" l="1"/>
  <c r="U191" i="3"/>
  <c r="E192" i="3" s="1"/>
  <c r="H192" i="3" s="1"/>
  <c r="AH192" i="3"/>
  <c r="Y190" i="3"/>
  <c r="D192" i="3" l="1"/>
  <c r="G192" i="3" s="1"/>
  <c r="K192" i="3"/>
  <c r="F192" i="3" l="1"/>
  <c r="I192" i="3"/>
  <c r="J192" i="3"/>
  <c r="M192" i="3"/>
  <c r="N192" i="3" s="1"/>
  <c r="V192" i="3"/>
  <c r="AE192" i="3"/>
  <c r="W192" i="3" l="1"/>
  <c r="L192" i="3"/>
  <c r="U192" i="3" l="1"/>
  <c r="D193" i="3" s="1"/>
  <c r="AG193" i="3"/>
  <c r="AH193" i="3"/>
  <c r="Y191" i="3"/>
  <c r="G193" i="3" l="1"/>
  <c r="E193" i="3"/>
  <c r="H193" i="3" s="1"/>
  <c r="K193" i="3" l="1"/>
  <c r="I193" i="3"/>
  <c r="J193" i="3"/>
  <c r="M193" i="3"/>
  <c r="N193" i="3" s="1"/>
  <c r="F193" i="3"/>
  <c r="L193" i="3" l="1"/>
  <c r="V193" i="3"/>
  <c r="W193" i="3" s="1"/>
  <c r="AE193" i="3"/>
  <c r="AH194" i="3" l="1"/>
  <c r="AG194" i="3"/>
  <c r="U193" i="3"/>
  <c r="D194" i="3" s="1"/>
  <c r="Y192" i="3"/>
  <c r="E194" i="3" l="1"/>
  <c r="H194" i="3" s="1"/>
  <c r="K194" i="3" s="1"/>
  <c r="G194" i="3"/>
  <c r="F194" i="3" l="1"/>
  <c r="V194" i="3"/>
  <c r="AE194" i="3"/>
  <c r="I194" i="3"/>
  <c r="J194" i="3"/>
  <c r="M194" i="3"/>
  <c r="N194" i="3" s="1"/>
  <c r="W194" i="3" l="1"/>
  <c r="L194" i="3"/>
  <c r="U194" i="3" l="1"/>
  <c r="D195" i="3" s="1"/>
  <c r="AH195" i="3"/>
  <c r="AG195" i="3"/>
  <c r="Y193" i="3"/>
  <c r="E195" i="3" l="1"/>
  <c r="H195" i="3" s="1"/>
  <c r="K195" i="3" s="1"/>
  <c r="G195" i="3"/>
  <c r="F195" i="3" l="1"/>
  <c r="V195" i="3"/>
  <c r="AE195" i="3"/>
  <c r="I195" i="3"/>
  <c r="J195" i="3"/>
  <c r="M195" i="3"/>
  <c r="N195" i="3" s="1"/>
  <c r="W195" i="3" l="1"/>
  <c r="L195" i="3"/>
  <c r="AH196" i="3" l="1"/>
  <c r="U195" i="3"/>
  <c r="D196" i="3" s="1"/>
  <c r="AG196" i="3"/>
  <c r="Y194" i="3"/>
  <c r="E196" i="3" l="1"/>
  <c r="H196" i="3" s="1"/>
  <c r="K196" i="3" s="1"/>
  <c r="G196" i="3"/>
  <c r="F196" i="3" l="1"/>
  <c r="I196" i="3"/>
  <c r="J196" i="3"/>
  <c r="M196" i="3"/>
  <c r="N196" i="3" s="1"/>
  <c r="V196" i="3"/>
  <c r="AE196" i="3"/>
  <c r="L196" i="3" l="1"/>
  <c r="W196" i="3"/>
  <c r="U196" i="3" l="1"/>
  <c r="E197" i="3" s="1"/>
  <c r="H197" i="3" s="1"/>
  <c r="AG197" i="3"/>
  <c r="AH197" i="3"/>
  <c r="Y195" i="3"/>
  <c r="D197" i="3" l="1"/>
  <c r="G197" i="3" s="1"/>
  <c r="K197" i="3"/>
  <c r="F197" i="3" l="1"/>
  <c r="I197" i="3"/>
  <c r="J197" i="3"/>
  <c r="M197" i="3"/>
  <c r="N197" i="3" s="1"/>
  <c r="V197" i="3"/>
  <c r="AE197" i="3"/>
  <c r="W197" i="3" l="1"/>
  <c r="L197" i="3"/>
  <c r="AG198" i="3" l="1"/>
  <c r="AH198" i="3"/>
  <c r="U197" i="3"/>
  <c r="E198" i="3" s="1"/>
  <c r="H198" i="3" s="1"/>
  <c r="Y196" i="3"/>
  <c r="K198" i="3" l="1"/>
  <c r="D198" i="3"/>
  <c r="V198" i="3" l="1"/>
  <c r="AE198" i="3"/>
  <c r="F198" i="3"/>
  <c r="G198" i="3"/>
  <c r="I198" i="3" l="1"/>
  <c r="W198" i="3" s="1"/>
  <c r="J198" i="3"/>
  <c r="M198" i="3"/>
  <c r="N198" i="3" s="1"/>
  <c r="L198" i="3" l="1"/>
  <c r="AG199" i="3" l="1"/>
  <c r="U198" i="3"/>
  <c r="E199" i="3" s="1"/>
  <c r="H199" i="3" s="1"/>
  <c r="AH199" i="3"/>
  <c r="Y197" i="3"/>
  <c r="K199" i="3" l="1"/>
  <c r="D199" i="3"/>
  <c r="V199" i="3" l="1"/>
  <c r="AE199" i="3"/>
  <c r="F199" i="3"/>
  <c r="G199" i="3"/>
  <c r="I199" i="3" l="1"/>
  <c r="W199" i="3" s="1"/>
  <c r="J199" i="3"/>
  <c r="M199" i="3"/>
  <c r="N199" i="3" s="1"/>
  <c r="L199" i="3" l="1"/>
  <c r="AH200" i="3" l="1"/>
  <c r="AG200" i="3"/>
  <c r="U199" i="3"/>
  <c r="E200" i="3" s="1"/>
  <c r="H200" i="3" s="1"/>
  <c r="Y198" i="3"/>
  <c r="K200" i="3" l="1"/>
  <c r="D200" i="3"/>
  <c r="V200" i="3" l="1"/>
  <c r="AE200" i="3"/>
  <c r="F200" i="3"/>
  <c r="G200" i="3"/>
  <c r="I200" i="3" l="1"/>
  <c r="W200" i="3" s="1"/>
  <c r="J200" i="3"/>
  <c r="M200" i="3"/>
  <c r="N200" i="3" s="1"/>
  <c r="L200" i="3" l="1"/>
  <c r="AG201" i="3" l="1"/>
  <c r="U200" i="3"/>
  <c r="E201" i="3" s="1"/>
  <c r="H201" i="3" s="1"/>
  <c r="AH201" i="3"/>
  <c r="Y199" i="3"/>
  <c r="D201" i="3" l="1"/>
  <c r="G201" i="3" s="1"/>
  <c r="K201" i="3"/>
  <c r="F201" i="3" l="1"/>
  <c r="I201" i="3"/>
  <c r="J201" i="3"/>
  <c r="M201" i="3"/>
  <c r="N201" i="3" s="1"/>
  <c r="V201" i="3"/>
  <c r="AE201" i="3"/>
  <c r="W201" i="3" l="1"/>
  <c r="L201" i="3"/>
  <c r="U201" i="3" l="1"/>
  <c r="E202" i="3" s="1"/>
  <c r="H202" i="3" s="1"/>
  <c r="AG202" i="3"/>
  <c r="AH202" i="3"/>
  <c r="Y200" i="3"/>
  <c r="D202" i="3" l="1"/>
  <c r="G202" i="3" s="1"/>
  <c r="K202" i="3"/>
  <c r="F202" i="3" l="1"/>
  <c r="V202" i="3"/>
  <c r="AE202" i="3"/>
  <c r="I202" i="3"/>
  <c r="J202" i="3"/>
  <c r="M202" i="3"/>
  <c r="N202" i="3" s="1"/>
  <c r="W202" i="3" l="1"/>
  <c r="L202" i="3"/>
  <c r="U202" i="3" l="1"/>
  <c r="E203" i="3" s="1"/>
  <c r="H203" i="3" s="1"/>
  <c r="AH203" i="3"/>
  <c r="AG203" i="3"/>
  <c r="Y201" i="3"/>
  <c r="D203" i="3" l="1"/>
  <c r="G203" i="3" s="1"/>
  <c r="K203" i="3"/>
  <c r="F203" i="3" l="1"/>
  <c r="I203" i="3"/>
  <c r="J203" i="3"/>
  <c r="M203" i="3"/>
  <c r="N203" i="3" s="1"/>
  <c r="V203" i="3"/>
  <c r="AE203" i="3"/>
  <c r="W203" i="3" l="1"/>
  <c r="L203" i="3"/>
  <c r="U203" i="3" l="1"/>
  <c r="E204" i="3" s="1"/>
  <c r="H204" i="3" s="1"/>
  <c r="AH204" i="3"/>
  <c r="AG204" i="3"/>
  <c r="Y202" i="3"/>
  <c r="D204" i="3" l="1"/>
  <c r="G204" i="3" s="1"/>
  <c r="K204" i="3"/>
  <c r="F204" i="3" l="1"/>
  <c r="I204" i="3"/>
  <c r="J204" i="3"/>
  <c r="M204" i="3"/>
  <c r="N204" i="3" s="1"/>
  <c r="V204" i="3"/>
  <c r="A205" i="3"/>
  <c r="B205" i="3" s="1"/>
  <c r="AE204" i="3"/>
  <c r="W204" i="3" l="1"/>
  <c r="L204" i="3"/>
  <c r="AD204" i="3"/>
  <c r="AC205" i="3"/>
  <c r="P205" i="3"/>
  <c r="Q205" i="3" s="1"/>
  <c r="R205" i="3" s="1"/>
  <c r="S205" i="3" s="1"/>
  <c r="Z205" i="3"/>
  <c r="AA205" i="3"/>
  <c r="AD205" i="3"/>
  <c r="U204" i="3" l="1"/>
  <c r="Y203" i="3"/>
  <c r="T205" i="3"/>
  <c r="AH205" i="3" s="1"/>
  <c r="E205" i="3" l="1"/>
  <c r="H205" i="3" s="1"/>
  <c r="D205" i="3"/>
  <c r="AG205" i="3"/>
  <c r="K205" i="3" l="1"/>
  <c r="F205" i="3"/>
  <c r="G205" i="3"/>
  <c r="V205" i="3" l="1"/>
  <c r="A206" i="3"/>
  <c r="B206" i="3" s="1"/>
  <c r="AE205" i="3"/>
  <c r="I205" i="3"/>
  <c r="J205" i="3"/>
  <c r="M205" i="3"/>
  <c r="N205" i="3" s="1"/>
  <c r="W205" i="3" l="1"/>
  <c r="L205" i="3"/>
  <c r="AC206" i="3"/>
  <c r="P206" i="3"/>
  <c r="Q206" i="3" s="1"/>
  <c r="R206" i="3" s="1"/>
  <c r="S206" i="3" s="1"/>
  <c r="Z206" i="3"/>
  <c r="AA206" i="3"/>
  <c r="AD206" i="3"/>
  <c r="T206" i="3" l="1"/>
  <c r="AH206" i="3" s="1"/>
  <c r="U205" i="3"/>
  <c r="Y204" i="3"/>
  <c r="AG206" i="3" l="1"/>
  <c r="D206" i="3"/>
  <c r="E206" i="3"/>
  <c r="H206" i="3" s="1"/>
  <c r="F206" i="3" l="1"/>
  <c r="G206" i="3"/>
  <c r="K206" i="3"/>
  <c r="I206" i="3" l="1"/>
  <c r="J206" i="3"/>
  <c r="M206" i="3"/>
  <c r="N206" i="3" s="1"/>
  <c r="V206" i="3"/>
  <c r="A207" i="3"/>
  <c r="B207" i="3" s="1"/>
  <c r="AE206" i="3"/>
  <c r="W206" i="3" l="1"/>
  <c r="L206" i="3"/>
  <c r="AD207" i="3"/>
  <c r="P207" i="3"/>
  <c r="Q207" i="3" s="1"/>
  <c r="R207" i="3" s="1"/>
  <c r="S207" i="3" s="1"/>
  <c r="AC207" i="3"/>
  <c r="Z207" i="3"/>
  <c r="AA207" i="3"/>
  <c r="T207" i="3" l="1"/>
  <c r="U206" i="3"/>
  <c r="Y205" i="3"/>
  <c r="D207" i="3" l="1"/>
  <c r="G207" i="3" s="1"/>
  <c r="AH207" i="3"/>
  <c r="E207" i="3"/>
  <c r="H207" i="3" s="1"/>
  <c r="AG207" i="3"/>
  <c r="F207" i="3" l="1"/>
  <c r="I207" i="3"/>
  <c r="J207" i="3"/>
  <c r="M207" i="3"/>
  <c r="N207" i="3" s="1"/>
  <c r="K207" i="3"/>
  <c r="V207" i="3" l="1"/>
  <c r="W207" i="3" s="1"/>
  <c r="AE207" i="3"/>
  <c r="A208" i="3"/>
  <c r="B208" i="3" s="1"/>
  <c r="L207" i="3"/>
  <c r="Z208" i="3" l="1"/>
  <c r="AC208" i="3"/>
  <c r="AA208" i="3"/>
  <c r="P208" i="3"/>
  <c r="Q208" i="3" s="1"/>
  <c r="R208" i="3" s="1"/>
  <c r="S208" i="3" s="1"/>
  <c r="AD208" i="3"/>
  <c r="U207" i="3"/>
  <c r="Y206" i="3"/>
  <c r="T208" i="3" l="1"/>
  <c r="AG208" i="3" s="1"/>
  <c r="AH208" i="3" l="1"/>
  <c r="D208" i="3"/>
  <c r="G208" i="3" s="1"/>
  <c r="E208" i="3"/>
  <c r="H208" i="3" s="1"/>
  <c r="K208" i="3" s="1"/>
  <c r="F208" i="3" l="1"/>
  <c r="I208" i="3"/>
  <c r="J208" i="3"/>
  <c r="M208" i="3"/>
  <c r="N208" i="3" s="1"/>
  <c r="V208" i="3"/>
  <c r="A209" i="3"/>
  <c r="B209" i="3" s="1"/>
  <c r="AE208" i="3"/>
  <c r="W208" i="3" l="1"/>
  <c r="L208" i="3"/>
  <c r="P209" i="3"/>
  <c r="Q209" i="3" s="1"/>
  <c r="R209" i="3" s="1"/>
  <c r="S209" i="3" s="1"/>
  <c r="AC209" i="3"/>
  <c r="AD209" i="3"/>
  <c r="AA209" i="3"/>
  <c r="Z209" i="3"/>
  <c r="U208" i="3" l="1"/>
  <c r="Y207" i="3"/>
  <c r="T209" i="3"/>
  <c r="AH209" i="3" s="1"/>
  <c r="AG209" i="3" l="1"/>
  <c r="D209" i="3"/>
  <c r="G209" i="3" s="1"/>
  <c r="E209" i="3"/>
  <c r="H209" i="3" s="1"/>
  <c r="F209" i="3" l="1"/>
  <c r="K209" i="3"/>
  <c r="I209" i="3"/>
  <c r="J209" i="3"/>
  <c r="M209" i="3"/>
  <c r="N209" i="3" s="1"/>
  <c r="L209" i="3" l="1"/>
  <c r="V209" i="3"/>
  <c r="W209" i="3" s="1"/>
  <c r="A210" i="3"/>
  <c r="B210" i="3" s="1"/>
  <c r="AE209" i="3"/>
  <c r="AC210" i="3" l="1"/>
  <c r="Z210" i="3"/>
  <c r="P210" i="3"/>
  <c r="Q210" i="3" s="1"/>
  <c r="R210" i="3" s="1"/>
  <c r="S210" i="3" s="1"/>
  <c r="AA210" i="3"/>
  <c r="AD210" i="3"/>
  <c r="U209" i="3"/>
  <c r="Y208" i="3"/>
  <c r="T210" i="3" l="1"/>
  <c r="AG210" i="3" s="1"/>
  <c r="AH210" i="3" l="1"/>
  <c r="D210" i="3"/>
  <c r="E210" i="3"/>
  <c r="H210" i="3" s="1"/>
  <c r="F210" i="3" l="1"/>
  <c r="G210" i="3"/>
  <c r="K210" i="3"/>
  <c r="V210" i="3" l="1"/>
  <c r="AE210" i="3"/>
  <c r="A211" i="3"/>
  <c r="B211" i="3" s="1"/>
  <c r="I210" i="3"/>
  <c r="J210" i="3"/>
  <c r="M210" i="3"/>
  <c r="N210" i="3" s="1"/>
  <c r="W210" i="3" l="1"/>
  <c r="AC211" i="3"/>
  <c r="Z211" i="3"/>
  <c r="P211" i="3"/>
  <c r="Q211" i="3" s="1"/>
  <c r="R211" i="3" s="1"/>
  <c r="S211" i="3" s="1"/>
  <c r="AA211" i="3"/>
  <c r="AD211" i="3"/>
  <c r="L210" i="3"/>
  <c r="T211" i="3" l="1"/>
  <c r="AG211" i="3" s="1"/>
  <c r="U210" i="3"/>
  <c r="Y209" i="3"/>
  <c r="E211" i="3" l="1"/>
  <c r="H211" i="3" s="1"/>
  <c r="D211" i="3"/>
  <c r="AH211" i="3"/>
  <c r="K211" i="3" l="1"/>
  <c r="F211" i="3"/>
  <c r="G211" i="3"/>
  <c r="I211" i="3" l="1"/>
  <c r="J211" i="3"/>
  <c r="M211" i="3"/>
  <c r="N211" i="3" s="1"/>
  <c r="V211" i="3"/>
  <c r="AE211" i="3"/>
  <c r="A212" i="3"/>
  <c r="B212" i="3" s="1"/>
  <c r="W211" i="3" l="1"/>
  <c r="AA212" i="3"/>
  <c r="Z212" i="3"/>
  <c r="P212" i="3"/>
  <c r="Q212" i="3" s="1"/>
  <c r="R212" i="3" s="1"/>
  <c r="S212" i="3" s="1"/>
  <c r="AC212" i="3"/>
  <c r="AD212" i="3"/>
  <c r="L211" i="3"/>
  <c r="U211" i="3" l="1"/>
  <c r="Y210" i="3"/>
  <c r="T212" i="3"/>
  <c r="E212" i="3" l="1"/>
  <c r="H212" i="3" s="1"/>
  <c r="K212" i="3" s="1"/>
  <c r="AH212" i="3"/>
  <c r="AG212" i="3"/>
  <c r="D212" i="3"/>
  <c r="F212" i="3" l="1"/>
  <c r="G212" i="3"/>
  <c r="V212" i="3"/>
  <c r="A213" i="3"/>
  <c r="B213" i="3" s="1"/>
  <c r="AE212" i="3"/>
  <c r="AD213" i="3" l="1"/>
  <c r="AC213" i="3"/>
  <c r="P213" i="3"/>
  <c r="Q213" i="3" s="1"/>
  <c r="R213" i="3" s="1"/>
  <c r="S213" i="3" s="1"/>
  <c r="AA213" i="3"/>
  <c r="Z213" i="3"/>
  <c r="I212" i="3"/>
  <c r="W212" i="3" s="1"/>
  <c r="J212" i="3"/>
  <c r="M212" i="3"/>
  <c r="N212" i="3" s="1"/>
  <c r="T213" i="3" l="1"/>
  <c r="L212" i="3"/>
  <c r="U212" i="3" l="1"/>
  <c r="E213" i="3" s="1"/>
  <c r="H213" i="3" s="1"/>
  <c r="AH213" i="3"/>
  <c r="AG213" i="3"/>
  <c r="Y211" i="3"/>
  <c r="D213" i="3" l="1"/>
  <c r="G213" i="3" s="1"/>
  <c r="K213" i="3"/>
  <c r="F213" i="3" l="1"/>
  <c r="I213" i="3"/>
  <c r="J213" i="3"/>
  <c r="M213" i="3"/>
  <c r="N213" i="3" s="1"/>
  <c r="V213" i="3"/>
  <c r="A214" i="3"/>
  <c r="B214" i="3" s="1"/>
  <c r="AE213" i="3"/>
  <c r="W213" i="3" l="1"/>
  <c r="L213" i="3"/>
  <c r="P214" i="3"/>
  <c r="Q214" i="3" s="1"/>
  <c r="R214" i="3" s="1"/>
  <c r="S214" i="3" s="1"/>
  <c r="AC214" i="3"/>
  <c r="AA214" i="3"/>
  <c r="Z214" i="3"/>
  <c r="U213" i="3" l="1"/>
  <c r="Y212" i="3"/>
  <c r="T214" i="3"/>
  <c r="D214" i="3" l="1"/>
  <c r="G214" i="3" s="1"/>
  <c r="E214" i="3"/>
  <c r="H214" i="3" s="1"/>
  <c r="AG214" i="3"/>
  <c r="AH214" i="3"/>
  <c r="F214" i="3" l="1"/>
  <c r="I214" i="3"/>
  <c r="J214" i="3"/>
  <c r="M214" i="3"/>
  <c r="N214" i="3" s="1"/>
  <c r="K214" i="3"/>
  <c r="AE214" i="3" s="1"/>
  <c r="V214" i="3" l="1"/>
  <c r="W214" i="3" s="1"/>
  <c r="A215" i="3"/>
  <c r="B215" i="3" s="1"/>
  <c r="L214" i="3"/>
  <c r="AD214" i="3"/>
  <c r="U214" i="3" l="1"/>
  <c r="Y213" i="3"/>
  <c r="AC215" i="3"/>
  <c r="AD215" i="3"/>
  <c r="Z215" i="3"/>
  <c r="P215" i="3"/>
  <c r="Q215" i="3" s="1"/>
  <c r="R215" i="3" s="1"/>
  <c r="S215" i="3" s="1"/>
  <c r="AA215" i="3"/>
  <c r="T215" i="3" l="1"/>
  <c r="AH215" i="3" s="1"/>
  <c r="D215" i="3" l="1"/>
  <c r="G215" i="3" s="1"/>
  <c r="E215" i="3"/>
  <c r="H215" i="3" s="1"/>
  <c r="K215" i="3" s="1"/>
  <c r="AE215" i="3" s="1"/>
  <c r="AG215" i="3"/>
  <c r="F215" i="3" l="1"/>
  <c r="V215" i="3"/>
  <c r="A216" i="3"/>
  <c r="B216" i="3" s="1"/>
  <c r="I215" i="3"/>
  <c r="J215" i="3"/>
  <c r="M215" i="3"/>
  <c r="N215" i="3" s="1"/>
  <c r="W215" i="3" l="1"/>
  <c r="L215" i="3"/>
  <c r="P216" i="3"/>
  <c r="Q216" i="3" s="1"/>
  <c r="R216" i="3" s="1"/>
  <c r="S216" i="3" s="1"/>
  <c r="Z216" i="3"/>
  <c r="AC216" i="3"/>
  <c r="AD216" i="3"/>
  <c r="AA216" i="3"/>
  <c r="U215" i="3" l="1"/>
  <c r="Y214" i="3"/>
  <c r="T216" i="3"/>
  <c r="AH216" i="3" s="1"/>
  <c r="D216" i="3" l="1"/>
  <c r="G216" i="3" s="1"/>
  <c r="AG216" i="3"/>
  <c r="E216" i="3"/>
  <c r="H216" i="3" s="1"/>
  <c r="K216" i="3" l="1"/>
  <c r="AE216" i="3" s="1"/>
  <c r="I216" i="3"/>
  <c r="J216" i="3"/>
  <c r="M216" i="3"/>
  <c r="N216" i="3" s="1"/>
  <c r="F216" i="3"/>
  <c r="V216" i="3" l="1"/>
  <c r="W216" i="3" s="1"/>
  <c r="A217" i="3"/>
  <c r="B217" i="3" s="1"/>
  <c r="L216" i="3"/>
  <c r="U216" i="3" l="1"/>
  <c r="Y215" i="3"/>
  <c r="P217" i="3"/>
  <c r="Q217" i="3" s="1"/>
  <c r="R217" i="3" s="1"/>
  <c r="S217" i="3" s="1"/>
  <c r="AC217" i="3"/>
  <c r="AA217" i="3"/>
  <c r="Z217" i="3"/>
  <c r="AD217" i="3"/>
  <c r="T217" i="3" l="1"/>
  <c r="D217" i="3" s="1"/>
  <c r="G217" i="3" l="1"/>
  <c r="AG217" i="3"/>
  <c r="AH217" i="3"/>
  <c r="E217" i="3"/>
  <c r="H217" i="3" s="1"/>
  <c r="I217" i="3" l="1"/>
  <c r="J217" i="3"/>
  <c r="M217" i="3"/>
  <c r="N217" i="3" s="1"/>
  <c r="K217" i="3"/>
  <c r="AE217" i="3" s="1"/>
  <c r="F217" i="3"/>
  <c r="V217" i="3" l="1"/>
  <c r="W217" i="3" s="1"/>
  <c r="A218" i="3"/>
  <c r="B218" i="3" s="1"/>
  <c r="L217" i="3"/>
  <c r="U217" i="3" l="1"/>
  <c r="Y216" i="3"/>
  <c r="AC218" i="3"/>
  <c r="AA218" i="3"/>
  <c r="Z218" i="3"/>
  <c r="P218" i="3"/>
  <c r="Q218" i="3" s="1"/>
  <c r="R218" i="3" s="1"/>
  <c r="S218" i="3" s="1"/>
  <c r="AD218" i="3"/>
  <c r="T218" i="3" l="1"/>
  <c r="AG218" i="3" s="1"/>
  <c r="AH218" i="3" l="1"/>
  <c r="E218" i="3"/>
  <c r="H218" i="3" s="1"/>
  <c r="K218" i="3" s="1"/>
  <c r="AE218" i="3" s="1"/>
  <c r="D218" i="3"/>
  <c r="G218" i="3" s="1"/>
  <c r="F218" i="3" l="1"/>
  <c r="I218" i="3"/>
  <c r="J218" i="3"/>
  <c r="M218" i="3"/>
  <c r="N218" i="3" s="1"/>
  <c r="V218" i="3"/>
  <c r="A219" i="3"/>
  <c r="B219" i="3" s="1"/>
  <c r="W218" i="3" l="1"/>
  <c r="L218" i="3"/>
  <c r="P219" i="3"/>
  <c r="Q219" i="3" s="1"/>
  <c r="R219" i="3" s="1"/>
  <c r="S219" i="3" s="1"/>
  <c r="AD219" i="3"/>
  <c r="AC219" i="3"/>
  <c r="AA219" i="3"/>
  <c r="Z219" i="3"/>
  <c r="U218" i="3" l="1"/>
  <c r="Y217" i="3"/>
  <c r="T219" i="3"/>
  <c r="AG219" i="3" s="1"/>
  <c r="D219" i="3" l="1"/>
  <c r="E219" i="3"/>
  <c r="H219" i="3" s="1"/>
  <c r="AH219" i="3"/>
  <c r="F219" i="3" l="1"/>
  <c r="G219" i="3"/>
  <c r="K219" i="3"/>
  <c r="AE219" i="3" s="1"/>
  <c r="I219" i="3" l="1"/>
  <c r="J219" i="3"/>
  <c r="M219" i="3"/>
  <c r="N219" i="3" s="1"/>
  <c r="V219" i="3"/>
  <c r="A220" i="3"/>
  <c r="B220" i="3" s="1"/>
  <c r="W219" i="3" l="1"/>
  <c r="L219" i="3"/>
  <c r="AC220" i="3"/>
  <c r="AD220" i="3"/>
  <c r="Z220" i="3"/>
  <c r="P220" i="3"/>
  <c r="Q220" i="3" s="1"/>
  <c r="R220" i="3" s="1"/>
  <c r="S220" i="3" s="1"/>
  <c r="AA220" i="3"/>
  <c r="U219" i="3" l="1"/>
  <c r="Y218" i="3"/>
  <c r="T220" i="3"/>
  <c r="E220" i="3" l="1"/>
  <c r="H220" i="3" s="1"/>
  <c r="K220" i="3" s="1"/>
  <c r="AE220" i="3" s="1"/>
  <c r="D220" i="3"/>
  <c r="G220" i="3" s="1"/>
  <c r="AG220" i="3"/>
  <c r="AH220" i="3"/>
  <c r="F220" i="3" l="1"/>
  <c r="I220" i="3"/>
  <c r="J220" i="3"/>
  <c r="M220" i="3"/>
  <c r="N220" i="3" s="1"/>
  <c r="V220" i="3"/>
  <c r="A221" i="3"/>
  <c r="B221" i="3" s="1"/>
  <c r="W220" i="3" l="1"/>
  <c r="L220" i="3"/>
  <c r="AA221" i="3"/>
  <c r="AC221" i="3"/>
  <c r="AD221" i="3"/>
  <c r="P221" i="3"/>
  <c r="Q221" i="3" s="1"/>
  <c r="R221" i="3" s="1"/>
  <c r="S221" i="3" s="1"/>
  <c r="Z221" i="3"/>
  <c r="T221" i="3" l="1"/>
  <c r="U220" i="3"/>
  <c r="Y219" i="3"/>
  <c r="D221" i="3" l="1"/>
  <c r="G221" i="3" s="1"/>
  <c r="AH221" i="3"/>
  <c r="AG221" i="3"/>
  <c r="E221" i="3"/>
  <c r="H221" i="3" s="1"/>
  <c r="K221" i="3" l="1"/>
  <c r="AE221" i="3" s="1"/>
  <c r="I221" i="3"/>
  <c r="J221" i="3"/>
  <c r="M221" i="3"/>
  <c r="N221" i="3" s="1"/>
  <c r="F221" i="3"/>
  <c r="L221" i="3" l="1"/>
  <c r="V221" i="3"/>
  <c r="W221" i="3" s="1"/>
  <c r="A222" i="3"/>
  <c r="B222" i="3" s="1"/>
  <c r="P222" i="3" l="1"/>
  <c r="Q222" i="3" s="1"/>
  <c r="R222" i="3" s="1"/>
  <c r="S222" i="3" s="1"/>
  <c r="AC222" i="3"/>
  <c r="Z222" i="3"/>
  <c r="AA222" i="3"/>
  <c r="AD222" i="3"/>
  <c r="U221" i="3"/>
  <c r="Y220" i="3"/>
  <c r="T222" i="3" l="1"/>
  <c r="AH222" i="3" s="1"/>
  <c r="E222" i="3" l="1"/>
  <c r="H222" i="3" s="1"/>
  <c r="AG222" i="3"/>
  <c r="D222" i="3"/>
  <c r="F222" i="3" l="1"/>
  <c r="G222" i="3"/>
  <c r="K222" i="3"/>
  <c r="AE222" i="3" s="1"/>
  <c r="I222" i="3" l="1"/>
  <c r="J222" i="3"/>
  <c r="M222" i="3"/>
  <c r="N222" i="3" s="1"/>
  <c r="V222" i="3"/>
  <c r="A223" i="3"/>
  <c r="B223" i="3" s="1"/>
  <c r="W222" i="3" l="1"/>
  <c r="L222" i="3"/>
  <c r="P223" i="3"/>
  <c r="Q223" i="3" s="1"/>
  <c r="R223" i="3" s="1"/>
  <c r="S223" i="3" s="1"/>
  <c r="Z223" i="3"/>
  <c r="AC223" i="3"/>
  <c r="AD223" i="3"/>
  <c r="AA223" i="3"/>
  <c r="U222" i="3" l="1"/>
  <c r="Y221" i="3"/>
  <c r="T223" i="3"/>
  <c r="D223" i="3" l="1"/>
  <c r="G223" i="3" s="1"/>
  <c r="AG223" i="3"/>
  <c r="AH223" i="3"/>
  <c r="E223" i="3"/>
  <c r="H223" i="3" s="1"/>
  <c r="K223" i="3" s="1"/>
  <c r="AE223" i="3" s="1"/>
  <c r="F223" i="3" l="1"/>
  <c r="I223" i="3"/>
  <c r="J223" i="3"/>
  <c r="M223" i="3"/>
  <c r="N223" i="3" s="1"/>
  <c r="V223" i="3"/>
  <c r="A224" i="3"/>
  <c r="B224" i="3" s="1"/>
  <c r="W223" i="3" l="1"/>
  <c r="L223" i="3"/>
  <c r="Z224" i="3"/>
  <c r="P224" i="3"/>
  <c r="Q224" i="3" s="1"/>
  <c r="R224" i="3" s="1"/>
  <c r="S224" i="3" s="1"/>
  <c r="AC224" i="3"/>
  <c r="AA224" i="3"/>
  <c r="U223" i="3" l="1"/>
  <c r="Y222" i="3"/>
  <c r="T224" i="3"/>
  <c r="D224" i="3" l="1"/>
  <c r="G224" i="3" s="1"/>
  <c r="AG224" i="3"/>
  <c r="AH224" i="3"/>
  <c r="E224" i="3"/>
  <c r="H224" i="3" s="1"/>
  <c r="K224" i="3" s="1"/>
  <c r="AE224" i="3" s="1"/>
  <c r="F224" i="3" l="1"/>
  <c r="I224" i="3"/>
  <c r="J224" i="3"/>
  <c r="M224" i="3"/>
  <c r="N224" i="3" s="1"/>
  <c r="V224" i="3"/>
  <c r="A225" i="3"/>
  <c r="B225" i="3" s="1"/>
  <c r="W224" i="3" l="1"/>
  <c r="L224" i="3"/>
  <c r="AD224" i="3"/>
  <c r="AC225" i="3"/>
  <c r="P225" i="3"/>
  <c r="Q225" i="3" s="1"/>
  <c r="R225" i="3" s="1"/>
  <c r="S225" i="3" s="1"/>
  <c r="AA225" i="3"/>
  <c r="AD225" i="3"/>
  <c r="Z225" i="3"/>
  <c r="U224" i="3" l="1"/>
  <c r="Y223" i="3"/>
  <c r="T225" i="3"/>
  <c r="AG225" i="3" s="1"/>
  <c r="AH225" i="3" l="1"/>
  <c r="E225" i="3"/>
  <c r="H225" i="3" s="1"/>
  <c r="D225" i="3"/>
  <c r="K225" i="3" l="1"/>
  <c r="AE225" i="3" s="1"/>
  <c r="F225" i="3"/>
  <c r="G225" i="3"/>
  <c r="I225" i="3" l="1"/>
  <c r="J225" i="3"/>
  <c r="M225" i="3"/>
  <c r="N225" i="3" s="1"/>
  <c r="V225" i="3"/>
  <c r="A226" i="3"/>
  <c r="B226" i="3" s="1"/>
  <c r="W225" i="3" l="1"/>
  <c r="L225" i="3"/>
  <c r="AD226" i="3"/>
  <c r="Z226" i="3"/>
  <c r="AA226" i="3"/>
  <c r="P226" i="3"/>
  <c r="Q226" i="3" s="1"/>
  <c r="R226" i="3" s="1"/>
  <c r="S226" i="3" s="1"/>
  <c r="AC226" i="3"/>
  <c r="U225" i="3" l="1"/>
  <c r="Y224" i="3"/>
  <c r="T226" i="3"/>
  <c r="D226" i="3" l="1"/>
  <c r="G226" i="3" s="1"/>
  <c r="AH226" i="3"/>
  <c r="AG226" i="3"/>
  <c r="E226" i="3"/>
  <c r="H226" i="3" s="1"/>
  <c r="F226" i="3" l="1"/>
  <c r="I226" i="3"/>
  <c r="J226" i="3"/>
  <c r="M226" i="3"/>
  <c r="N226" i="3" s="1"/>
  <c r="K226" i="3"/>
  <c r="AE226" i="3" s="1"/>
  <c r="V226" i="3" l="1"/>
  <c r="W226" i="3" s="1"/>
  <c r="A227" i="3"/>
  <c r="B227" i="3" s="1"/>
  <c r="L226" i="3"/>
  <c r="U226" i="3" l="1"/>
  <c r="Y225" i="3"/>
  <c r="P227" i="3"/>
  <c r="Q227" i="3" s="1"/>
  <c r="R227" i="3" s="1"/>
  <c r="S227" i="3" s="1"/>
  <c r="AA227" i="3"/>
  <c r="Z227" i="3"/>
  <c r="AD227" i="3"/>
  <c r="AC227" i="3"/>
  <c r="T227" i="3" l="1"/>
  <c r="D227" i="3" s="1"/>
  <c r="E227" i="3" l="1"/>
  <c r="H227" i="3" s="1"/>
  <c r="K227" i="3" s="1"/>
  <c r="AE227" i="3" s="1"/>
  <c r="AH227" i="3"/>
  <c r="AG227" i="3"/>
  <c r="G227" i="3"/>
  <c r="F227" i="3" l="1"/>
  <c r="V227" i="3"/>
  <c r="A228" i="3"/>
  <c r="B228" i="3" s="1"/>
  <c r="I227" i="3"/>
  <c r="J227" i="3"/>
  <c r="M227" i="3"/>
  <c r="N227" i="3" s="1"/>
  <c r="L227" i="3" l="1"/>
  <c r="W227" i="3"/>
  <c r="AD228" i="3"/>
  <c r="AA228" i="3"/>
  <c r="Z228" i="3"/>
  <c r="P228" i="3"/>
  <c r="Q228" i="3" s="1"/>
  <c r="R228" i="3" s="1"/>
  <c r="S228" i="3" s="1"/>
  <c r="AC228" i="3"/>
  <c r="T228" i="3" l="1"/>
  <c r="AG228" i="3" s="1"/>
  <c r="U227" i="3"/>
  <c r="Y226" i="3"/>
  <c r="AH228" i="3" l="1"/>
  <c r="E228" i="3"/>
  <c r="H228" i="3" s="1"/>
  <c r="D228" i="3"/>
  <c r="K228" i="3" l="1"/>
  <c r="AE228" i="3" s="1"/>
  <c r="F228" i="3"/>
  <c r="G228" i="3"/>
  <c r="V228" i="3" l="1"/>
  <c r="A229" i="3"/>
  <c r="B229" i="3" s="1"/>
  <c r="I228" i="3"/>
  <c r="J228" i="3"/>
  <c r="M228" i="3"/>
  <c r="N228" i="3" s="1"/>
  <c r="W228" i="3" l="1"/>
  <c r="L228" i="3"/>
  <c r="AA229" i="3"/>
  <c r="AD229" i="3"/>
  <c r="AC229" i="3"/>
  <c r="P229" i="3"/>
  <c r="Q229" i="3" s="1"/>
  <c r="R229" i="3" s="1"/>
  <c r="S229" i="3" s="1"/>
  <c r="Z229" i="3"/>
  <c r="U228" i="3" l="1"/>
  <c r="Y227" i="3"/>
  <c r="T229" i="3"/>
  <c r="AH229" i="3" s="1"/>
  <c r="D229" i="3" l="1"/>
  <c r="E229" i="3"/>
  <c r="H229" i="3" s="1"/>
  <c r="AG229" i="3"/>
  <c r="K229" i="3" l="1"/>
  <c r="AE229" i="3" s="1"/>
  <c r="F229" i="3"/>
  <c r="G229" i="3"/>
  <c r="V229" i="3" l="1"/>
  <c r="A230" i="3"/>
  <c r="B230" i="3" s="1"/>
  <c r="I229" i="3"/>
  <c r="J229" i="3"/>
  <c r="M229" i="3"/>
  <c r="N229" i="3" s="1"/>
  <c r="L229" i="3" l="1"/>
  <c r="W229" i="3"/>
  <c r="P230" i="3"/>
  <c r="Q230" i="3" s="1"/>
  <c r="R230" i="3" s="1"/>
  <c r="S230" i="3" s="1"/>
  <c r="AA230" i="3"/>
  <c r="AC230" i="3"/>
  <c r="AD230" i="3"/>
  <c r="Z230" i="3"/>
  <c r="U229" i="3" l="1"/>
  <c r="Y228" i="3"/>
  <c r="T230" i="3"/>
  <c r="AH230" i="3" s="1"/>
  <c r="AG230" i="3" l="1"/>
  <c r="D230" i="3"/>
  <c r="E230" i="3"/>
  <c r="H230" i="3" s="1"/>
  <c r="K230" i="3" l="1"/>
  <c r="AE230" i="3" s="1"/>
  <c r="F230" i="3"/>
  <c r="G230" i="3"/>
  <c r="I230" i="3" l="1"/>
  <c r="J230" i="3"/>
  <c r="M230" i="3"/>
  <c r="N230" i="3" s="1"/>
  <c r="V230" i="3"/>
  <c r="A231" i="3"/>
  <c r="B231" i="3" s="1"/>
  <c r="W230" i="3" l="1"/>
  <c r="L230" i="3"/>
  <c r="AD231" i="3"/>
  <c r="P231" i="3"/>
  <c r="Q231" i="3" s="1"/>
  <c r="R231" i="3" s="1"/>
  <c r="S231" i="3" s="1"/>
  <c r="AA231" i="3"/>
  <c r="Z231" i="3"/>
  <c r="AC231" i="3"/>
  <c r="T231" i="3" l="1"/>
  <c r="U230" i="3"/>
  <c r="Y229" i="3"/>
  <c r="D231" i="3" l="1"/>
  <c r="G231" i="3" s="1"/>
  <c r="E231" i="3"/>
  <c r="H231" i="3" s="1"/>
  <c r="K231" i="3" s="1"/>
  <c r="AE231" i="3" s="1"/>
  <c r="AG231" i="3"/>
  <c r="AH231" i="3"/>
  <c r="F231" i="3" l="1"/>
  <c r="V231" i="3"/>
  <c r="A232" i="3"/>
  <c r="B232" i="3" s="1"/>
  <c r="I231" i="3"/>
  <c r="J231" i="3"/>
  <c r="M231" i="3"/>
  <c r="N231" i="3" s="1"/>
  <c r="L231" i="3" l="1"/>
  <c r="W231" i="3"/>
  <c r="P232" i="3"/>
  <c r="Q232" i="3" s="1"/>
  <c r="R232" i="3" s="1"/>
  <c r="S232" i="3" s="1"/>
  <c r="AD232" i="3"/>
  <c r="Z232" i="3"/>
  <c r="AA232" i="3"/>
  <c r="AC232" i="3"/>
  <c r="U231" i="3" l="1"/>
  <c r="Y230" i="3"/>
  <c r="T232" i="3"/>
  <c r="D232" i="3" l="1"/>
  <c r="G232" i="3" s="1"/>
  <c r="AG232" i="3"/>
  <c r="E232" i="3"/>
  <c r="H232" i="3" s="1"/>
  <c r="AH232" i="3"/>
  <c r="F232" i="3" l="1"/>
  <c r="I232" i="3"/>
  <c r="J232" i="3"/>
  <c r="M232" i="3"/>
  <c r="N232" i="3" s="1"/>
  <c r="K232" i="3"/>
  <c r="AE232" i="3" s="1"/>
  <c r="V232" i="3" l="1"/>
  <c r="W232" i="3" s="1"/>
  <c r="A233" i="3"/>
  <c r="B233" i="3" s="1"/>
  <c r="L232" i="3"/>
  <c r="U232" i="3" l="1"/>
  <c r="Y231" i="3"/>
  <c r="AA233" i="3"/>
  <c r="AD233" i="3"/>
  <c r="AC233" i="3"/>
  <c r="P233" i="3"/>
  <c r="Q233" i="3" s="1"/>
  <c r="R233" i="3" s="1"/>
  <c r="S233" i="3" s="1"/>
  <c r="Z233" i="3"/>
  <c r="T233" i="3" l="1"/>
  <c r="D233" i="3" s="1"/>
  <c r="AG233" i="3" l="1"/>
  <c r="AH233" i="3"/>
  <c r="E233" i="3"/>
  <c r="H233" i="3" s="1"/>
  <c r="K233" i="3" s="1"/>
  <c r="AE233" i="3" s="1"/>
  <c r="G233" i="3"/>
  <c r="F233" i="3" l="1"/>
  <c r="I233" i="3"/>
  <c r="J233" i="3"/>
  <c r="M233" i="3"/>
  <c r="N233" i="3" s="1"/>
  <c r="V233" i="3"/>
  <c r="A234" i="3"/>
  <c r="B234" i="3" s="1"/>
  <c r="W233" i="3" l="1"/>
  <c r="L233" i="3"/>
  <c r="Z234" i="3"/>
  <c r="P234" i="3"/>
  <c r="Q234" i="3" s="1"/>
  <c r="R234" i="3" s="1"/>
  <c r="S234" i="3" s="1"/>
  <c r="AC234" i="3"/>
  <c r="AA234" i="3"/>
  <c r="U233" i="3" l="1"/>
  <c r="Y232" i="3"/>
  <c r="T234" i="3"/>
  <c r="E234" i="3" l="1"/>
  <c r="H234" i="3" s="1"/>
  <c r="K234" i="3" s="1"/>
  <c r="AE234" i="3" s="1"/>
  <c r="AG234" i="3"/>
  <c r="AH234" i="3"/>
  <c r="D234" i="3"/>
  <c r="G234" i="3" s="1"/>
  <c r="F234" i="3" l="1"/>
  <c r="I234" i="3"/>
  <c r="J234" i="3"/>
  <c r="M234" i="3"/>
  <c r="N234" i="3" s="1"/>
  <c r="V234" i="3"/>
  <c r="A235" i="3"/>
  <c r="B235" i="3" s="1"/>
  <c r="L234" i="3" l="1"/>
  <c r="AD234" i="3"/>
  <c r="W234" i="3"/>
  <c r="AC235" i="3"/>
  <c r="AA235" i="3"/>
  <c r="Z235" i="3"/>
  <c r="P235" i="3"/>
  <c r="Q235" i="3" s="1"/>
  <c r="R235" i="3" s="1"/>
  <c r="S235" i="3" s="1"/>
  <c r="AD235" i="3"/>
  <c r="U234" i="3" l="1"/>
  <c r="Y233" i="3"/>
  <c r="T235" i="3"/>
  <c r="E235" i="3" l="1"/>
  <c r="H235" i="3" s="1"/>
  <c r="K235" i="3" s="1"/>
  <c r="AE235" i="3" s="1"/>
  <c r="AG235" i="3"/>
  <c r="D235" i="3"/>
  <c r="AH235" i="3"/>
  <c r="F235" i="3" l="1"/>
  <c r="G235" i="3"/>
  <c r="V235" i="3"/>
  <c r="A236" i="3"/>
  <c r="B236" i="3" s="1"/>
  <c r="AD236" i="3" l="1"/>
  <c r="P236" i="3"/>
  <c r="Q236" i="3" s="1"/>
  <c r="R236" i="3" s="1"/>
  <c r="S236" i="3" s="1"/>
  <c r="AA236" i="3"/>
  <c r="Z236" i="3"/>
  <c r="AC236" i="3"/>
  <c r="I235" i="3"/>
  <c r="W235" i="3" s="1"/>
  <c r="J235" i="3"/>
  <c r="M235" i="3"/>
  <c r="N235" i="3" s="1"/>
  <c r="T236" i="3" l="1"/>
  <c r="L235" i="3"/>
  <c r="U235" i="3" l="1"/>
  <c r="D236" i="3" s="1"/>
  <c r="AH236" i="3"/>
  <c r="AG236" i="3"/>
  <c r="Y234" i="3"/>
  <c r="E236" i="3" l="1"/>
  <c r="H236" i="3" s="1"/>
  <c r="K236" i="3" s="1"/>
  <c r="AE236" i="3" s="1"/>
  <c r="G236" i="3"/>
  <c r="F236" i="3" l="1"/>
  <c r="I236" i="3"/>
  <c r="J236" i="3"/>
  <c r="M236" i="3"/>
  <c r="N236" i="3" s="1"/>
  <c r="V236" i="3"/>
  <c r="A237" i="3"/>
  <c r="B237" i="3" s="1"/>
  <c r="W236" i="3" l="1"/>
  <c r="L236" i="3"/>
  <c r="P237" i="3"/>
  <c r="Q237" i="3" s="1"/>
  <c r="R237" i="3" s="1"/>
  <c r="S237" i="3" s="1"/>
  <c r="AA237" i="3"/>
  <c r="Z237" i="3"/>
  <c r="AD237" i="3"/>
  <c r="AC237" i="3"/>
  <c r="U236" i="3" l="1"/>
  <c r="Y235" i="3"/>
  <c r="T237" i="3"/>
  <c r="AH237" i="3" s="1"/>
  <c r="E237" i="3" l="1"/>
  <c r="H237" i="3" s="1"/>
  <c r="K237" i="3" s="1"/>
  <c r="AE237" i="3" s="1"/>
  <c r="AG237" i="3"/>
  <c r="D237" i="3"/>
  <c r="F237" i="3" l="1"/>
  <c r="G237" i="3"/>
  <c r="M237" i="3" s="1"/>
  <c r="N237" i="3" s="1"/>
  <c r="V237" i="3"/>
  <c r="A238" i="3"/>
  <c r="B238" i="3" s="1"/>
  <c r="I237" i="3" l="1"/>
  <c r="W237" i="3" s="1"/>
  <c r="J237" i="3"/>
  <c r="L237" i="3" s="1"/>
  <c r="P238" i="3"/>
  <c r="Q238" i="3" s="1"/>
  <c r="R238" i="3" s="1"/>
  <c r="S238" i="3" s="1"/>
  <c r="Z238" i="3"/>
  <c r="AC238" i="3"/>
  <c r="AA238" i="3"/>
  <c r="AD238" i="3"/>
  <c r="T238" i="3" l="1"/>
  <c r="AG238" i="3" s="1"/>
  <c r="U237" i="3"/>
  <c r="Y236" i="3"/>
  <c r="AH238" i="3" l="1"/>
  <c r="E238" i="3"/>
  <c r="H238" i="3" s="1"/>
  <c r="K238" i="3" s="1"/>
  <c r="AE238" i="3" s="1"/>
  <c r="D238" i="3"/>
  <c r="F238" i="3" l="1"/>
  <c r="G238" i="3"/>
  <c r="M238" i="3" s="1"/>
  <c r="N238" i="3" s="1"/>
  <c r="V238" i="3"/>
  <c r="A239" i="3"/>
  <c r="B239" i="3" s="1"/>
  <c r="I238" i="3" l="1"/>
  <c r="W238" i="3" s="1"/>
  <c r="J238" i="3"/>
  <c r="L238" i="3" s="1"/>
  <c r="AD239" i="3"/>
  <c r="P239" i="3"/>
  <c r="Q239" i="3" s="1"/>
  <c r="R239" i="3" s="1"/>
  <c r="S239" i="3" s="1"/>
  <c r="AC239" i="3"/>
  <c r="Z239" i="3"/>
  <c r="AA239" i="3"/>
  <c r="T239" i="3" l="1"/>
  <c r="U238" i="3"/>
  <c r="Y237" i="3"/>
  <c r="D239" i="3" l="1"/>
  <c r="G239" i="3" s="1"/>
  <c r="E239" i="3"/>
  <c r="H239" i="3" s="1"/>
  <c r="K239" i="3" s="1"/>
  <c r="AE239" i="3" s="1"/>
  <c r="AG239" i="3"/>
  <c r="AH239" i="3"/>
  <c r="F239" i="3" l="1"/>
  <c r="I239" i="3"/>
  <c r="J239" i="3"/>
  <c r="M239" i="3"/>
  <c r="N239" i="3" s="1"/>
  <c r="V239" i="3"/>
  <c r="A240" i="3"/>
  <c r="B240" i="3" s="1"/>
  <c r="W239" i="3" l="1"/>
  <c r="L239" i="3"/>
  <c r="Z240" i="3"/>
  <c r="P240" i="3"/>
  <c r="Q240" i="3" s="1"/>
  <c r="R240" i="3" s="1"/>
  <c r="S240" i="3" s="1"/>
  <c r="AD240" i="3"/>
  <c r="AA240" i="3"/>
  <c r="AC240" i="3"/>
  <c r="U239" i="3" l="1"/>
  <c r="Y238" i="3"/>
  <c r="T240" i="3"/>
  <c r="E240" i="3" l="1"/>
  <c r="H240" i="3" s="1"/>
  <c r="K240" i="3" s="1"/>
  <c r="AE240" i="3" s="1"/>
  <c r="D240" i="3"/>
  <c r="AG240" i="3"/>
  <c r="AH240" i="3"/>
  <c r="V240" i="3" l="1"/>
  <c r="A241" i="3"/>
  <c r="B241" i="3" s="1"/>
  <c r="F240" i="3"/>
  <c r="G240" i="3"/>
  <c r="I240" i="3" l="1"/>
  <c r="W240" i="3" s="1"/>
  <c r="J240" i="3"/>
  <c r="M240" i="3"/>
  <c r="N240" i="3" s="1"/>
  <c r="Z241" i="3"/>
  <c r="AD241" i="3"/>
  <c r="AC241" i="3"/>
  <c r="P241" i="3"/>
  <c r="Q241" i="3" s="1"/>
  <c r="R241" i="3" s="1"/>
  <c r="S241" i="3" s="1"/>
  <c r="AA241" i="3"/>
  <c r="T241" i="3" l="1"/>
  <c r="L240" i="3"/>
  <c r="AG241" i="3" l="1"/>
  <c r="AH241" i="3"/>
  <c r="U240" i="3"/>
  <c r="D241" i="3" s="1"/>
  <c r="Y239" i="3"/>
  <c r="G241" i="3" l="1"/>
  <c r="E241" i="3"/>
  <c r="H241" i="3" s="1"/>
  <c r="F241" i="3" l="1"/>
  <c r="I241" i="3"/>
  <c r="J241" i="3"/>
  <c r="M241" i="3"/>
  <c r="N241" i="3" s="1"/>
  <c r="K241" i="3"/>
  <c r="AE241" i="3" s="1"/>
  <c r="V241" i="3" l="1"/>
  <c r="W241" i="3" s="1"/>
  <c r="A242" i="3"/>
  <c r="B242" i="3" s="1"/>
  <c r="L241" i="3"/>
  <c r="U241" i="3" l="1"/>
  <c r="Y240" i="3"/>
  <c r="Z242" i="3"/>
  <c r="AA242" i="3"/>
  <c r="P242" i="3"/>
  <c r="Q242" i="3" s="1"/>
  <c r="R242" i="3" s="1"/>
  <c r="S242" i="3" s="1"/>
  <c r="AD242" i="3"/>
  <c r="AC242" i="3"/>
  <c r="T242" i="3" l="1"/>
  <c r="D242" i="3" s="1"/>
  <c r="E242" i="3" l="1"/>
  <c r="H242" i="3" s="1"/>
  <c r="K242" i="3" s="1"/>
  <c r="AE242" i="3" s="1"/>
  <c r="G242" i="3"/>
  <c r="AH242" i="3"/>
  <c r="AG242" i="3"/>
  <c r="F242" i="3" l="1"/>
  <c r="I242" i="3"/>
  <c r="J242" i="3"/>
  <c r="M242" i="3"/>
  <c r="N242" i="3" s="1"/>
  <c r="V242" i="3"/>
  <c r="A243" i="3"/>
  <c r="B243" i="3" s="1"/>
  <c r="W242" i="3" l="1"/>
  <c r="L242" i="3"/>
  <c r="AA243" i="3"/>
  <c r="AC243" i="3"/>
  <c r="Z243" i="3"/>
  <c r="P243" i="3"/>
  <c r="Q243" i="3" s="1"/>
  <c r="R243" i="3" s="1"/>
  <c r="S243" i="3" s="1"/>
  <c r="AD243" i="3"/>
  <c r="U242" i="3" l="1"/>
  <c r="Y241" i="3"/>
  <c r="T243" i="3"/>
  <c r="AH243" i="3" s="1"/>
  <c r="D243" i="3" l="1"/>
  <c r="G243" i="3" s="1"/>
  <c r="E243" i="3"/>
  <c r="H243" i="3" s="1"/>
  <c r="K243" i="3" s="1"/>
  <c r="AE243" i="3" s="1"/>
  <c r="AG243" i="3"/>
  <c r="F243" i="3" l="1"/>
  <c r="I243" i="3"/>
  <c r="J243" i="3"/>
  <c r="M243" i="3"/>
  <c r="N243" i="3" s="1"/>
  <c r="V243" i="3"/>
  <c r="A244" i="3"/>
  <c r="B244" i="3" s="1"/>
  <c r="W243" i="3" l="1"/>
  <c r="L243" i="3"/>
  <c r="AA244" i="3"/>
  <c r="P244" i="3"/>
  <c r="Q244" i="3" s="1"/>
  <c r="R244" i="3" s="1"/>
  <c r="S244" i="3" s="1"/>
  <c r="Z244" i="3"/>
  <c r="AC244" i="3"/>
  <c r="U243" i="3" l="1"/>
  <c r="Y242" i="3"/>
  <c r="T244" i="3"/>
  <c r="D244" i="3" l="1"/>
  <c r="G244" i="3" s="1"/>
  <c r="E244" i="3"/>
  <c r="H244" i="3" s="1"/>
  <c r="AG244" i="3"/>
  <c r="AH244" i="3"/>
  <c r="I244" i="3" l="1"/>
  <c r="J244" i="3"/>
  <c r="M244" i="3"/>
  <c r="N244" i="3" s="1"/>
  <c r="F244" i="3"/>
  <c r="K244" i="3"/>
  <c r="AE244" i="3" s="1"/>
  <c r="L244" i="3" l="1"/>
  <c r="AD244" i="3"/>
  <c r="V244" i="3"/>
  <c r="W244" i="3" s="1"/>
  <c r="A245" i="3"/>
  <c r="B245" i="3" s="1"/>
  <c r="U244" i="3" l="1"/>
  <c r="Y243" i="3"/>
  <c r="Z245" i="3"/>
  <c r="AD245" i="3"/>
  <c r="AA245" i="3"/>
  <c r="P245" i="3"/>
  <c r="Q245" i="3" s="1"/>
  <c r="R245" i="3" s="1"/>
  <c r="S245" i="3" s="1"/>
  <c r="AC245" i="3"/>
  <c r="T245" i="3" l="1"/>
  <c r="AG245" i="3" s="1"/>
  <c r="D245" i="3" l="1"/>
  <c r="G245" i="3" s="1"/>
  <c r="AH245" i="3"/>
  <c r="E245" i="3"/>
  <c r="H245" i="3" s="1"/>
  <c r="F245" i="3" l="1"/>
  <c r="I245" i="3"/>
  <c r="J245" i="3"/>
  <c r="M245" i="3"/>
  <c r="N245" i="3" s="1"/>
  <c r="K245" i="3"/>
  <c r="AE245" i="3" s="1"/>
  <c r="V245" i="3" l="1"/>
  <c r="W245" i="3" s="1"/>
  <c r="A246" i="3"/>
  <c r="B246" i="3" s="1"/>
  <c r="L245" i="3"/>
  <c r="U245" i="3" l="1"/>
  <c r="Y244" i="3"/>
  <c r="P246" i="3"/>
  <c r="Q246" i="3" s="1"/>
  <c r="R246" i="3" s="1"/>
  <c r="S246" i="3" s="1"/>
  <c r="AC246" i="3"/>
  <c r="Z246" i="3"/>
  <c r="AD246" i="3"/>
  <c r="AA246" i="3"/>
  <c r="T246" i="3" l="1"/>
  <c r="D246" i="3" s="1"/>
  <c r="E246" i="3" l="1"/>
  <c r="H246" i="3" s="1"/>
  <c r="K246" i="3" s="1"/>
  <c r="AE246" i="3" s="1"/>
  <c r="AG246" i="3"/>
  <c r="AH246" i="3"/>
  <c r="G246" i="3"/>
  <c r="F246" i="3" l="1"/>
  <c r="I246" i="3"/>
  <c r="J246" i="3"/>
  <c r="M246" i="3"/>
  <c r="N246" i="3" s="1"/>
  <c r="V246" i="3"/>
  <c r="A247" i="3"/>
  <c r="B247" i="3" s="1"/>
  <c r="W246" i="3" l="1"/>
  <c r="L246" i="3"/>
  <c r="P247" i="3"/>
  <c r="Q247" i="3" s="1"/>
  <c r="R247" i="3" s="1"/>
  <c r="S247" i="3" s="1"/>
  <c r="AA247" i="3"/>
  <c r="AC247" i="3"/>
  <c r="Z247" i="3"/>
  <c r="AD247" i="3"/>
  <c r="U246" i="3" l="1"/>
  <c r="Y245" i="3"/>
  <c r="T247" i="3"/>
  <c r="AG247" i="3" s="1"/>
  <c r="AH247" i="3" l="1"/>
  <c r="D247" i="3"/>
  <c r="E247" i="3"/>
  <c r="H247" i="3" s="1"/>
  <c r="K247" i="3" s="1"/>
  <c r="AE247" i="3" s="1"/>
  <c r="F247" i="3" l="1"/>
  <c r="G247" i="3"/>
  <c r="M247" i="3" s="1"/>
  <c r="N247" i="3" s="1"/>
  <c r="V247" i="3"/>
  <c r="A248" i="3"/>
  <c r="B248" i="3" s="1"/>
  <c r="I247" i="3" l="1"/>
  <c r="W247" i="3" s="1"/>
  <c r="J247" i="3"/>
  <c r="L247" i="3" s="1"/>
  <c r="Z248" i="3"/>
  <c r="P248" i="3"/>
  <c r="Q248" i="3" s="1"/>
  <c r="R248" i="3" s="1"/>
  <c r="S248" i="3" s="1"/>
  <c r="AA248" i="3"/>
  <c r="AC248" i="3"/>
  <c r="AD248" i="3"/>
  <c r="U247" i="3" l="1"/>
  <c r="Y246" i="3"/>
  <c r="T248" i="3"/>
  <c r="AG248" i="3" s="1"/>
  <c r="E248" i="3" l="1"/>
  <c r="H248" i="3" s="1"/>
  <c r="K248" i="3" s="1"/>
  <c r="AE248" i="3" s="1"/>
  <c r="AH248" i="3"/>
  <c r="D248" i="3"/>
  <c r="G248" i="3" s="1"/>
  <c r="F248" i="3" l="1"/>
  <c r="I248" i="3"/>
  <c r="J248" i="3"/>
  <c r="M248" i="3"/>
  <c r="N248" i="3" s="1"/>
  <c r="V248" i="3"/>
  <c r="A249" i="3"/>
  <c r="B249" i="3" s="1"/>
  <c r="W248" i="3" l="1"/>
  <c r="L248" i="3"/>
  <c r="AC249" i="3"/>
  <c r="P249" i="3"/>
  <c r="Q249" i="3" s="1"/>
  <c r="R249" i="3" s="1"/>
  <c r="S249" i="3" s="1"/>
  <c r="Z249" i="3"/>
  <c r="AD249" i="3"/>
  <c r="AA249" i="3"/>
  <c r="U248" i="3" l="1"/>
  <c r="Y247" i="3"/>
  <c r="T249" i="3"/>
  <c r="AG249" i="3" s="1"/>
  <c r="D249" i="3" l="1"/>
  <c r="G249" i="3" s="1"/>
  <c r="AH249" i="3"/>
  <c r="E249" i="3"/>
  <c r="H249" i="3" s="1"/>
  <c r="K249" i="3" s="1"/>
  <c r="AE249" i="3" s="1"/>
  <c r="F249" i="3" l="1"/>
  <c r="I249" i="3"/>
  <c r="J249" i="3"/>
  <c r="M249" i="3"/>
  <c r="N249" i="3" s="1"/>
  <c r="V249" i="3"/>
  <c r="A250" i="3"/>
  <c r="B250" i="3" s="1"/>
  <c r="W249" i="3" l="1"/>
  <c r="L249" i="3"/>
  <c r="AC250" i="3"/>
  <c r="AA250" i="3"/>
  <c r="P250" i="3"/>
  <c r="Q250" i="3" s="1"/>
  <c r="R250" i="3" s="1"/>
  <c r="S250" i="3" s="1"/>
  <c r="AD250" i="3"/>
  <c r="Z250" i="3"/>
  <c r="T250" i="3" l="1"/>
  <c r="AG250" i="3" s="1"/>
  <c r="U249" i="3"/>
  <c r="Y248" i="3"/>
  <c r="D250" i="3" l="1"/>
  <c r="E250" i="3"/>
  <c r="H250" i="3" s="1"/>
  <c r="AH250" i="3"/>
  <c r="F250" i="3" l="1"/>
  <c r="G250" i="3"/>
  <c r="K250" i="3"/>
  <c r="AE250" i="3" s="1"/>
  <c r="V250" i="3" l="1"/>
  <c r="A251" i="3"/>
  <c r="B251" i="3" s="1"/>
  <c r="I250" i="3"/>
  <c r="J250" i="3"/>
  <c r="M250" i="3"/>
  <c r="N250" i="3" s="1"/>
  <c r="W250" i="3" l="1"/>
  <c r="L250" i="3"/>
  <c r="P251" i="3"/>
  <c r="Q251" i="3" s="1"/>
  <c r="R251" i="3" s="1"/>
  <c r="S251" i="3" s="1"/>
  <c r="AC251" i="3"/>
  <c r="AA251" i="3"/>
  <c r="Z251" i="3"/>
  <c r="AD251" i="3"/>
  <c r="U250" i="3" l="1"/>
  <c r="Y249" i="3"/>
  <c r="T251" i="3"/>
  <c r="D251" i="3" l="1"/>
  <c r="G251" i="3" s="1"/>
  <c r="AG251" i="3"/>
  <c r="AH251" i="3"/>
  <c r="E251" i="3"/>
  <c r="H251" i="3" s="1"/>
  <c r="I251" i="3" l="1"/>
  <c r="J251" i="3"/>
  <c r="M251" i="3"/>
  <c r="N251" i="3" s="1"/>
  <c r="K251" i="3"/>
  <c r="AE251" i="3" s="1"/>
  <c r="F251" i="3"/>
  <c r="V251" i="3" l="1"/>
  <c r="W251" i="3" s="1"/>
  <c r="A252" i="3"/>
  <c r="B252" i="3" s="1"/>
  <c r="L251" i="3"/>
  <c r="U251" i="3" l="1"/>
  <c r="Y250" i="3"/>
  <c r="AD252" i="3"/>
  <c r="Z252" i="3"/>
  <c r="AA252" i="3"/>
  <c r="P252" i="3"/>
  <c r="Q252" i="3" s="1"/>
  <c r="R252" i="3" s="1"/>
  <c r="S252" i="3" s="1"/>
  <c r="AC252" i="3"/>
  <c r="T252" i="3" l="1"/>
  <c r="AH252" i="3" s="1"/>
  <c r="E252" i="3" l="1"/>
  <c r="H252" i="3" s="1"/>
  <c r="K252" i="3" s="1"/>
  <c r="AE252" i="3" s="1"/>
  <c r="AG252" i="3"/>
  <c r="D252" i="3"/>
  <c r="F252" i="3" l="1"/>
  <c r="G252" i="3"/>
  <c r="V252" i="3"/>
  <c r="A253" i="3"/>
  <c r="B253" i="3" s="1"/>
  <c r="AC253" i="3" l="1"/>
  <c r="AA253" i="3"/>
  <c r="AD253" i="3"/>
  <c r="P253" i="3"/>
  <c r="Q253" i="3" s="1"/>
  <c r="R253" i="3" s="1"/>
  <c r="S253" i="3" s="1"/>
  <c r="Z253" i="3"/>
  <c r="I252" i="3"/>
  <c r="W252" i="3" s="1"/>
  <c r="J252" i="3"/>
  <c r="M252" i="3"/>
  <c r="N252" i="3" s="1"/>
  <c r="L252" i="3" l="1"/>
  <c r="T253" i="3"/>
  <c r="AH253" i="3" l="1"/>
  <c r="U252" i="3"/>
  <c r="E253" i="3" s="1"/>
  <c r="H253" i="3" s="1"/>
  <c r="AG253" i="3"/>
  <c r="Y251" i="3"/>
  <c r="D253" i="3" l="1"/>
  <c r="F253" i="3" s="1"/>
  <c r="K253" i="3"/>
  <c r="AE253" i="3" s="1"/>
  <c r="G253" i="3" l="1"/>
  <c r="J253" i="3" s="1"/>
  <c r="V253" i="3"/>
  <c r="A254" i="3"/>
  <c r="B254" i="3" s="1"/>
  <c r="M253" i="3" l="1"/>
  <c r="N253" i="3" s="1"/>
  <c r="I253" i="3"/>
  <c r="W253" i="3" s="1"/>
  <c r="L253" i="3"/>
  <c r="AA254" i="3"/>
  <c r="AC254" i="3"/>
  <c r="P254" i="3"/>
  <c r="Q254" i="3" s="1"/>
  <c r="R254" i="3" s="1"/>
  <c r="S254" i="3" s="1"/>
  <c r="Z254" i="3"/>
  <c r="U253" i="3" l="1"/>
  <c r="Y252" i="3"/>
  <c r="T254" i="3"/>
  <c r="AH254" i="3" s="1"/>
  <c r="D254" i="3" l="1"/>
  <c r="G254" i="3" s="1"/>
  <c r="E254" i="3"/>
  <c r="H254" i="3" s="1"/>
  <c r="K254" i="3" s="1"/>
  <c r="AE254" i="3" s="1"/>
  <c r="AG254" i="3"/>
  <c r="F254" i="3" l="1"/>
  <c r="I254" i="3"/>
  <c r="J254" i="3"/>
  <c r="M254" i="3"/>
  <c r="N254" i="3" s="1"/>
  <c r="V254" i="3"/>
  <c r="A255" i="3"/>
  <c r="B255" i="3" s="1"/>
  <c r="W254" i="3" l="1"/>
  <c r="L254" i="3"/>
  <c r="AD254" i="3"/>
  <c r="AA255" i="3"/>
  <c r="AC255" i="3"/>
  <c r="AD255" i="3"/>
  <c r="Z255" i="3"/>
  <c r="P255" i="3"/>
  <c r="Q255" i="3" s="1"/>
  <c r="R255" i="3" s="1"/>
  <c r="S255" i="3" s="1"/>
  <c r="U254" i="3" l="1"/>
  <c r="Y253" i="3"/>
  <c r="T255" i="3"/>
  <c r="D255" i="3" l="1"/>
  <c r="G255" i="3" s="1"/>
  <c r="AG255" i="3"/>
  <c r="AH255" i="3"/>
  <c r="E255" i="3"/>
  <c r="H255" i="3" s="1"/>
  <c r="K255" i="3" s="1"/>
  <c r="AE255" i="3" s="1"/>
  <c r="F255" i="3" l="1"/>
  <c r="I255" i="3"/>
  <c r="J255" i="3"/>
  <c r="M255" i="3"/>
  <c r="N255" i="3" s="1"/>
  <c r="V255" i="3"/>
  <c r="A256" i="3"/>
  <c r="B256" i="3" s="1"/>
  <c r="W255" i="3" l="1"/>
  <c r="L255" i="3"/>
  <c r="AA256" i="3"/>
  <c r="AD256" i="3"/>
  <c r="P256" i="3"/>
  <c r="Q256" i="3" s="1"/>
  <c r="R256" i="3" s="1"/>
  <c r="S256" i="3" s="1"/>
  <c r="Z256" i="3"/>
  <c r="AC256" i="3"/>
  <c r="U255" i="3" l="1"/>
  <c r="Y254" i="3"/>
  <c r="T256" i="3"/>
  <c r="D256" i="3" l="1"/>
  <c r="G256" i="3" s="1"/>
  <c r="E256" i="3"/>
  <c r="H256" i="3" s="1"/>
  <c r="AH256" i="3"/>
  <c r="AG256" i="3"/>
  <c r="F256" i="3" l="1"/>
  <c r="I256" i="3"/>
  <c r="J256" i="3"/>
  <c r="M256" i="3"/>
  <c r="N256" i="3" s="1"/>
  <c r="K256" i="3"/>
  <c r="AE256" i="3" s="1"/>
  <c r="L256" i="3" l="1"/>
  <c r="V256" i="3"/>
  <c r="W256" i="3" s="1"/>
  <c r="A257" i="3"/>
  <c r="B257" i="3" s="1"/>
  <c r="U256" i="3" l="1"/>
  <c r="Y255" i="3"/>
  <c r="AD257" i="3"/>
  <c r="AC257" i="3"/>
  <c r="Z257" i="3"/>
  <c r="P257" i="3"/>
  <c r="Q257" i="3" s="1"/>
  <c r="R257" i="3" s="1"/>
  <c r="S257" i="3" s="1"/>
  <c r="AA257" i="3"/>
  <c r="T257" i="3" l="1"/>
  <c r="D257" i="3" s="1"/>
  <c r="E257" i="3" l="1"/>
  <c r="H257" i="3" s="1"/>
  <c r="K257" i="3" s="1"/>
  <c r="AE257" i="3" s="1"/>
  <c r="AG257" i="3"/>
  <c r="AH257" i="3"/>
  <c r="G257" i="3"/>
  <c r="F257" i="3" l="1"/>
  <c r="V257" i="3"/>
  <c r="A258" i="3"/>
  <c r="B258" i="3" s="1"/>
  <c r="I257" i="3"/>
  <c r="J257" i="3"/>
  <c r="M257" i="3"/>
  <c r="N257" i="3" s="1"/>
  <c r="W257" i="3" l="1"/>
  <c r="L257" i="3"/>
  <c r="AC258" i="3"/>
  <c r="AD258" i="3"/>
  <c r="Z258" i="3"/>
  <c r="P258" i="3"/>
  <c r="Q258" i="3" s="1"/>
  <c r="R258" i="3" s="1"/>
  <c r="S258" i="3" s="1"/>
  <c r="AA258" i="3"/>
  <c r="U257" i="3" l="1"/>
  <c r="Y256" i="3"/>
  <c r="T258" i="3"/>
  <c r="AG258" i="3" s="1"/>
  <c r="E258" i="3" l="1"/>
  <c r="H258" i="3" s="1"/>
  <c r="D258" i="3"/>
  <c r="AH258" i="3"/>
  <c r="F258" i="3" l="1"/>
  <c r="G258" i="3"/>
  <c r="K258" i="3"/>
  <c r="AE258" i="3" s="1"/>
  <c r="V258" i="3" l="1"/>
  <c r="A259" i="3"/>
  <c r="B259" i="3" s="1"/>
  <c r="I258" i="3"/>
  <c r="J258" i="3"/>
  <c r="M258" i="3"/>
  <c r="N258" i="3" s="1"/>
  <c r="L258" i="3" l="1"/>
  <c r="AC259" i="3"/>
  <c r="P259" i="3"/>
  <c r="Q259" i="3" s="1"/>
  <c r="R259" i="3" s="1"/>
  <c r="S259" i="3" s="1"/>
  <c r="Z259" i="3"/>
  <c r="AD259" i="3"/>
  <c r="AA259" i="3"/>
  <c r="W258" i="3"/>
  <c r="U258" i="3" l="1"/>
  <c r="Y257" i="3"/>
  <c r="T259" i="3"/>
  <c r="AH259" i="3" s="1"/>
  <c r="D259" i="3" l="1"/>
  <c r="G259" i="3" s="1"/>
  <c r="AG259" i="3"/>
  <c r="E259" i="3"/>
  <c r="H259" i="3" s="1"/>
  <c r="K259" i="3" s="1"/>
  <c r="AE259" i="3" s="1"/>
  <c r="F259" i="3" l="1"/>
  <c r="I259" i="3"/>
  <c r="J259" i="3"/>
  <c r="M259" i="3"/>
  <c r="N259" i="3" s="1"/>
  <c r="V259" i="3"/>
  <c r="A260" i="3"/>
  <c r="B260" i="3" s="1"/>
  <c r="W259" i="3" l="1"/>
  <c r="L259" i="3"/>
  <c r="AA260" i="3"/>
  <c r="P260" i="3"/>
  <c r="Q260" i="3" s="1"/>
  <c r="R260" i="3" s="1"/>
  <c r="S260" i="3" s="1"/>
  <c r="AD260" i="3"/>
  <c r="Z260" i="3"/>
  <c r="AC260" i="3"/>
  <c r="U259" i="3" l="1"/>
  <c r="Y258" i="3"/>
  <c r="T260" i="3"/>
  <c r="AH260" i="3" s="1"/>
  <c r="AG260" i="3" l="1"/>
  <c r="D260" i="3"/>
  <c r="E260" i="3"/>
  <c r="H260" i="3" s="1"/>
  <c r="K260" i="3" l="1"/>
  <c r="AE260" i="3" s="1"/>
  <c r="F260" i="3"/>
  <c r="G260" i="3"/>
  <c r="I260" i="3" l="1"/>
  <c r="J260" i="3"/>
  <c r="M260" i="3"/>
  <c r="N260" i="3" s="1"/>
  <c r="V260" i="3"/>
  <c r="A261" i="3"/>
  <c r="B261" i="3" s="1"/>
  <c r="W260" i="3" l="1"/>
  <c r="L260" i="3"/>
  <c r="Z261" i="3"/>
  <c r="AA261" i="3"/>
  <c r="AD261" i="3"/>
  <c r="P261" i="3"/>
  <c r="Q261" i="3" s="1"/>
  <c r="R261" i="3" s="1"/>
  <c r="S261" i="3" s="1"/>
  <c r="AC261" i="3"/>
  <c r="U260" i="3" l="1"/>
  <c r="Y259" i="3"/>
  <c r="T261" i="3"/>
  <c r="AH261" i="3" s="1"/>
  <c r="E261" i="3" l="1"/>
  <c r="H261" i="3" s="1"/>
  <c r="D261" i="3"/>
  <c r="AG261" i="3"/>
  <c r="K261" i="3" l="1"/>
  <c r="AE261" i="3" s="1"/>
  <c r="F261" i="3"/>
  <c r="G261" i="3"/>
  <c r="I261" i="3" l="1"/>
  <c r="J261" i="3"/>
  <c r="M261" i="3"/>
  <c r="N261" i="3" s="1"/>
  <c r="V261" i="3"/>
  <c r="A262" i="3"/>
  <c r="B262" i="3" s="1"/>
  <c r="W261" i="3" l="1"/>
  <c r="L261" i="3"/>
  <c r="AA262" i="3"/>
  <c r="Z262" i="3"/>
  <c r="P262" i="3"/>
  <c r="Q262" i="3" s="1"/>
  <c r="R262" i="3" s="1"/>
  <c r="S262" i="3" s="1"/>
  <c r="AC262" i="3"/>
  <c r="AD262" i="3"/>
  <c r="T262" i="3" l="1"/>
  <c r="AG262" i="3" s="1"/>
  <c r="U261" i="3"/>
  <c r="Y260" i="3"/>
  <c r="E262" i="3" l="1"/>
  <c r="H262" i="3" s="1"/>
  <c r="K262" i="3" s="1"/>
  <c r="AE262" i="3" s="1"/>
  <c r="AH262" i="3"/>
  <c r="D262" i="3"/>
  <c r="F262" i="3" l="1"/>
  <c r="G262" i="3"/>
  <c r="V262" i="3"/>
  <c r="A263" i="3"/>
  <c r="B263" i="3" s="1"/>
  <c r="P263" i="3" l="1"/>
  <c r="Q263" i="3" s="1"/>
  <c r="R263" i="3" s="1"/>
  <c r="S263" i="3" s="1"/>
  <c r="AA263" i="3"/>
  <c r="Z263" i="3"/>
  <c r="AD263" i="3"/>
  <c r="AC263" i="3"/>
  <c r="I262" i="3"/>
  <c r="W262" i="3" s="1"/>
  <c r="J262" i="3"/>
  <c r="M262" i="3"/>
  <c r="N262" i="3" s="1"/>
  <c r="L262" i="3" l="1"/>
  <c r="T263" i="3"/>
  <c r="U262" i="3" l="1"/>
  <c r="E263" i="3" s="1"/>
  <c r="H263" i="3" s="1"/>
  <c r="AH263" i="3"/>
  <c r="AG263" i="3"/>
  <c r="Y261" i="3"/>
  <c r="D263" i="3" l="1"/>
  <c r="G263" i="3" s="1"/>
  <c r="K263" i="3"/>
  <c r="AE263" i="3" s="1"/>
  <c r="F263" i="3" l="1"/>
  <c r="V263" i="3"/>
  <c r="A264" i="3"/>
  <c r="B264" i="3" s="1"/>
  <c r="I263" i="3"/>
  <c r="J263" i="3"/>
  <c r="M263" i="3"/>
  <c r="N263" i="3" s="1"/>
  <c r="W263" i="3" l="1"/>
  <c r="L263" i="3"/>
  <c r="P264" i="3"/>
  <c r="Q264" i="3" s="1"/>
  <c r="R264" i="3" s="1"/>
  <c r="S264" i="3" s="1"/>
  <c r="AA264" i="3"/>
  <c r="AC264" i="3"/>
  <c r="Z264" i="3"/>
  <c r="U263" i="3" l="1"/>
  <c r="Y262" i="3"/>
  <c r="T264" i="3"/>
  <c r="AH264" i="3" s="1"/>
  <c r="AG264" i="3" l="1"/>
  <c r="D264" i="3"/>
  <c r="G264" i="3" s="1"/>
  <c r="E264" i="3"/>
  <c r="H264" i="3" s="1"/>
  <c r="K264" i="3" l="1"/>
  <c r="AE264" i="3" s="1"/>
  <c r="I264" i="3"/>
  <c r="J264" i="3"/>
  <c r="AD264" i="3" s="1"/>
  <c r="M264" i="3"/>
  <c r="N264" i="3" s="1"/>
  <c r="F264" i="3"/>
  <c r="L264" i="3" l="1"/>
  <c r="V264" i="3"/>
  <c r="W264" i="3" s="1"/>
  <c r="A265" i="3"/>
  <c r="B265" i="3" s="1"/>
  <c r="U264" i="3" l="1"/>
  <c r="Y263" i="3"/>
  <c r="P265" i="3"/>
  <c r="Q265" i="3" s="1"/>
  <c r="R265" i="3" s="1"/>
  <c r="S265" i="3" s="1"/>
  <c r="AA265" i="3"/>
  <c r="AD265" i="3"/>
  <c r="Z265" i="3"/>
  <c r="AC265" i="3"/>
  <c r="T265" i="3" l="1"/>
  <c r="AG265" i="3" l="1"/>
  <c r="AH265" i="3"/>
  <c r="D265" i="3"/>
  <c r="E265" i="3"/>
  <c r="H265" i="3" s="1"/>
  <c r="F265" i="3" l="1"/>
  <c r="G265" i="3"/>
  <c r="K265" i="3"/>
  <c r="AE265" i="3" s="1"/>
  <c r="I265" i="3" l="1"/>
  <c r="J265" i="3"/>
  <c r="M265" i="3"/>
  <c r="N265" i="3" s="1"/>
  <c r="V265" i="3"/>
  <c r="A266" i="3"/>
  <c r="B266" i="3" s="1"/>
  <c r="L265" i="3" l="1"/>
  <c r="W265" i="3"/>
  <c r="P266" i="3"/>
  <c r="Q266" i="3" s="1"/>
  <c r="R266" i="3" s="1"/>
  <c r="S266" i="3" s="1"/>
  <c r="AC266" i="3"/>
  <c r="Z266" i="3"/>
  <c r="AA266" i="3"/>
  <c r="AD266" i="3"/>
  <c r="T266" i="3" l="1"/>
  <c r="U265" i="3"/>
  <c r="Y264" i="3"/>
  <c r="E266" i="3" l="1"/>
  <c r="H266" i="3" s="1"/>
  <c r="K266" i="3" s="1"/>
  <c r="AE266" i="3" s="1"/>
  <c r="AH266" i="3"/>
  <c r="AG266" i="3"/>
  <c r="D266" i="3"/>
  <c r="V266" i="3" l="1"/>
  <c r="A267" i="3"/>
  <c r="B267" i="3" s="1"/>
  <c r="F266" i="3"/>
  <c r="G266" i="3"/>
  <c r="I266" i="3" l="1"/>
  <c r="W266" i="3" s="1"/>
  <c r="J266" i="3"/>
  <c r="M266" i="3"/>
  <c r="N266" i="3" s="1"/>
  <c r="AC267" i="3"/>
  <c r="P267" i="3"/>
  <c r="Q267" i="3" s="1"/>
  <c r="R267" i="3" s="1"/>
  <c r="S267" i="3" s="1"/>
  <c r="AA267" i="3"/>
  <c r="Z267" i="3"/>
  <c r="AD267" i="3"/>
  <c r="T267" i="3" l="1"/>
  <c r="L266" i="3"/>
  <c r="AH267" i="3" l="1"/>
  <c r="AG267" i="3"/>
  <c r="U266" i="3"/>
  <c r="E267" i="3" s="1"/>
  <c r="H267" i="3" s="1"/>
  <c r="Y265" i="3"/>
  <c r="K267" i="3" l="1"/>
  <c r="AE267" i="3" s="1"/>
  <c r="D267" i="3"/>
  <c r="V267" i="3" l="1"/>
  <c r="A268" i="3"/>
  <c r="B268" i="3" s="1"/>
  <c r="F267" i="3"/>
  <c r="G267" i="3"/>
  <c r="I267" i="3" l="1"/>
  <c r="W267" i="3" s="1"/>
  <c r="J267" i="3"/>
  <c r="M267" i="3"/>
  <c r="N267" i="3" s="1"/>
  <c r="AC268" i="3"/>
  <c r="P268" i="3"/>
  <c r="Q268" i="3" s="1"/>
  <c r="R268" i="3" s="1"/>
  <c r="S268" i="3" s="1"/>
  <c r="Z268" i="3"/>
  <c r="AA268" i="3"/>
  <c r="AD268" i="3"/>
  <c r="T268" i="3" l="1"/>
  <c r="L267" i="3"/>
  <c r="U267" i="3" l="1"/>
  <c r="E268" i="3" s="1"/>
  <c r="H268" i="3" s="1"/>
  <c r="AH268" i="3"/>
  <c r="AG268" i="3"/>
  <c r="Y266" i="3"/>
  <c r="K268" i="3" l="1"/>
  <c r="AE268" i="3" s="1"/>
  <c r="D268" i="3"/>
  <c r="V268" i="3" l="1"/>
  <c r="A269" i="3"/>
  <c r="B269" i="3" s="1"/>
  <c r="F268" i="3"/>
  <c r="G268" i="3"/>
  <c r="I268" i="3" l="1"/>
  <c r="W268" i="3" s="1"/>
  <c r="J268" i="3"/>
  <c r="M268" i="3"/>
  <c r="N268" i="3" s="1"/>
  <c r="AD269" i="3"/>
  <c r="P269" i="3"/>
  <c r="Q269" i="3" s="1"/>
  <c r="R269" i="3" s="1"/>
  <c r="S269" i="3" s="1"/>
  <c r="AA269" i="3"/>
  <c r="Z269" i="3"/>
  <c r="AC269" i="3"/>
  <c r="T269" i="3" l="1"/>
  <c r="L268" i="3"/>
  <c r="U268" i="3" l="1"/>
  <c r="D269" i="3" s="1"/>
  <c r="AH269" i="3"/>
  <c r="AG269" i="3"/>
  <c r="Y267" i="3"/>
  <c r="G269" i="3" l="1"/>
  <c r="E269" i="3"/>
  <c r="H269" i="3" s="1"/>
  <c r="F269" i="3" l="1"/>
  <c r="I269" i="3"/>
  <c r="J269" i="3"/>
  <c r="M269" i="3"/>
  <c r="N269" i="3" s="1"/>
  <c r="K269" i="3"/>
  <c r="AE269" i="3" s="1"/>
  <c r="V269" i="3" l="1"/>
  <c r="W269" i="3" s="1"/>
  <c r="A270" i="3"/>
  <c r="B270" i="3" s="1"/>
  <c r="L269" i="3"/>
  <c r="U269" i="3" l="1"/>
  <c r="Y268" i="3"/>
  <c r="AA270" i="3"/>
  <c r="Z270" i="3"/>
  <c r="P270" i="3"/>
  <c r="Q270" i="3" s="1"/>
  <c r="R270" i="3" s="1"/>
  <c r="S270" i="3" s="1"/>
  <c r="AC270" i="3"/>
  <c r="AD270" i="3"/>
  <c r="T270" i="3" l="1"/>
  <c r="AG270" i="3" s="1"/>
  <c r="AH270" i="3" l="1"/>
  <c r="E270" i="3"/>
  <c r="H270" i="3" s="1"/>
  <c r="K270" i="3" s="1"/>
  <c r="AE270" i="3" s="1"/>
  <c r="D270" i="3"/>
  <c r="G270" i="3" s="1"/>
  <c r="F270" i="3" l="1"/>
  <c r="V270" i="3"/>
  <c r="A271" i="3"/>
  <c r="B271" i="3" s="1"/>
  <c r="I270" i="3"/>
  <c r="J270" i="3"/>
  <c r="M270" i="3"/>
  <c r="N270" i="3" s="1"/>
  <c r="L270" i="3" l="1"/>
  <c r="Z271" i="3"/>
  <c r="AA271" i="3"/>
  <c r="P271" i="3"/>
  <c r="Q271" i="3" s="1"/>
  <c r="R271" i="3" s="1"/>
  <c r="S271" i="3" s="1"/>
  <c r="AC271" i="3"/>
  <c r="AD271" i="3"/>
  <c r="W270" i="3"/>
  <c r="U270" i="3" l="1"/>
  <c r="Y269" i="3"/>
  <c r="T271" i="3"/>
  <c r="AH271" i="3" s="1"/>
  <c r="AG271" i="3" l="1"/>
  <c r="D271" i="3"/>
  <c r="E271" i="3"/>
  <c r="H271" i="3" s="1"/>
  <c r="K271" i="3" l="1"/>
  <c r="AE271" i="3" s="1"/>
  <c r="F271" i="3"/>
  <c r="G271" i="3"/>
  <c r="I271" i="3" l="1"/>
  <c r="J271" i="3"/>
  <c r="M271" i="3"/>
  <c r="N271" i="3" s="1"/>
  <c r="V271" i="3"/>
  <c r="A272" i="3"/>
  <c r="B272" i="3" s="1"/>
  <c r="W271" i="3" l="1"/>
  <c r="L271" i="3"/>
  <c r="AD272" i="3"/>
  <c r="Z272" i="3"/>
  <c r="AA272" i="3"/>
  <c r="P272" i="3"/>
  <c r="Q272" i="3" s="1"/>
  <c r="R272" i="3" s="1"/>
  <c r="S272" i="3" s="1"/>
  <c r="AC272" i="3"/>
  <c r="T272" i="3" l="1"/>
  <c r="U271" i="3"/>
  <c r="Y270" i="3"/>
  <c r="D272" i="3" l="1"/>
  <c r="G272" i="3" s="1"/>
  <c r="E272" i="3"/>
  <c r="H272" i="3" s="1"/>
  <c r="K272" i="3" s="1"/>
  <c r="AE272" i="3" s="1"/>
  <c r="AG272" i="3"/>
  <c r="AH272" i="3"/>
  <c r="F272" i="3" l="1"/>
  <c r="I272" i="3"/>
  <c r="J272" i="3"/>
  <c r="M272" i="3"/>
  <c r="N272" i="3" s="1"/>
  <c r="V272" i="3"/>
  <c r="A273" i="3"/>
  <c r="B273" i="3" s="1"/>
  <c r="W272" i="3" l="1"/>
  <c r="L272" i="3"/>
  <c r="AA273" i="3"/>
  <c r="P273" i="3"/>
  <c r="Q273" i="3" s="1"/>
  <c r="R273" i="3" s="1"/>
  <c r="S273" i="3" s="1"/>
  <c r="Z273" i="3"/>
  <c r="AC273" i="3"/>
  <c r="AD273" i="3"/>
  <c r="T273" i="3" l="1"/>
  <c r="AG273" i="3" s="1"/>
  <c r="U272" i="3"/>
  <c r="Y271" i="3"/>
  <c r="D273" i="3" l="1"/>
  <c r="G273" i="3" s="1"/>
  <c r="AH273" i="3"/>
  <c r="E273" i="3"/>
  <c r="H273" i="3" s="1"/>
  <c r="F273" i="3" l="1"/>
  <c r="I273" i="3"/>
  <c r="J273" i="3"/>
  <c r="M273" i="3"/>
  <c r="N273" i="3" s="1"/>
  <c r="K273" i="3"/>
  <c r="AE273" i="3" s="1"/>
  <c r="L273" i="3" l="1"/>
  <c r="V273" i="3"/>
  <c r="W273" i="3" s="1"/>
  <c r="A274" i="3"/>
  <c r="B274" i="3" s="1"/>
  <c r="P274" i="3" l="1"/>
  <c r="Q274" i="3" s="1"/>
  <c r="R274" i="3" s="1"/>
  <c r="S274" i="3" s="1"/>
  <c r="AC274" i="3"/>
  <c r="Z274" i="3"/>
  <c r="AA274" i="3"/>
  <c r="U273" i="3"/>
  <c r="Y272" i="3"/>
  <c r="T274" i="3" l="1"/>
  <c r="AG274" i="3" s="1"/>
  <c r="D274" i="3" l="1"/>
  <c r="G274" i="3" s="1"/>
  <c r="AH274" i="3"/>
  <c r="E274" i="3"/>
  <c r="H274" i="3" s="1"/>
  <c r="I274" i="3" l="1"/>
  <c r="J274" i="3"/>
  <c r="AD274" i="3" s="1"/>
  <c r="M274" i="3"/>
  <c r="N274" i="3" s="1"/>
  <c r="K274" i="3"/>
  <c r="AE274" i="3" s="1"/>
  <c r="F274" i="3"/>
  <c r="L274" i="3" l="1"/>
  <c r="V274" i="3"/>
  <c r="W274" i="3" s="1"/>
  <c r="A275" i="3"/>
  <c r="B275" i="3" s="1"/>
  <c r="U274" i="3" l="1"/>
  <c r="Y273" i="3"/>
  <c r="AA275" i="3"/>
  <c r="P275" i="3"/>
  <c r="Q275" i="3" s="1"/>
  <c r="R275" i="3" s="1"/>
  <c r="S275" i="3" s="1"/>
  <c r="AD275" i="3"/>
  <c r="Z275" i="3"/>
  <c r="AC275" i="3"/>
  <c r="T275" i="3" l="1"/>
  <c r="AH275" i="3" s="1"/>
  <c r="E275" i="3" l="1"/>
  <c r="H275" i="3" s="1"/>
  <c r="AG275" i="3"/>
  <c r="D275" i="3"/>
  <c r="F275" i="3" l="1"/>
  <c r="G275" i="3"/>
  <c r="K275" i="3"/>
  <c r="AE275" i="3" s="1"/>
  <c r="I275" i="3" l="1"/>
  <c r="J275" i="3"/>
  <c r="M275" i="3"/>
  <c r="N275" i="3" s="1"/>
  <c r="V275" i="3"/>
  <c r="A276" i="3"/>
  <c r="B276" i="3" s="1"/>
  <c r="W275" i="3" l="1"/>
  <c r="L275" i="3"/>
  <c r="AA276" i="3"/>
  <c r="Z276" i="3"/>
  <c r="P276" i="3"/>
  <c r="Q276" i="3" s="1"/>
  <c r="R276" i="3" s="1"/>
  <c r="S276" i="3" s="1"/>
  <c r="AC276" i="3"/>
  <c r="AD276" i="3"/>
  <c r="U275" i="3" l="1"/>
  <c r="Y274" i="3"/>
  <c r="T276" i="3"/>
  <c r="AH276" i="3" s="1"/>
  <c r="D276" i="3" l="1"/>
  <c r="AG276" i="3"/>
  <c r="E276" i="3"/>
  <c r="H276" i="3" s="1"/>
  <c r="F276" i="3" l="1"/>
  <c r="G276" i="3"/>
  <c r="K276" i="3"/>
  <c r="AE276" i="3" s="1"/>
  <c r="I276" i="3" l="1"/>
  <c r="J276" i="3"/>
  <c r="M276" i="3"/>
  <c r="N276" i="3" s="1"/>
  <c r="V276" i="3"/>
  <c r="A277" i="3"/>
  <c r="B277" i="3" s="1"/>
  <c r="W276" i="3" l="1"/>
  <c r="L276" i="3"/>
  <c r="P277" i="3"/>
  <c r="Q277" i="3" s="1"/>
  <c r="R277" i="3" s="1"/>
  <c r="S277" i="3" s="1"/>
  <c r="AC277" i="3"/>
  <c r="Z277" i="3"/>
  <c r="AD277" i="3"/>
  <c r="AA277" i="3"/>
  <c r="U276" i="3" l="1"/>
  <c r="Y275" i="3"/>
  <c r="T277" i="3"/>
  <c r="AG277" i="3" s="1"/>
  <c r="D277" i="3" l="1"/>
  <c r="G277" i="3" s="1"/>
  <c r="E277" i="3"/>
  <c r="H277" i="3" s="1"/>
  <c r="K277" i="3" s="1"/>
  <c r="AE277" i="3" s="1"/>
  <c r="AH277" i="3"/>
  <c r="F277" i="3" l="1"/>
  <c r="V277" i="3"/>
  <c r="A278" i="3"/>
  <c r="B278" i="3" s="1"/>
  <c r="I277" i="3"/>
  <c r="J277" i="3"/>
  <c r="M277" i="3"/>
  <c r="N277" i="3" s="1"/>
  <c r="W277" i="3" l="1"/>
  <c r="L277" i="3"/>
  <c r="AD278" i="3"/>
  <c r="AC278" i="3"/>
  <c r="Z278" i="3"/>
  <c r="P278" i="3"/>
  <c r="Q278" i="3" s="1"/>
  <c r="R278" i="3" s="1"/>
  <c r="S278" i="3" s="1"/>
  <c r="AA278" i="3"/>
  <c r="T278" i="3" l="1"/>
  <c r="U277" i="3"/>
  <c r="Y276" i="3"/>
  <c r="E278" i="3" l="1"/>
  <c r="H278" i="3" s="1"/>
  <c r="K278" i="3" s="1"/>
  <c r="AE278" i="3" s="1"/>
  <c r="D278" i="3"/>
  <c r="AH278" i="3"/>
  <c r="AG278" i="3"/>
  <c r="V278" i="3" l="1"/>
  <c r="A279" i="3"/>
  <c r="B279" i="3" s="1"/>
  <c r="F278" i="3"/>
  <c r="G278" i="3"/>
  <c r="I278" i="3" l="1"/>
  <c r="W278" i="3" s="1"/>
  <c r="J278" i="3"/>
  <c r="M278" i="3"/>
  <c r="N278" i="3" s="1"/>
  <c r="P279" i="3"/>
  <c r="Q279" i="3" s="1"/>
  <c r="R279" i="3" s="1"/>
  <c r="S279" i="3" s="1"/>
  <c r="AA279" i="3"/>
  <c r="AD279" i="3"/>
  <c r="Z279" i="3"/>
  <c r="AC279" i="3"/>
  <c r="T279" i="3" l="1"/>
  <c r="L278" i="3"/>
  <c r="U278" i="3" l="1"/>
  <c r="D279" i="3" s="1"/>
  <c r="AG279" i="3"/>
  <c r="AH279" i="3"/>
  <c r="Y277" i="3"/>
  <c r="G279" i="3" l="1"/>
  <c r="E279" i="3"/>
  <c r="H279" i="3" s="1"/>
  <c r="I279" i="3" l="1"/>
  <c r="J279" i="3"/>
  <c r="M279" i="3"/>
  <c r="N279" i="3" s="1"/>
  <c r="F279" i="3"/>
  <c r="K279" i="3"/>
  <c r="AE279" i="3" s="1"/>
  <c r="V279" i="3" l="1"/>
  <c r="W279" i="3" s="1"/>
  <c r="A280" i="3"/>
  <c r="B280" i="3" s="1"/>
  <c r="L279" i="3"/>
  <c r="U279" i="3" l="1"/>
  <c r="Y278" i="3"/>
  <c r="AA280" i="3"/>
  <c r="P280" i="3"/>
  <c r="Q280" i="3" s="1"/>
  <c r="R280" i="3" s="1"/>
  <c r="S280" i="3" s="1"/>
  <c r="AD280" i="3"/>
  <c r="AC280" i="3"/>
  <c r="Z280" i="3"/>
  <c r="T280" i="3" l="1"/>
  <c r="AH280" i="3" s="1"/>
  <c r="D280" i="3" l="1"/>
  <c r="G280" i="3" s="1"/>
  <c r="E280" i="3"/>
  <c r="H280" i="3" s="1"/>
  <c r="K280" i="3" s="1"/>
  <c r="AE280" i="3" s="1"/>
  <c r="AG280" i="3"/>
  <c r="F280" i="3" l="1"/>
  <c r="I280" i="3"/>
  <c r="J280" i="3"/>
  <c r="M280" i="3"/>
  <c r="N280" i="3" s="1"/>
  <c r="V280" i="3"/>
  <c r="A281" i="3"/>
  <c r="B281" i="3" s="1"/>
  <c r="L280" i="3" l="1"/>
  <c r="W280" i="3"/>
  <c r="AC281" i="3"/>
  <c r="AA281" i="3"/>
  <c r="P281" i="3"/>
  <c r="Q281" i="3" s="1"/>
  <c r="R281" i="3" s="1"/>
  <c r="S281" i="3" s="1"/>
  <c r="AD281" i="3"/>
  <c r="Z281" i="3"/>
  <c r="T281" i="3" l="1"/>
  <c r="AG281" i="3" s="1"/>
  <c r="U280" i="3"/>
  <c r="Y279" i="3"/>
  <c r="D281" i="3" l="1"/>
  <c r="E281" i="3"/>
  <c r="H281" i="3" s="1"/>
  <c r="AH281" i="3"/>
  <c r="F281" i="3" l="1"/>
  <c r="G281" i="3"/>
  <c r="K281" i="3"/>
  <c r="AE281" i="3" s="1"/>
  <c r="I281" i="3" l="1"/>
  <c r="J281" i="3"/>
  <c r="M281" i="3"/>
  <c r="N281" i="3" s="1"/>
  <c r="V281" i="3"/>
  <c r="A282" i="3"/>
  <c r="B282" i="3" s="1"/>
  <c r="W281" i="3" l="1"/>
  <c r="L281" i="3"/>
  <c r="AC282" i="3"/>
  <c r="Z282" i="3"/>
  <c r="AD282" i="3"/>
  <c r="P282" i="3"/>
  <c r="Q282" i="3" s="1"/>
  <c r="R282" i="3" s="1"/>
  <c r="S282" i="3" s="1"/>
  <c r="AA282" i="3"/>
  <c r="U281" i="3" l="1"/>
  <c r="Y280" i="3"/>
  <c r="T282" i="3"/>
  <c r="D282" i="3" l="1"/>
  <c r="G282" i="3" s="1"/>
  <c r="E282" i="3"/>
  <c r="H282" i="3" s="1"/>
  <c r="AH282" i="3"/>
  <c r="AG282" i="3"/>
  <c r="F282" i="3" l="1"/>
  <c r="I282" i="3"/>
  <c r="J282" i="3"/>
  <c r="M282" i="3"/>
  <c r="N282" i="3" s="1"/>
  <c r="K282" i="3"/>
  <c r="AE282" i="3" s="1"/>
  <c r="V282" i="3" l="1"/>
  <c r="W282" i="3" s="1"/>
  <c r="A283" i="3"/>
  <c r="B283" i="3" s="1"/>
  <c r="L282" i="3"/>
  <c r="U282" i="3" l="1"/>
  <c r="Y281" i="3"/>
  <c r="Z283" i="3"/>
  <c r="AC283" i="3"/>
  <c r="AD283" i="3"/>
  <c r="P283" i="3"/>
  <c r="Q283" i="3" s="1"/>
  <c r="R283" i="3" s="1"/>
  <c r="S283" i="3" s="1"/>
  <c r="AA283" i="3"/>
  <c r="T283" i="3" l="1"/>
  <c r="AH283" i="3" s="1"/>
  <c r="AG283" i="3" l="1"/>
  <c r="E283" i="3"/>
  <c r="H283" i="3" s="1"/>
  <c r="K283" i="3" s="1"/>
  <c r="AE283" i="3" s="1"/>
  <c r="D283" i="3"/>
  <c r="F283" i="3" l="1"/>
  <c r="G283" i="3"/>
  <c r="J283" i="3" s="1"/>
  <c r="V283" i="3"/>
  <c r="A284" i="3"/>
  <c r="B284" i="3" s="1"/>
  <c r="M283" i="3" l="1"/>
  <c r="N283" i="3" s="1"/>
  <c r="I283" i="3"/>
  <c r="W283" i="3" s="1"/>
  <c r="L283" i="3"/>
  <c r="AC284" i="3"/>
  <c r="AA284" i="3"/>
  <c r="P284" i="3"/>
  <c r="Q284" i="3" s="1"/>
  <c r="R284" i="3" s="1"/>
  <c r="S284" i="3" s="1"/>
  <c r="Z284" i="3"/>
  <c r="T284" i="3" l="1"/>
  <c r="AH284" i="3" s="1"/>
  <c r="U283" i="3"/>
  <c r="Y282" i="3"/>
  <c r="AG284" i="3" l="1"/>
  <c r="D284" i="3"/>
  <c r="E284" i="3"/>
  <c r="H284" i="3" s="1"/>
  <c r="F284" i="3" l="1"/>
  <c r="G284" i="3"/>
  <c r="K284" i="3"/>
  <c r="AE284" i="3" s="1"/>
  <c r="V284" i="3" l="1"/>
  <c r="A285" i="3"/>
  <c r="B285" i="3" s="1"/>
  <c r="I284" i="3"/>
  <c r="J284" i="3"/>
  <c r="AD284" i="3" s="1"/>
  <c r="M284" i="3"/>
  <c r="N284" i="3" s="1"/>
  <c r="W284" i="3" l="1"/>
  <c r="L284" i="3"/>
  <c r="AA285" i="3"/>
  <c r="P285" i="3"/>
  <c r="Q285" i="3" s="1"/>
  <c r="R285" i="3" s="1"/>
  <c r="S285" i="3" s="1"/>
  <c r="Z285" i="3"/>
  <c r="AC285" i="3"/>
  <c r="U284" i="3" l="1"/>
  <c r="Y283" i="3"/>
  <c r="T285" i="3"/>
  <c r="E285" i="3" l="1"/>
  <c r="H285" i="3" s="1"/>
  <c r="K285" i="3" s="1"/>
  <c r="AE285" i="3" s="1"/>
  <c r="AH285" i="3"/>
  <c r="D285" i="3"/>
  <c r="G285" i="3" s="1"/>
  <c r="AG285" i="3"/>
  <c r="F285" i="3" l="1"/>
  <c r="V285" i="3"/>
  <c r="A286" i="3"/>
  <c r="B286" i="3" s="1"/>
  <c r="I285" i="3"/>
  <c r="J285" i="3"/>
  <c r="AD285" i="3" s="1"/>
  <c r="M285" i="3"/>
  <c r="N285" i="3" s="1"/>
  <c r="W285" i="3" l="1"/>
  <c r="L285" i="3"/>
  <c r="AA286" i="3"/>
  <c r="P286" i="3"/>
  <c r="Q286" i="3" s="1"/>
  <c r="R286" i="3" s="1"/>
  <c r="S286" i="3" s="1"/>
  <c r="AC286" i="3"/>
  <c r="Z286" i="3"/>
  <c r="T286" i="3" l="1"/>
  <c r="AH286" i="3" s="1"/>
  <c r="U285" i="3"/>
  <c r="Y284" i="3"/>
  <c r="D286" i="3" l="1"/>
  <c r="G286" i="3" s="1"/>
  <c r="AG286" i="3"/>
  <c r="E286" i="3"/>
  <c r="H286" i="3" s="1"/>
  <c r="F286" i="3" l="1"/>
  <c r="I286" i="3"/>
  <c r="J286" i="3"/>
  <c r="AD286" i="3" s="1"/>
  <c r="M286" i="3"/>
  <c r="N286" i="3" s="1"/>
  <c r="K286" i="3"/>
  <c r="AE286" i="3" s="1"/>
  <c r="V286" i="3" l="1"/>
  <c r="W286" i="3" s="1"/>
  <c r="A287" i="3"/>
  <c r="B287" i="3" s="1"/>
  <c r="L286" i="3"/>
  <c r="U286" i="3" l="1"/>
  <c r="Y285" i="3"/>
  <c r="P287" i="3"/>
  <c r="Q287" i="3" s="1"/>
  <c r="R287" i="3" s="1"/>
  <c r="S287" i="3" s="1"/>
  <c r="AA287" i="3"/>
  <c r="Z287" i="3"/>
  <c r="AC287" i="3"/>
  <c r="T287" i="3" l="1"/>
  <c r="D287" i="3" s="1"/>
  <c r="G287" i="3" l="1"/>
  <c r="AH287" i="3"/>
  <c r="AG287" i="3"/>
  <c r="E287" i="3"/>
  <c r="H287" i="3" s="1"/>
  <c r="F287" i="3" l="1"/>
  <c r="K287" i="3"/>
  <c r="AE287" i="3" s="1"/>
  <c r="I287" i="3"/>
  <c r="J287" i="3"/>
  <c r="AD287" i="3" s="1"/>
  <c r="M287" i="3"/>
  <c r="N287" i="3" s="1"/>
  <c r="L287" i="3" l="1"/>
  <c r="V287" i="3"/>
  <c r="W287" i="3" s="1"/>
  <c r="A288" i="3"/>
  <c r="B288" i="3" s="1"/>
  <c r="U287" i="3" l="1"/>
  <c r="Y286" i="3"/>
  <c r="P288" i="3"/>
  <c r="Q288" i="3" s="1"/>
  <c r="R288" i="3" s="1"/>
  <c r="S288" i="3" s="1"/>
  <c r="AA288" i="3"/>
  <c r="AC288" i="3"/>
  <c r="Z288" i="3"/>
  <c r="T288" i="3" l="1"/>
  <c r="D288" i="3" s="1"/>
  <c r="AG288" i="3" l="1"/>
  <c r="AH288" i="3"/>
  <c r="E288" i="3"/>
  <c r="H288" i="3" s="1"/>
  <c r="K288" i="3" s="1"/>
  <c r="AE288" i="3" s="1"/>
  <c r="G288" i="3"/>
  <c r="F288" i="3" l="1"/>
  <c r="I288" i="3"/>
  <c r="J288" i="3"/>
  <c r="AD288" i="3" s="1"/>
  <c r="M288" i="3"/>
  <c r="N288" i="3" s="1"/>
  <c r="V288" i="3"/>
  <c r="A289" i="3"/>
  <c r="B289" i="3" s="1"/>
  <c r="W288" i="3" l="1"/>
  <c r="L288" i="3"/>
  <c r="P289" i="3"/>
  <c r="Q289" i="3" s="1"/>
  <c r="R289" i="3" s="1"/>
  <c r="S289" i="3" s="1"/>
  <c r="AA289" i="3"/>
  <c r="AC289" i="3"/>
  <c r="Z289" i="3"/>
  <c r="T289" i="3" l="1"/>
  <c r="U288" i="3"/>
  <c r="Y287" i="3"/>
  <c r="E289" i="3" l="1"/>
  <c r="H289" i="3" s="1"/>
  <c r="K289" i="3" s="1"/>
  <c r="AE289" i="3" s="1"/>
  <c r="AH289" i="3"/>
  <c r="AG289" i="3"/>
  <c r="D289" i="3"/>
  <c r="V289" i="3" l="1"/>
  <c r="A290" i="3"/>
  <c r="B290" i="3" s="1"/>
  <c r="F289" i="3"/>
  <c r="G289" i="3"/>
  <c r="I289" i="3" l="1"/>
  <c r="W289" i="3" s="1"/>
  <c r="J289" i="3"/>
  <c r="AD289" i="3" s="1"/>
  <c r="M289" i="3"/>
  <c r="N289" i="3" s="1"/>
  <c r="AA290" i="3"/>
  <c r="AC290" i="3"/>
  <c r="Z290" i="3"/>
  <c r="P290" i="3"/>
  <c r="Q290" i="3" s="1"/>
  <c r="R290" i="3" s="1"/>
  <c r="S290" i="3" s="1"/>
  <c r="T290" i="3" l="1"/>
  <c r="L289" i="3"/>
  <c r="U289" i="3" l="1"/>
  <c r="E290" i="3" s="1"/>
  <c r="H290" i="3" s="1"/>
  <c r="AH290" i="3"/>
  <c r="AG290" i="3"/>
  <c r="Y288" i="3"/>
  <c r="D290" i="3" l="1"/>
  <c r="G290" i="3" s="1"/>
  <c r="K290" i="3"/>
  <c r="AE290" i="3" s="1"/>
  <c r="F290" i="3" l="1"/>
  <c r="I290" i="3"/>
  <c r="J290" i="3"/>
  <c r="AD290" i="3" s="1"/>
  <c r="M290" i="3"/>
  <c r="N290" i="3" s="1"/>
  <c r="V290" i="3"/>
  <c r="A291" i="3"/>
  <c r="B291" i="3" s="1"/>
  <c r="L290" i="3" l="1"/>
  <c r="W290" i="3"/>
  <c r="P291" i="3"/>
  <c r="Q291" i="3" s="1"/>
  <c r="R291" i="3" s="1"/>
  <c r="S291" i="3" s="1"/>
  <c r="Z291" i="3"/>
  <c r="AA291" i="3"/>
  <c r="AC291" i="3"/>
  <c r="U290" i="3" l="1"/>
  <c r="Y289" i="3"/>
  <c r="T291" i="3"/>
  <c r="AG291" i="3" s="1"/>
  <c r="D291" i="3" l="1"/>
  <c r="E291" i="3"/>
  <c r="H291" i="3" s="1"/>
  <c r="AH291" i="3"/>
  <c r="K291" i="3" l="1"/>
  <c r="AE291" i="3" s="1"/>
  <c r="F291" i="3"/>
  <c r="G291" i="3"/>
  <c r="I291" i="3" l="1"/>
  <c r="J291" i="3"/>
  <c r="AD291" i="3" s="1"/>
  <c r="M291" i="3"/>
  <c r="N291" i="3" s="1"/>
  <c r="V291" i="3"/>
  <c r="A292" i="3"/>
  <c r="B292" i="3" s="1"/>
  <c r="W291" i="3" l="1"/>
  <c r="L291" i="3"/>
  <c r="Z292" i="3"/>
  <c r="AC292" i="3"/>
  <c r="AA292" i="3"/>
  <c r="P292" i="3"/>
  <c r="Q292" i="3" s="1"/>
  <c r="R292" i="3" s="1"/>
  <c r="S292" i="3" s="1"/>
  <c r="U291" i="3" l="1"/>
  <c r="Y290" i="3"/>
  <c r="T292" i="3"/>
  <c r="E292" i="3" l="1"/>
  <c r="H292" i="3" s="1"/>
  <c r="K292" i="3" s="1"/>
  <c r="AE292" i="3" s="1"/>
  <c r="D292" i="3"/>
  <c r="AG292" i="3"/>
  <c r="AH292" i="3"/>
  <c r="V292" i="3" l="1"/>
  <c r="A293" i="3"/>
  <c r="B293" i="3" s="1"/>
  <c r="F292" i="3"/>
  <c r="G292" i="3"/>
  <c r="I292" i="3" l="1"/>
  <c r="W292" i="3" s="1"/>
  <c r="J292" i="3"/>
  <c r="AD292" i="3" s="1"/>
  <c r="M292" i="3"/>
  <c r="N292" i="3" s="1"/>
  <c r="Z293" i="3"/>
  <c r="AC293" i="3"/>
  <c r="P293" i="3"/>
  <c r="Q293" i="3" s="1"/>
  <c r="R293" i="3" s="1"/>
  <c r="S293" i="3" s="1"/>
  <c r="AA293" i="3"/>
  <c r="L292" i="3" l="1"/>
  <c r="T293" i="3"/>
  <c r="U292" i="3" l="1"/>
  <c r="E293" i="3" s="1"/>
  <c r="H293" i="3" s="1"/>
  <c r="AH293" i="3"/>
  <c r="AG293" i="3"/>
  <c r="Y291" i="3"/>
  <c r="K293" i="3" l="1"/>
  <c r="AE293" i="3" s="1"/>
  <c r="D293" i="3"/>
  <c r="V293" i="3" l="1"/>
  <c r="A294" i="3"/>
  <c r="B294" i="3" s="1"/>
  <c r="F293" i="3"/>
  <c r="G293" i="3"/>
  <c r="I293" i="3" l="1"/>
  <c r="W293" i="3" s="1"/>
  <c r="J293" i="3"/>
  <c r="AD293" i="3" s="1"/>
  <c r="M293" i="3"/>
  <c r="N293" i="3" s="1"/>
  <c r="AA294" i="3"/>
  <c r="P294" i="3"/>
  <c r="Q294" i="3" s="1"/>
  <c r="R294" i="3" s="1"/>
  <c r="S294" i="3" s="1"/>
  <c r="Z294" i="3"/>
  <c r="AC294" i="3"/>
  <c r="L293" i="3" l="1"/>
  <c r="T294" i="3"/>
  <c r="AG294" i="3" l="1"/>
  <c r="U293" i="3"/>
  <c r="E294" i="3" s="1"/>
  <c r="H294" i="3" s="1"/>
  <c r="AH294" i="3"/>
  <c r="Y292" i="3"/>
  <c r="D294" i="3" l="1"/>
  <c r="G294" i="3" s="1"/>
  <c r="K294" i="3"/>
  <c r="AE294" i="3" s="1"/>
  <c r="F294" i="3" l="1"/>
  <c r="I294" i="3"/>
  <c r="J294" i="3"/>
  <c r="AD294" i="3" s="1"/>
  <c r="M294" i="3"/>
  <c r="N294" i="3" s="1"/>
  <c r="V294" i="3"/>
  <c r="A295" i="3"/>
  <c r="B295" i="3" s="1"/>
  <c r="L294" i="3" l="1"/>
  <c r="W294" i="3"/>
  <c r="AA295" i="3"/>
  <c r="AD295" i="3"/>
  <c r="P295" i="3"/>
  <c r="Q295" i="3" s="1"/>
  <c r="R295" i="3" s="1"/>
  <c r="S295" i="3" s="1"/>
  <c r="AC295" i="3"/>
  <c r="Z295" i="3"/>
  <c r="U294" i="3" l="1"/>
  <c r="Y293" i="3"/>
  <c r="T295" i="3"/>
  <c r="AG295" i="3" s="1"/>
  <c r="D295" i="3" l="1"/>
  <c r="AH295" i="3"/>
  <c r="E295" i="3"/>
  <c r="H295" i="3" s="1"/>
  <c r="F295" i="3" l="1"/>
  <c r="G295" i="3"/>
  <c r="K295" i="3"/>
  <c r="AE295" i="3" s="1"/>
  <c r="V295" i="3" l="1"/>
  <c r="A296" i="3"/>
  <c r="B296" i="3" s="1"/>
  <c r="I295" i="3"/>
  <c r="J295" i="3"/>
  <c r="M295" i="3"/>
  <c r="N295" i="3" s="1"/>
  <c r="L295" i="3" l="1"/>
  <c r="AC296" i="3"/>
  <c r="Z296" i="3"/>
  <c r="AD296" i="3"/>
  <c r="P296" i="3"/>
  <c r="Q296" i="3" s="1"/>
  <c r="R296" i="3" s="1"/>
  <c r="S296" i="3" s="1"/>
  <c r="AA296" i="3"/>
  <c r="W295" i="3"/>
  <c r="T296" i="3" l="1"/>
  <c r="U295" i="3"/>
  <c r="Y294" i="3"/>
  <c r="D296" i="3" l="1"/>
  <c r="G296" i="3" s="1"/>
  <c r="AG296" i="3"/>
  <c r="AH296" i="3"/>
  <c r="E296" i="3"/>
  <c r="H296" i="3" s="1"/>
  <c r="F296" i="3" l="1"/>
  <c r="I296" i="3"/>
  <c r="J296" i="3"/>
  <c r="M296" i="3"/>
  <c r="N296" i="3" s="1"/>
  <c r="K296" i="3"/>
  <c r="AE296" i="3" s="1"/>
  <c r="V296" i="3" l="1"/>
  <c r="W296" i="3" s="1"/>
  <c r="A297" i="3"/>
  <c r="B297" i="3" s="1"/>
  <c r="L296" i="3"/>
  <c r="U296" i="3" l="1"/>
  <c r="Y295" i="3"/>
  <c r="AA297" i="3"/>
  <c r="P297" i="3"/>
  <c r="Q297" i="3" s="1"/>
  <c r="R297" i="3" s="1"/>
  <c r="S297" i="3" s="1"/>
  <c r="Z297" i="3"/>
  <c r="AC297" i="3"/>
  <c r="AD297" i="3"/>
  <c r="T297" i="3" l="1"/>
  <c r="E297" i="3" s="1"/>
  <c r="H297" i="3" s="1"/>
  <c r="D297" i="3" l="1"/>
  <c r="F297" i="3" s="1"/>
  <c r="AG297" i="3"/>
  <c r="K297" i="3"/>
  <c r="AE297" i="3" s="1"/>
  <c r="AH297" i="3"/>
  <c r="G297" i="3" l="1"/>
  <c r="M297" i="3" s="1"/>
  <c r="N297" i="3" s="1"/>
  <c r="V297" i="3"/>
  <c r="A298" i="3"/>
  <c r="B298" i="3" s="1"/>
  <c r="J297" i="3" l="1"/>
  <c r="L297" i="3" s="1"/>
  <c r="I297" i="3"/>
  <c r="W297" i="3" s="1"/>
  <c r="Z298" i="3"/>
  <c r="AD298" i="3"/>
  <c r="P298" i="3"/>
  <c r="Q298" i="3" s="1"/>
  <c r="R298" i="3" s="1"/>
  <c r="S298" i="3" s="1"/>
  <c r="AA298" i="3"/>
  <c r="AC298" i="3"/>
  <c r="T298" i="3" l="1"/>
  <c r="U297" i="3"/>
  <c r="Y296" i="3"/>
  <c r="E298" i="3" l="1"/>
  <c r="H298" i="3" s="1"/>
  <c r="K298" i="3" s="1"/>
  <c r="AE298" i="3" s="1"/>
  <c r="AH298" i="3"/>
  <c r="D298" i="3"/>
  <c r="AG298" i="3"/>
  <c r="F298" i="3" l="1"/>
  <c r="G298" i="3"/>
  <c r="V298" i="3"/>
  <c r="A299" i="3"/>
  <c r="B299" i="3" s="1"/>
  <c r="I298" i="3" l="1"/>
  <c r="W298" i="3" s="1"/>
  <c r="J298" i="3"/>
  <c r="M298" i="3"/>
  <c r="N298" i="3" s="1"/>
  <c r="Z299" i="3"/>
  <c r="AD299" i="3"/>
  <c r="P299" i="3"/>
  <c r="Q299" i="3" s="1"/>
  <c r="R299" i="3" s="1"/>
  <c r="S299" i="3" s="1"/>
  <c r="AA299" i="3"/>
  <c r="AC299" i="3"/>
  <c r="L298" i="3" l="1"/>
  <c r="T299" i="3"/>
  <c r="AG299" i="3" l="1"/>
  <c r="U298" i="3"/>
  <c r="E299" i="3" s="1"/>
  <c r="H299" i="3" s="1"/>
  <c r="AH299" i="3"/>
  <c r="Y297" i="3"/>
  <c r="D299" i="3" l="1"/>
  <c r="G299" i="3" s="1"/>
  <c r="K299" i="3"/>
  <c r="AE299" i="3" s="1"/>
  <c r="F299" i="3" l="1"/>
  <c r="I299" i="3"/>
  <c r="J299" i="3"/>
  <c r="M299" i="3"/>
  <c r="N299" i="3" s="1"/>
  <c r="V299" i="3"/>
  <c r="A300" i="3"/>
  <c r="B300" i="3" s="1"/>
  <c r="W299" i="3" l="1"/>
  <c r="L299" i="3"/>
  <c r="Z300" i="3"/>
  <c r="P300" i="3"/>
  <c r="Q300" i="3" s="1"/>
  <c r="R300" i="3" s="1"/>
  <c r="S300" i="3" s="1"/>
  <c r="AD300" i="3"/>
  <c r="AA300" i="3"/>
  <c r="AC300" i="3"/>
  <c r="U299" i="3" l="1"/>
  <c r="Y298" i="3"/>
  <c r="T300" i="3"/>
  <c r="E300" i="3" l="1"/>
  <c r="H300" i="3" s="1"/>
  <c r="K300" i="3" s="1"/>
  <c r="AE300" i="3" s="1"/>
  <c r="AH300" i="3"/>
  <c r="AG300" i="3"/>
  <c r="D300" i="3"/>
  <c r="F300" i="3" l="1"/>
  <c r="G300" i="3"/>
  <c r="V300" i="3"/>
  <c r="A301" i="3"/>
  <c r="B301" i="3" s="1"/>
  <c r="I300" i="3" l="1"/>
  <c r="W300" i="3" s="1"/>
  <c r="J300" i="3"/>
  <c r="M300" i="3"/>
  <c r="N300" i="3" s="1"/>
  <c r="AC301" i="3"/>
  <c r="Z301" i="3"/>
  <c r="AD301" i="3"/>
  <c r="AA301" i="3"/>
  <c r="P301" i="3"/>
  <c r="Q301" i="3" s="1"/>
  <c r="R301" i="3" s="1"/>
  <c r="S301" i="3" s="1"/>
  <c r="L300" i="3" l="1"/>
  <c r="T301" i="3"/>
  <c r="AH301" i="3" l="1"/>
  <c r="U300" i="3"/>
  <c r="D301" i="3" s="1"/>
  <c r="AG301" i="3"/>
  <c r="Y299" i="3"/>
  <c r="E301" i="3" l="1"/>
  <c r="H301" i="3" s="1"/>
  <c r="K301" i="3" s="1"/>
  <c r="AE301" i="3" s="1"/>
  <c r="G301" i="3"/>
  <c r="F301" i="3" l="1"/>
  <c r="I301" i="3"/>
  <c r="J301" i="3"/>
  <c r="M301" i="3"/>
  <c r="N301" i="3" s="1"/>
  <c r="V301" i="3"/>
  <c r="A302" i="3"/>
  <c r="B302" i="3" s="1"/>
  <c r="W301" i="3" l="1"/>
  <c r="L301" i="3"/>
  <c r="P302" i="3"/>
  <c r="Q302" i="3" s="1"/>
  <c r="R302" i="3" s="1"/>
  <c r="S302" i="3" s="1"/>
  <c r="AA302" i="3"/>
  <c r="AC302" i="3"/>
  <c r="AD302" i="3"/>
  <c r="Z302" i="3"/>
  <c r="U301" i="3" l="1"/>
  <c r="Y300" i="3"/>
  <c r="T302" i="3"/>
  <c r="AG302" i="3" s="1"/>
  <c r="AH302" i="3" l="1"/>
  <c r="D302" i="3"/>
  <c r="E302" i="3"/>
  <c r="H302" i="3" s="1"/>
  <c r="K302" i="3" s="1"/>
  <c r="AE302" i="3" s="1"/>
  <c r="F302" i="3" l="1"/>
  <c r="G302" i="3"/>
  <c r="M302" i="3" s="1"/>
  <c r="N302" i="3" s="1"/>
  <c r="V302" i="3"/>
  <c r="A303" i="3"/>
  <c r="B303" i="3" s="1"/>
  <c r="I302" i="3" l="1"/>
  <c r="W302" i="3" s="1"/>
  <c r="J302" i="3"/>
  <c r="L302" i="3" s="1"/>
  <c r="AD303" i="3"/>
  <c r="Z303" i="3"/>
  <c r="P303" i="3"/>
  <c r="Q303" i="3" s="1"/>
  <c r="R303" i="3" s="1"/>
  <c r="S303" i="3" s="1"/>
  <c r="AA303" i="3"/>
  <c r="AC303" i="3"/>
  <c r="T303" i="3" l="1"/>
  <c r="U302" i="3"/>
  <c r="Y301" i="3"/>
  <c r="E303" i="3" l="1"/>
  <c r="H303" i="3" s="1"/>
  <c r="K303" i="3" s="1"/>
  <c r="AE303" i="3" s="1"/>
  <c r="D303" i="3"/>
  <c r="G303" i="3" s="1"/>
  <c r="AH303" i="3"/>
  <c r="AG303" i="3"/>
  <c r="F303" i="3" l="1"/>
  <c r="I303" i="3"/>
  <c r="J303" i="3"/>
  <c r="M303" i="3"/>
  <c r="N303" i="3" s="1"/>
  <c r="V303" i="3"/>
  <c r="A304" i="3"/>
  <c r="B304" i="3" s="1"/>
  <c r="W303" i="3" l="1"/>
  <c r="L303" i="3"/>
  <c r="Z304" i="3"/>
  <c r="P304" i="3"/>
  <c r="Q304" i="3" s="1"/>
  <c r="R304" i="3" s="1"/>
  <c r="S304" i="3" s="1"/>
  <c r="AC304" i="3"/>
  <c r="AA304" i="3"/>
  <c r="U303" i="3" l="1"/>
  <c r="Y302" i="3"/>
  <c r="T304" i="3"/>
  <c r="AH304" i="3" s="1"/>
  <c r="AG304" i="3" l="1"/>
  <c r="D304" i="3"/>
  <c r="G304" i="3" s="1"/>
  <c r="E304" i="3"/>
  <c r="H304" i="3" s="1"/>
  <c r="K304" i="3" s="1"/>
  <c r="AE304" i="3" s="1"/>
  <c r="F304" i="3" l="1"/>
  <c r="I304" i="3"/>
  <c r="J304" i="3"/>
  <c r="AD304" i="3" s="1"/>
  <c r="M304" i="3"/>
  <c r="N304" i="3" s="1"/>
  <c r="V304" i="3"/>
  <c r="A305" i="3"/>
  <c r="B305" i="3" s="1"/>
  <c r="W304" i="3" l="1"/>
  <c r="L304" i="3"/>
  <c r="Z305" i="3"/>
  <c r="AA305" i="3"/>
  <c r="P305" i="3"/>
  <c r="Q305" i="3" s="1"/>
  <c r="R305" i="3" s="1"/>
  <c r="S305" i="3" s="1"/>
  <c r="AC305" i="3"/>
  <c r="AD305" i="3"/>
  <c r="U304" i="3" l="1"/>
  <c r="Y303" i="3"/>
  <c r="T305" i="3"/>
  <c r="AG305" i="3" s="1"/>
  <c r="AH305" i="3" l="1"/>
  <c r="E305" i="3"/>
  <c r="H305" i="3" s="1"/>
  <c r="K305" i="3" s="1"/>
  <c r="AE305" i="3" s="1"/>
  <c r="D305" i="3"/>
  <c r="V305" i="3" l="1"/>
  <c r="A306" i="3"/>
  <c r="B306" i="3" s="1"/>
  <c r="F305" i="3"/>
  <c r="G305" i="3"/>
  <c r="I305" i="3" l="1"/>
  <c r="W305" i="3" s="1"/>
  <c r="J305" i="3"/>
  <c r="M305" i="3"/>
  <c r="N305" i="3" s="1"/>
  <c r="AA306" i="3"/>
  <c r="Z306" i="3"/>
  <c r="P306" i="3"/>
  <c r="Q306" i="3" s="1"/>
  <c r="R306" i="3" s="1"/>
  <c r="S306" i="3" s="1"/>
  <c r="AC306" i="3"/>
  <c r="AD306" i="3"/>
  <c r="T306" i="3" l="1"/>
  <c r="L305" i="3"/>
  <c r="U305" i="3" l="1"/>
  <c r="E306" i="3" s="1"/>
  <c r="H306" i="3" s="1"/>
  <c r="AH306" i="3"/>
  <c r="AG306" i="3"/>
  <c r="Y304" i="3"/>
  <c r="D306" i="3" l="1"/>
  <c r="G306" i="3" s="1"/>
  <c r="K306" i="3"/>
  <c r="AE306" i="3" s="1"/>
  <c r="F306" i="3" l="1"/>
  <c r="I306" i="3"/>
  <c r="J306" i="3"/>
  <c r="M306" i="3"/>
  <c r="N306" i="3" s="1"/>
  <c r="V306" i="3"/>
  <c r="A307" i="3"/>
  <c r="B307" i="3" s="1"/>
  <c r="W306" i="3" l="1"/>
  <c r="L306" i="3"/>
  <c r="AC307" i="3"/>
  <c r="P307" i="3"/>
  <c r="Q307" i="3" s="1"/>
  <c r="R307" i="3" s="1"/>
  <c r="S307" i="3" s="1"/>
  <c r="AA307" i="3"/>
  <c r="Z307" i="3"/>
  <c r="AD307" i="3"/>
  <c r="T307" i="3" l="1"/>
  <c r="AH307" i="3" s="1"/>
  <c r="U306" i="3"/>
  <c r="Y305" i="3"/>
  <c r="D307" i="3" l="1"/>
  <c r="E307" i="3"/>
  <c r="H307" i="3" s="1"/>
  <c r="AG307" i="3"/>
  <c r="F307" i="3" l="1"/>
  <c r="G307" i="3"/>
  <c r="K307" i="3"/>
  <c r="AE307" i="3" s="1"/>
  <c r="I307" i="3" l="1"/>
  <c r="J307" i="3"/>
  <c r="M307" i="3"/>
  <c r="N307" i="3" s="1"/>
  <c r="V307" i="3"/>
  <c r="A308" i="3"/>
  <c r="B308" i="3" s="1"/>
  <c r="L307" i="3" l="1"/>
  <c r="Z308" i="3"/>
  <c r="AD308" i="3"/>
  <c r="AA308" i="3"/>
  <c r="P308" i="3"/>
  <c r="Q308" i="3" s="1"/>
  <c r="R308" i="3" s="1"/>
  <c r="S308" i="3" s="1"/>
  <c r="AC308" i="3"/>
  <c r="W307" i="3"/>
  <c r="T308" i="3" l="1"/>
  <c r="U307" i="3"/>
  <c r="Y306" i="3"/>
  <c r="E308" i="3" l="1"/>
  <c r="H308" i="3" s="1"/>
  <c r="K308" i="3" s="1"/>
  <c r="AE308" i="3" s="1"/>
  <c r="AH308" i="3"/>
  <c r="AG308" i="3"/>
  <c r="D308" i="3"/>
  <c r="F308" i="3" l="1"/>
  <c r="G308" i="3"/>
  <c r="V308" i="3"/>
  <c r="A309" i="3"/>
  <c r="B309" i="3" s="1"/>
  <c r="I308" i="3" l="1"/>
  <c r="W308" i="3" s="1"/>
  <c r="J308" i="3"/>
  <c r="M308" i="3"/>
  <c r="N308" i="3" s="1"/>
  <c r="AC309" i="3"/>
  <c r="AD309" i="3"/>
  <c r="P309" i="3"/>
  <c r="Q309" i="3" s="1"/>
  <c r="R309" i="3" s="1"/>
  <c r="S309" i="3" s="1"/>
  <c r="AA309" i="3"/>
  <c r="Z309" i="3"/>
  <c r="T309" i="3" l="1"/>
  <c r="L308" i="3"/>
  <c r="AG309" i="3" l="1"/>
  <c r="AH309" i="3"/>
  <c r="U308" i="3"/>
  <c r="E309" i="3" s="1"/>
  <c r="H309" i="3" s="1"/>
  <c r="Y307" i="3"/>
  <c r="D309" i="3" l="1"/>
  <c r="G309" i="3" s="1"/>
  <c r="K309" i="3"/>
  <c r="AE309" i="3" s="1"/>
  <c r="F309" i="3" l="1"/>
  <c r="V309" i="3"/>
  <c r="A310" i="3"/>
  <c r="B310" i="3" s="1"/>
  <c r="I309" i="3"/>
  <c r="J309" i="3"/>
  <c r="M309" i="3"/>
  <c r="N309" i="3" s="1"/>
  <c r="W309" i="3" l="1"/>
  <c r="L309" i="3"/>
  <c r="AC310" i="3"/>
  <c r="AD310" i="3"/>
  <c r="Z310" i="3"/>
  <c r="AA310" i="3"/>
  <c r="P310" i="3"/>
  <c r="Q310" i="3" s="1"/>
  <c r="R310" i="3" s="1"/>
  <c r="S310" i="3" s="1"/>
  <c r="T310" i="3" l="1"/>
  <c r="AH310" i="3" s="1"/>
  <c r="U309" i="3"/>
  <c r="Y308" i="3"/>
  <c r="AG310" i="3" l="1"/>
  <c r="E310" i="3"/>
  <c r="H310" i="3" s="1"/>
  <c r="D310" i="3"/>
  <c r="K310" i="3" l="1"/>
  <c r="AE310" i="3" s="1"/>
  <c r="F310" i="3"/>
  <c r="G310" i="3"/>
  <c r="I310" i="3" l="1"/>
  <c r="J310" i="3"/>
  <c r="M310" i="3"/>
  <c r="N310" i="3" s="1"/>
  <c r="V310" i="3"/>
  <c r="A311" i="3"/>
  <c r="B311" i="3" s="1"/>
  <c r="W310" i="3" l="1"/>
  <c r="L310" i="3"/>
  <c r="AA311" i="3"/>
  <c r="Z311" i="3"/>
  <c r="P311" i="3"/>
  <c r="Q311" i="3" s="1"/>
  <c r="R311" i="3" s="1"/>
  <c r="S311" i="3" s="1"/>
  <c r="AC311" i="3"/>
  <c r="AD311" i="3"/>
  <c r="T311" i="3" l="1"/>
  <c r="AH311" i="3" s="1"/>
  <c r="U310" i="3"/>
  <c r="Y309" i="3"/>
  <c r="D311" i="3" l="1"/>
  <c r="G311" i="3" s="1"/>
  <c r="E311" i="3"/>
  <c r="H311" i="3" s="1"/>
  <c r="AG311" i="3"/>
  <c r="I311" i="3" l="1"/>
  <c r="J311" i="3"/>
  <c r="M311" i="3"/>
  <c r="N311" i="3" s="1"/>
  <c r="K311" i="3"/>
  <c r="AE311" i="3" s="1"/>
  <c r="F311" i="3"/>
  <c r="V311" i="3" l="1"/>
  <c r="W311" i="3" s="1"/>
  <c r="A312" i="3"/>
  <c r="B312" i="3" s="1"/>
  <c r="L311" i="3"/>
  <c r="U311" i="3" l="1"/>
  <c r="Y310" i="3"/>
  <c r="AA312" i="3"/>
  <c r="Z312" i="3"/>
  <c r="AD312" i="3"/>
  <c r="P312" i="3"/>
  <c r="Q312" i="3" s="1"/>
  <c r="R312" i="3" s="1"/>
  <c r="S312" i="3" s="1"/>
  <c r="AC312" i="3"/>
  <c r="T312" i="3" l="1"/>
  <c r="AG312" i="3" s="1"/>
  <c r="E312" i="3" l="1"/>
  <c r="H312" i="3" s="1"/>
  <c r="K312" i="3" s="1"/>
  <c r="AE312" i="3" s="1"/>
  <c r="D312" i="3"/>
  <c r="AH312" i="3"/>
  <c r="V312" i="3" l="1"/>
  <c r="A313" i="3"/>
  <c r="B313" i="3" s="1"/>
  <c r="F312" i="3"/>
  <c r="G312" i="3"/>
  <c r="I312" i="3" l="1"/>
  <c r="W312" i="3" s="1"/>
  <c r="J312" i="3"/>
  <c r="M312" i="3"/>
  <c r="N312" i="3" s="1"/>
  <c r="Z313" i="3"/>
  <c r="AC313" i="3"/>
  <c r="P313" i="3"/>
  <c r="Q313" i="3" s="1"/>
  <c r="R313" i="3" s="1"/>
  <c r="S313" i="3" s="1"/>
  <c r="AD313" i="3"/>
  <c r="AA313" i="3"/>
  <c r="T313" i="3" l="1"/>
  <c r="L312" i="3"/>
  <c r="AG313" i="3" l="1"/>
  <c r="AH313" i="3"/>
  <c r="U312" i="3"/>
  <c r="D313" i="3" s="1"/>
  <c r="Y311" i="3"/>
  <c r="E313" i="3" l="1"/>
  <c r="H313" i="3" s="1"/>
  <c r="K313" i="3" s="1"/>
  <c r="AE313" i="3" s="1"/>
  <c r="G313" i="3"/>
  <c r="F313" i="3" l="1"/>
  <c r="I313" i="3"/>
  <c r="J313" i="3"/>
  <c r="M313" i="3"/>
  <c r="N313" i="3" s="1"/>
  <c r="V313" i="3"/>
  <c r="A314" i="3"/>
  <c r="B314" i="3" s="1"/>
  <c r="Z314" i="3" l="1"/>
  <c r="AC314" i="3"/>
  <c r="AA314" i="3"/>
  <c r="P314" i="3"/>
  <c r="Q314" i="3" s="1"/>
  <c r="R314" i="3" s="1"/>
  <c r="S314" i="3" s="1"/>
  <c r="L313" i="3"/>
  <c r="W313" i="3"/>
  <c r="U313" i="3" l="1"/>
  <c r="Y312" i="3"/>
  <c r="T314" i="3"/>
  <c r="D314" i="3" l="1"/>
  <c r="G314" i="3" s="1"/>
  <c r="AG314" i="3"/>
  <c r="AH314" i="3"/>
  <c r="E314" i="3"/>
  <c r="H314" i="3" s="1"/>
  <c r="F314" i="3" l="1"/>
  <c r="I314" i="3"/>
  <c r="J314" i="3"/>
  <c r="AD314" i="3" s="1"/>
  <c r="M314" i="3"/>
  <c r="N314" i="3" s="1"/>
  <c r="K314" i="3"/>
  <c r="AE314" i="3" s="1"/>
  <c r="V314" i="3" l="1"/>
  <c r="W314" i="3" s="1"/>
  <c r="A315" i="3"/>
  <c r="B315" i="3" s="1"/>
  <c r="L314" i="3"/>
  <c r="U314" i="3" l="1"/>
  <c r="Y313" i="3"/>
  <c r="Z315" i="3"/>
  <c r="P315" i="3"/>
  <c r="Q315" i="3" s="1"/>
  <c r="R315" i="3" s="1"/>
  <c r="S315" i="3" s="1"/>
  <c r="AD315" i="3"/>
  <c r="AA315" i="3"/>
  <c r="AC315" i="3"/>
  <c r="T315" i="3" l="1"/>
  <c r="D315" i="3" s="1"/>
  <c r="AH315" i="3" l="1"/>
  <c r="AG315" i="3"/>
  <c r="E315" i="3"/>
  <c r="H315" i="3" s="1"/>
  <c r="K315" i="3" s="1"/>
  <c r="AE315" i="3" s="1"/>
  <c r="G315" i="3"/>
  <c r="F315" i="3" l="1"/>
  <c r="I315" i="3"/>
  <c r="J315" i="3"/>
  <c r="M315" i="3"/>
  <c r="N315" i="3" s="1"/>
  <c r="V315" i="3"/>
  <c r="A316" i="3"/>
  <c r="B316" i="3" s="1"/>
  <c r="W315" i="3" l="1"/>
  <c r="L315" i="3"/>
  <c r="Z316" i="3"/>
  <c r="AC316" i="3"/>
  <c r="P316" i="3"/>
  <c r="Q316" i="3" s="1"/>
  <c r="R316" i="3" s="1"/>
  <c r="S316" i="3" s="1"/>
  <c r="AD316" i="3"/>
  <c r="AA316" i="3"/>
  <c r="U315" i="3" l="1"/>
  <c r="Y314" i="3"/>
  <c r="T316" i="3"/>
  <c r="AG316" i="3" s="1"/>
  <c r="D316" i="3" l="1"/>
  <c r="AH316" i="3"/>
  <c r="E316" i="3"/>
  <c r="H316" i="3" s="1"/>
  <c r="F316" i="3" l="1"/>
  <c r="G316" i="3"/>
  <c r="K316" i="3"/>
  <c r="AE316" i="3" s="1"/>
  <c r="V316" i="3" l="1"/>
  <c r="A317" i="3"/>
  <c r="B317" i="3" s="1"/>
  <c r="I316" i="3"/>
  <c r="J316" i="3"/>
  <c r="M316" i="3"/>
  <c r="N316" i="3" s="1"/>
  <c r="W316" i="3" l="1"/>
  <c r="L316" i="3"/>
  <c r="Z317" i="3"/>
  <c r="AA317" i="3"/>
  <c r="P317" i="3"/>
  <c r="Q317" i="3" s="1"/>
  <c r="R317" i="3" s="1"/>
  <c r="S317" i="3" s="1"/>
  <c r="AD317" i="3"/>
  <c r="AC317" i="3"/>
  <c r="T317" i="3" l="1"/>
  <c r="AG317" i="3" s="1"/>
  <c r="U316" i="3"/>
  <c r="Y315" i="3"/>
  <c r="E317" i="3" l="1"/>
  <c r="H317" i="3" s="1"/>
  <c r="K317" i="3" s="1"/>
  <c r="AE317" i="3" s="1"/>
  <c r="D317" i="3"/>
  <c r="AH317" i="3"/>
  <c r="V317" i="3" l="1"/>
  <c r="A318" i="3"/>
  <c r="B318" i="3" s="1"/>
  <c r="F317" i="3"/>
  <c r="G317" i="3"/>
  <c r="I317" i="3" l="1"/>
  <c r="W317" i="3" s="1"/>
  <c r="J317" i="3"/>
  <c r="M317" i="3"/>
  <c r="N317" i="3" s="1"/>
  <c r="AA318" i="3"/>
  <c r="P318" i="3"/>
  <c r="Q318" i="3" s="1"/>
  <c r="R318" i="3" s="1"/>
  <c r="S318" i="3" s="1"/>
  <c r="Z318" i="3"/>
  <c r="AC318" i="3"/>
  <c r="AD318" i="3"/>
  <c r="T318" i="3" l="1"/>
  <c r="L317" i="3"/>
  <c r="AH318" i="3" l="1"/>
  <c r="AG318" i="3"/>
  <c r="U317" i="3"/>
  <c r="E318" i="3" s="1"/>
  <c r="H318" i="3" s="1"/>
  <c r="Y316" i="3"/>
  <c r="K318" i="3" l="1"/>
  <c r="AE318" i="3" s="1"/>
  <c r="D318" i="3"/>
  <c r="V318" i="3" l="1"/>
  <c r="A319" i="3"/>
  <c r="B319" i="3" s="1"/>
  <c r="F318" i="3"/>
  <c r="G318" i="3"/>
  <c r="I318" i="3" l="1"/>
  <c r="W318" i="3" s="1"/>
  <c r="J318" i="3"/>
  <c r="M318" i="3"/>
  <c r="N318" i="3" s="1"/>
  <c r="Z319" i="3"/>
  <c r="AC319" i="3"/>
  <c r="P319" i="3"/>
  <c r="Q319" i="3" s="1"/>
  <c r="R319" i="3" s="1"/>
  <c r="S319" i="3" s="1"/>
  <c r="AD319" i="3"/>
  <c r="AA319" i="3"/>
  <c r="T319" i="3" l="1"/>
  <c r="L318" i="3"/>
  <c r="U318" i="3" l="1"/>
  <c r="E319" i="3" s="1"/>
  <c r="H319" i="3" s="1"/>
  <c r="AH319" i="3"/>
  <c r="AG319" i="3"/>
  <c r="Y317" i="3"/>
  <c r="D319" i="3" l="1"/>
  <c r="G319" i="3" s="1"/>
  <c r="K319" i="3"/>
  <c r="AE319" i="3" s="1"/>
  <c r="F319" i="3" l="1"/>
  <c r="V319" i="3"/>
  <c r="A320" i="3"/>
  <c r="B320" i="3" s="1"/>
  <c r="I319" i="3"/>
  <c r="J319" i="3"/>
  <c r="M319" i="3"/>
  <c r="N319" i="3" s="1"/>
  <c r="L319" i="3" l="1"/>
  <c r="W319" i="3"/>
  <c r="AA320" i="3"/>
  <c r="AC320" i="3"/>
  <c r="P320" i="3"/>
  <c r="Q320" i="3" s="1"/>
  <c r="R320" i="3" s="1"/>
  <c r="S320" i="3" s="1"/>
  <c r="Z320" i="3"/>
  <c r="AD320" i="3"/>
  <c r="U319" i="3" l="1"/>
  <c r="Y318" i="3"/>
  <c r="T320" i="3"/>
  <c r="AH320" i="3" s="1"/>
  <c r="D320" i="3" l="1"/>
  <c r="AG320" i="3"/>
  <c r="E320" i="3"/>
  <c r="H320" i="3" s="1"/>
  <c r="F320" i="3" l="1"/>
  <c r="G320" i="3"/>
  <c r="K320" i="3"/>
  <c r="AE320" i="3" s="1"/>
  <c r="I320" i="3" l="1"/>
  <c r="J320" i="3"/>
  <c r="M320" i="3"/>
  <c r="N320" i="3" s="1"/>
  <c r="V320" i="3"/>
  <c r="A321" i="3"/>
  <c r="B321" i="3" s="1"/>
  <c r="W320" i="3" l="1"/>
  <c r="L320" i="3"/>
  <c r="AC321" i="3"/>
  <c r="AA321" i="3"/>
  <c r="Z321" i="3"/>
  <c r="P321" i="3"/>
  <c r="Q321" i="3" s="1"/>
  <c r="R321" i="3" s="1"/>
  <c r="S321" i="3" s="1"/>
  <c r="AD321" i="3"/>
  <c r="U320" i="3" l="1"/>
  <c r="Y319" i="3"/>
  <c r="T321" i="3"/>
  <c r="D321" i="3" l="1"/>
  <c r="G321" i="3" s="1"/>
  <c r="AH321" i="3"/>
  <c r="E321" i="3"/>
  <c r="H321" i="3" s="1"/>
  <c r="AG321" i="3"/>
  <c r="F321" i="3" l="1"/>
  <c r="I321" i="3"/>
  <c r="J321" i="3"/>
  <c r="M321" i="3"/>
  <c r="N321" i="3" s="1"/>
  <c r="K321" i="3"/>
  <c r="AE321" i="3" s="1"/>
  <c r="V321" i="3" l="1"/>
  <c r="W321" i="3" s="1"/>
  <c r="A322" i="3"/>
  <c r="B322" i="3" s="1"/>
  <c r="L321" i="3"/>
  <c r="U321" i="3" l="1"/>
  <c r="Y320" i="3"/>
  <c r="P322" i="3"/>
  <c r="Q322" i="3" s="1"/>
  <c r="R322" i="3" s="1"/>
  <c r="S322" i="3" s="1"/>
  <c r="Z322" i="3"/>
  <c r="AC322" i="3"/>
  <c r="AD322" i="3"/>
  <c r="AA322" i="3"/>
  <c r="T322" i="3" l="1"/>
  <c r="AH322" i="3" s="1"/>
  <c r="E322" i="3" l="1"/>
  <c r="H322" i="3" s="1"/>
  <c r="K322" i="3" s="1"/>
  <c r="AE322" i="3" s="1"/>
  <c r="AG322" i="3"/>
  <c r="D322" i="3"/>
  <c r="V322" i="3" l="1"/>
  <c r="A323" i="3"/>
  <c r="B323" i="3" s="1"/>
  <c r="F322" i="3"/>
  <c r="G322" i="3"/>
  <c r="I322" i="3" l="1"/>
  <c r="W322" i="3" s="1"/>
  <c r="J322" i="3"/>
  <c r="M322" i="3"/>
  <c r="N322" i="3" s="1"/>
  <c r="P323" i="3"/>
  <c r="Q323" i="3" s="1"/>
  <c r="R323" i="3" s="1"/>
  <c r="S323" i="3" s="1"/>
  <c r="AA323" i="3"/>
  <c r="Z323" i="3"/>
  <c r="AD323" i="3"/>
  <c r="AC323" i="3"/>
  <c r="T323" i="3" l="1"/>
  <c r="L322" i="3"/>
  <c r="AH323" i="3" l="1"/>
  <c r="U322" i="3"/>
  <c r="D323" i="3" s="1"/>
  <c r="AG323" i="3"/>
  <c r="Y321" i="3"/>
  <c r="G323" i="3" l="1"/>
  <c r="E323" i="3"/>
  <c r="H323" i="3" s="1"/>
  <c r="F323" i="3" l="1"/>
  <c r="K323" i="3"/>
  <c r="AE323" i="3" s="1"/>
  <c r="I323" i="3"/>
  <c r="J323" i="3"/>
  <c r="M323" i="3"/>
  <c r="N323" i="3" s="1"/>
  <c r="L323" i="3" l="1"/>
  <c r="V323" i="3"/>
  <c r="W323" i="3" s="1"/>
  <c r="A324" i="3"/>
  <c r="B324" i="3" s="1"/>
  <c r="U323" i="3" l="1"/>
  <c r="Y322" i="3"/>
  <c r="Z324" i="3"/>
  <c r="P324" i="3"/>
  <c r="Q324" i="3" s="1"/>
  <c r="R324" i="3" s="1"/>
  <c r="S324" i="3" s="1"/>
  <c r="AA324" i="3"/>
  <c r="AC324" i="3"/>
  <c r="T324" i="3" l="1"/>
  <c r="AG324" i="3" s="1"/>
  <c r="E324" i="3" l="1"/>
  <c r="H324" i="3" s="1"/>
  <c r="K324" i="3" s="1"/>
  <c r="AE324" i="3" s="1"/>
  <c r="AH324" i="3"/>
  <c r="D324" i="3"/>
  <c r="V324" i="3" l="1"/>
  <c r="A325" i="3"/>
  <c r="B325" i="3" s="1"/>
  <c r="F324" i="3"/>
  <c r="G324" i="3"/>
  <c r="I324" i="3" l="1"/>
  <c r="W324" i="3" s="1"/>
  <c r="J324" i="3"/>
  <c r="AD324" i="3" s="1"/>
  <c r="M324" i="3"/>
  <c r="N324" i="3" s="1"/>
  <c r="P325" i="3"/>
  <c r="Q325" i="3" s="1"/>
  <c r="R325" i="3" s="1"/>
  <c r="S325" i="3" s="1"/>
  <c r="AC325" i="3"/>
  <c r="Z325" i="3"/>
  <c r="AA325" i="3"/>
  <c r="T325" i="3" l="1"/>
  <c r="L324" i="3"/>
  <c r="AG325" i="3" l="1"/>
  <c r="U324" i="3"/>
  <c r="D325" i="3" s="1"/>
  <c r="AH325" i="3"/>
  <c r="Y323" i="3"/>
  <c r="E325" i="3" l="1"/>
  <c r="H325" i="3" s="1"/>
  <c r="K325" i="3" s="1"/>
  <c r="AE325" i="3" s="1"/>
  <c r="G325" i="3"/>
  <c r="F325" i="3" l="1"/>
  <c r="V325" i="3"/>
  <c r="A326" i="3"/>
  <c r="B326" i="3" s="1"/>
  <c r="I325" i="3"/>
  <c r="J325" i="3"/>
  <c r="AD325" i="3" s="1"/>
  <c r="M325" i="3"/>
  <c r="N325" i="3" s="1"/>
  <c r="L325" i="3" l="1"/>
  <c r="W325" i="3"/>
  <c r="P326" i="3"/>
  <c r="Q326" i="3" s="1"/>
  <c r="R326" i="3" s="1"/>
  <c r="S326" i="3" s="1"/>
  <c r="AA326" i="3"/>
  <c r="AC326" i="3"/>
  <c r="Z326" i="3"/>
  <c r="U325" i="3" l="1"/>
  <c r="Y324" i="3"/>
  <c r="T326" i="3"/>
  <c r="AH326" i="3" s="1"/>
  <c r="E326" i="3" l="1"/>
  <c r="H326" i="3" s="1"/>
  <c r="K326" i="3" s="1"/>
  <c r="AE326" i="3" s="1"/>
  <c r="AG326" i="3"/>
  <c r="D326" i="3"/>
  <c r="G326" i="3" s="1"/>
  <c r="F326" i="3" l="1"/>
  <c r="I326" i="3"/>
  <c r="J326" i="3"/>
  <c r="AD326" i="3" s="1"/>
  <c r="M326" i="3"/>
  <c r="N326" i="3" s="1"/>
  <c r="V326" i="3"/>
  <c r="A327" i="3"/>
  <c r="B327" i="3" s="1"/>
  <c r="W326" i="3" l="1"/>
  <c r="L326" i="3"/>
  <c r="Z327" i="3"/>
  <c r="AA327" i="3"/>
  <c r="P327" i="3"/>
  <c r="Q327" i="3" s="1"/>
  <c r="R327" i="3" s="1"/>
  <c r="S327" i="3" s="1"/>
  <c r="AC327" i="3"/>
  <c r="U326" i="3" l="1"/>
  <c r="Y325" i="3"/>
  <c r="T327" i="3"/>
  <c r="AH327" i="3" s="1"/>
  <c r="E327" i="3" l="1"/>
  <c r="H327" i="3" s="1"/>
  <c r="K327" i="3" s="1"/>
  <c r="AE327" i="3" s="1"/>
  <c r="D327" i="3"/>
  <c r="AG327" i="3"/>
  <c r="F327" i="3" l="1"/>
  <c r="G327" i="3"/>
  <c r="M327" i="3" s="1"/>
  <c r="N327" i="3" s="1"/>
  <c r="V327" i="3"/>
  <c r="A328" i="3"/>
  <c r="B328" i="3" s="1"/>
  <c r="I327" i="3" l="1"/>
  <c r="W327" i="3" s="1"/>
  <c r="J327" i="3"/>
  <c r="Z328" i="3"/>
  <c r="P328" i="3"/>
  <c r="Q328" i="3" s="1"/>
  <c r="R328" i="3" s="1"/>
  <c r="S328" i="3" s="1"/>
  <c r="AA328" i="3"/>
  <c r="AC328" i="3"/>
  <c r="L327" i="3" l="1"/>
  <c r="U327" i="3" s="1"/>
  <c r="AD327" i="3"/>
  <c r="T328" i="3"/>
  <c r="AG328" i="3" l="1"/>
  <c r="Y326" i="3"/>
  <c r="AH328" i="3"/>
  <c r="E328" i="3"/>
  <c r="H328" i="3" s="1"/>
  <c r="K328" i="3" s="1"/>
  <c r="AE328" i="3" s="1"/>
  <c r="D328" i="3"/>
  <c r="V328" i="3" l="1"/>
  <c r="A329" i="3"/>
  <c r="B329" i="3" s="1"/>
  <c r="F328" i="3"/>
  <c r="G328" i="3"/>
  <c r="I328" i="3" l="1"/>
  <c r="W328" i="3" s="1"/>
  <c r="J328" i="3"/>
  <c r="AD328" i="3" s="1"/>
  <c r="M328" i="3"/>
  <c r="N328" i="3" s="1"/>
  <c r="P329" i="3"/>
  <c r="Q329" i="3" s="1"/>
  <c r="R329" i="3" s="1"/>
  <c r="S329" i="3" s="1"/>
  <c r="Z329" i="3"/>
  <c r="AC329" i="3"/>
  <c r="AA329" i="3"/>
  <c r="T329" i="3" l="1"/>
  <c r="L328" i="3"/>
  <c r="AH329" i="3" l="1"/>
  <c r="U328" i="3"/>
  <c r="D329" i="3" s="1"/>
  <c r="AG329" i="3"/>
  <c r="Y327" i="3"/>
  <c r="E329" i="3" l="1"/>
  <c r="H329" i="3" s="1"/>
  <c r="K329" i="3" s="1"/>
  <c r="AE329" i="3" s="1"/>
  <c r="G329" i="3"/>
  <c r="F329" i="3" l="1"/>
  <c r="I329" i="3"/>
  <c r="J329" i="3"/>
  <c r="AD329" i="3" s="1"/>
  <c r="M329" i="3"/>
  <c r="N329" i="3" s="1"/>
  <c r="V329" i="3"/>
  <c r="A330" i="3"/>
  <c r="B330" i="3" s="1"/>
  <c r="W329" i="3" l="1"/>
  <c r="L329" i="3"/>
  <c r="AA330" i="3"/>
  <c r="AC330" i="3"/>
  <c r="P330" i="3"/>
  <c r="Q330" i="3" s="1"/>
  <c r="R330" i="3" s="1"/>
  <c r="S330" i="3" s="1"/>
  <c r="Z330" i="3"/>
  <c r="U329" i="3" l="1"/>
  <c r="Y328" i="3"/>
  <c r="T330" i="3"/>
  <c r="AH330" i="3" s="1"/>
  <c r="AG330" i="3" l="1"/>
  <c r="E330" i="3"/>
  <c r="H330" i="3" s="1"/>
  <c r="D330" i="3"/>
  <c r="K330" i="3" l="1"/>
  <c r="AE330" i="3" s="1"/>
  <c r="F330" i="3"/>
  <c r="G330" i="3"/>
  <c r="I330" i="3" l="1"/>
  <c r="J330" i="3"/>
  <c r="AD330" i="3" s="1"/>
  <c r="M330" i="3"/>
  <c r="N330" i="3" s="1"/>
  <c r="V330" i="3"/>
  <c r="A331" i="3"/>
  <c r="B331" i="3" s="1"/>
  <c r="W330" i="3" l="1"/>
  <c r="L330" i="3"/>
  <c r="P331" i="3"/>
  <c r="Q331" i="3" s="1"/>
  <c r="R331" i="3" s="1"/>
  <c r="S331" i="3" s="1"/>
  <c r="AA331" i="3"/>
  <c r="AC331" i="3"/>
  <c r="Z331" i="3"/>
  <c r="U330" i="3" l="1"/>
  <c r="Y329" i="3"/>
  <c r="T331" i="3"/>
  <c r="D331" i="3" l="1"/>
  <c r="G331" i="3" s="1"/>
  <c r="AH331" i="3"/>
  <c r="AG331" i="3"/>
  <c r="E331" i="3"/>
  <c r="H331" i="3" s="1"/>
  <c r="F331" i="3" l="1"/>
  <c r="I331" i="3"/>
  <c r="J331" i="3"/>
  <c r="AD331" i="3" s="1"/>
  <c r="M331" i="3"/>
  <c r="N331" i="3" s="1"/>
  <c r="K331" i="3"/>
  <c r="AE331" i="3" s="1"/>
  <c r="V331" i="3" l="1"/>
  <c r="W331" i="3" s="1"/>
  <c r="A332" i="3"/>
  <c r="B332" i="3" s="1"/>
  <c r="L331" i="3"/>
  <c r="U331" i="3" l="1"/>
  <c r="Y330" i="3"/>
  <c r="AA332" i="3"/>
  <c r="Z332" i="3"/>
  <c r="AC332" i="3"/>
  <c r="P332" i="3"/>
  <c r="Q332" i="3" s="1"/>
  <c r="R332" i="3" s="1"/>
  <c r="S332" i="3" s="1"/>
  <c r="T332" i="3" l="1"/>
  <c r="AG332" i="3" s="1"/>
  <c r="E332" i="3" l="1"/>
  <c r="H332" i="3" s="1"/>
  <c r="K332" i="3" s="1"/>
  <c r="AE332" i="3" s="1"/>
  <c r="D332" i="3"/>
  <c r="AH332" i="3"/>
  <c r="V332" i="3" l="1"/>
  <c r="A333" i="3"/>
  <c r="B333" i="3" s="1"/>
  <c r="F332" i="3"/>
  <c r="G332" i="3"/>
  <c r="I332" i="3" l="1"/>
  <c r="W332" i="3" s="1"/>
  <c r="J332" i="3"/>
  <c r="AD332" i="3" s="1"/>
  <c r="M332" i="3"/>
  <c r="N332" i="3" s="1"/>
  <c r="AA333" i="3"/>
  <c r="P333" i="3"/>
  <c r="Q333" i="3" s="1"/>
  <c r="R333" i="3" s="1"/>
  <c r="S333" i="3" s="1"/>
  <c r="Z333" i="3"/>
  <c r="AC333" i="3"/>
  <c r="T333" i="3" l="1"/>
  <c r="L332" i="3"/>
  <c r="AH333" i="3" l="1"/>
  <c r="AG333" i="3"/>
  <c r="U332" i="3"/>
  <c r="D333" i="3" s="1"/>
  <c r="Y331" i="3"/>
  <c r="E333" i="3" l="1"/>
  <c r="H333" i="3" s="1"/>
  <c r="K333" i="3" s="1"/>
  <c r="AE333" i="3" s="1"/>
  <c r="G333" i="3"/>
  <c r="F333" i="3" l="1"/>
  <c r="I333" i="3"/>
  <c r="J333" i="3"/>
  <c r="AD333" i="3" s="1"/>
  <c r="M333" i="3"/>
  <c r="N333" i="3" s="1"/>
  <c r="V333" i="3"/>
  <c r="A334" i="3"/>
  <c r="B334" i="3" s="1"/>
  <c r="W333" i="3" l="1"/>
  <c r="L333" i="3"/>
  <c r="AA334" i="3"/>
  <c r="P334" i="3"/>
  <c r="Q334" i="3" s="1"/>
  <c r="R334" i="3" s="1"/>
  <c r="S334" i="3" s="1"/>
  <c r="Z334" i="3"/>
  <c r="AC334" i="3"/>
  <c r="T334" i="3" l="1"/>
  <c r="AH334" i="3" s="1"/>
  <c r="U333" i="3"/>
  <c r="Y332" i="3"/>
  <c r="D334" i="3" l="1"/>
  <c r="G334" i="3" s="1"/>
  <c r="E334" i="3"/>
  <c r="H334" i="3" s="1"/>
  <c r="AG334" i="3"/>
  <c r="F334" i="3" l="1"/>
  <c r="I334" i="3"/>
  <c r="J334" i="3"/>
  <c r="AD334" i="3" s="1"/>
  <c r="M334" i="3"/>
  <c r="N334" i="3" s="1"/>
  <c r="K334" i="3"/>
  <c r="AE334" i="3" s="1"/>
  <c r="L334" i="3" l="1"/>
  <c r="V334" i="3"/>
  <c r="W334" i="3" s="1"/>
  <c r="A335" i="3"/>
  <c r="B335" i="3" s="1"/>
  <c r="U334" i="3" l="1"/>
  <c r="Y333" i="3"/>
  <c r="AC335" i="3"/>
  <c r="P335" i="3"/>
  <c r="Q335" i="3" s="1"/>
  <c r="R335" i="3" s="1"/>
  <c r="S335" i="3" s="1"/>
  <c r="AA335" i="3"/>
  <c r="Z335" i="3"/>
  <c r="T335" i="3" l="1"/>
  <c r="AG335" i="3" s="1"/>
  <c r="AH335" i="3" l="1"/>
  <c r="D335" i="3"/>
  <c r="E335" i="3"/>
  <c r="H335" i="3" s="1"/>
  <c r="F335" i="3" l="1"/>
  <c r="G335" i="3"/>
  <c r="K335" i="3"/>
  <c r="AE335" i="3" s="1"/>
  <c r="I335" i="3" l="1"/>
  <c r="J335" i="3"/>
  <c r="AD335" i="3" s="1"/>
  <c r="M335" i="3"/>
  <c r="N335" i="3" s="1"/>
  <c r="V335" i="3"/>
  <c r="A336" i="3"/>
  <c r="B336" i="3" s="1"/>
  <c r="W335" i="3" l="1"/>
  <c r="L335" i="3"/>
  <c r="AA336" i="3"/>
  <c r="P336" i="3"/>
  <c r="Q336" i="3" s="1"/>
  <c r="R336" i="3" s="1"/>
  <c r="S336" i="3" s="1"/>
  <c r="AC336" i="3"/>
  <c r="Z336" i="3"/>
  <c r="T336" i="3" l="1"/>
  <c r="AG336" i="3" s="1"/>
  <c r="U335" i="3"/>
  <c r="Y334" i="3"/>
  <c r="E336" i="3" l="1"/>
  <c r="H336" i="3" s="1"/>
  <c r="D336" i="3"/>
  <c r="AH336" i="3"/>
  <c r="K336" i="3" l="1"/>
  <c r="AE336" i="3" s="1"/>
  <c r="F336" i="3"/>
  <c r="G336" i="3"/>
  <c r="I336" i="3" l="1"/>
  <c r="J336" i="3"/>
  <c r="AD336" i="3" s="1"/>
  <c r="M336" i="3"/>
  <c r="N336" i="3" s="1"/>
  <c r="V336" i="3"/>
  <c r="A337" i="3"/>
  <c r="B337" i="3" s="1"/>
  <c r="W336" i="3" l="1"/>
  <c r="P337" i="3"/>
  <c r="Q337" i="3" s="1"/>
  <c r="R337" i="3" s="1"/>
  <c r="S337" i="3" s="1"/>
  <c r="AC337" i="3"/>
  <c r="AA337" i="3"/>
  <c r="Z337" i="3"/>
  <c r="L336" i="3"/>
  <c r="T337" i="3" l="1"/>
  <c r="U336" i="3"/>
  <c r="Y335" i="3"/>
  <c r="E337" i="3" l="1"/>
  <c r="H337" i="3" s="1"/>
  <c r="K337" i="3" s="1"/>
  <c r="AE337" i="3" s="1"/>
  <c r="AH337" i="3"/>
  <c r="AG337" i="3"/>
  <c r="D337" i="3"/>
  <c r="V337" i="3" l="1"/>
  <c r="A338" i="3"/>
  <c r="B338" i="3" s="1"/>
  <c r="F337" i="3"/>
  <c r="G337" i="3"/>
  <c r="I337" i="3" l="1"/>
  <c r="W337" i="3" s="1"/>
  <c r="J337" i="3"/>
  <c r="AD337" i="3" s="1"/>
  <c r="M337" i="3"/>
  <c r="N337" i="3" s="1"/>
  <c r="P338" i="3"/>
  <c r="Q338" i="3" s="1"/>
  <c r="R338" i="3" s="1"/>
  <c r="S338" i="3" s="1"/>
  <c r="Z338" i="3"/>
  <c r="AC338" i="3"/>
  <c r="AA338" i="3"/>
  <c r="T338" i="3" l="1"/>
  <c r="L337" i="3"/>
  <c r="AH338" i="3" l="1"/>
  <c r="U337" i="3"/>
  <c r="E338" i="3" s="1"/>
  <c r="H338" i="3" s="1"/>
  <c r="AG338" i="3"/>
  <c r="Y336" i="3"/>
  <c r="D338" i="3" l="1"/>
  <c r="F338" i="3" s="1"/>
  <c r="K338" i="3"/>
  <c r="AE338" i="3" s="1"/>
  <c r="G338" i="3" l="1"/>
  <c r="M338" i="3" s="1"/>
  <c r="N338" i="3" s="1"/>
  <c r="V338" i="3"/>
  <c r="A339" i="3"/>
  <c r="B339" i="3" s="1"/>
  <c r="I338" i="3" l="1"/>
  <c r="W338" i="3" s="1"/>
  <c r="J338" i="3"/>
  <c r="Z339" i="3"/>
  <c r="P339" i="3"/>
  <c r="Q339" i="3" s="1"/>
  <c r="R339" i="3" s="1"/>
  <c r="S339" i="3" s="1"/>
  <c r="AA339" i="3"/>
  <c r="AC339" i="3"/>
  <c r="L338" i="3" l="1"/>
  <c r="U338" i="3" s="1"/>
  <c r="AD338" i="3"/>
  <c r="T339" i="3"/>
  <c r="Y337" i="3" l="1"/>
  <c r="AG339" i="3"/>
  <c r="AH339" i="3"/>
  <c r="E339" i="3"/>
  <c r="H339" i="3" s="1"/>
  <c r="D339" i="3"/>
  <c r="K339" i="3" l="1"/>
  <c r="AE339" i="3" s="1"/>
  <c r="F339" i="3"/>
  <c r="G339" i="3"/>
  <c r="V339" i="3" l="1"/>
  <c r="A340" i="3"/>
  <c r="B340" i="3" s="1"/>
  <c r="I339" i="3"/>
  <c r="J339" i="3"/>
  <c r="AD339" i="3" s="1"/>
  <c r="M339" i="3"/>
  <c r="N339" i="3" s="1"/>
  <c r="W339" i="3" l="1"/>
  <c r="L339" i="3"/>
  <c r="Z340" i="3"/>
  <c r="P340" i="3"/>
  <c r="Q340" i="3" s="1"/>
  <c r="R340" i="3" s="1"/>
  <c r="S340" i="3" s="1"/>
  <c r="AC340" i="3"/>
  <c r="AA340" i="3"/>
  <c r="T340" i="3" l="1"/>
  <c r="U339" i="3"/>
  <c r="Y338" i="3"/>
  <c r="D340" i="3" l="1"/>
  <c r="G340" i="3" s="1"/>
  <c r="E340" i="3"/>
  <c r="H340" i="3" s="1"/>
  <c r="K340" i="3" s="1"/>
  <c r="AE340" i="3" s="1"/>
  <c r="AH340" i="3"/>
  <c r="AG340" i="3"/>
  <c r="F340" i="3" l="1"/>
  <c r="V340" i="3"/>
  <c r="A341" i="3"/>
  <c r="B341" i="3" s="1"/>
  <c r="I340" i="3"/>
  <c r="J340" i="3"/>
  <c r="AD340" i="3" s="1"/>
  <c r="M340" i="3"/>
  <c r="N340" i="3" s="1"/>
  <c r="W340" i="3" l="1"/>
  <c r="L340" i="3"/>
  <c r="Z341" i="3"/>
  <c r="P341" i="3"/>
  <c r="Q341" i="3" s="1"/>
  <c r="R341" i="3" s="1"/>
  <c r="S341" i="3" s="1"/>
  <c r="AA341" i="3"/>
  <c r="AC341" i="3"/>
  <c r="U340" i="3" l="1"/>
  <c r="Y339" i="3"/>
  <c r="T341" i="3"/>
  <c r="AG341" i="3" s="1"/>
  <c r="D341" i="3" l="1"/>
  <c r="AH341" i="3"/>
  <c r="E341" i="3"/>
  <c r="H341" i="3" s="1"/>
  <c r="F341" i="3" l="1"/>
  <c r="G341" i="3"/>
  <c r="K341" i="3"/>
  <c r="AE341" i="3" s="1"/>
  <c r="I341" i="3" l="1"/>
  <c r="J341" i="3"/>
  <c r="AD341" i="3" s="1"/>
  <c r="M341" i="3"/>
  <c r="N341" i="3" s="1"/>
  <c r="V341" i="3"/>
  <c r="A342" i="3"/>
  <c r="B342" i="3" s="1"/>
  <c r="L341" i="3" l="1"/>
  <c r="W341" i="3"/>
  <c r="Z342" i="3"/>
  <c r="P342" i="3"/>
  <c r="Q342" i="3" s="1"/>
  <c r="R342" i="3" s="1"/>
  <c r="S342" i="3" s="1"/>
  <c r="AA342" i="3"/>
  <c r="AC342" i="3"/>
  <c r="U341" i="3" l="1"/>
  <c r="Y340" i="3"/>
  <c r="T342" i="3"/>
  <c r="D342" i="3" l="1"/>
  <c r="G342" i="3" s="1"/>
  <c r="AH342" i="3"/>
  <c r="E342" i="3"/>
  <c r="H342" i="3" s="1"/>
  <c r="AG342" i="3"/>
  <c r="F342" i="3" l="1"/>
  <c r="I342" i="3"/>
  <c r="J342" i="3"/>
  <c r="AD342" i="3" s="1"/>
  <c r="M342" i="3"/>
  <c r="N342" i="3" s="1"/>
  <c r="K342" i="3"/>
  <c r="AE342" i="3" s="1"/>
  <c r="V342" i="3" l="1"/>
  <c r="W342" i="3" s="1"/>
  <c r="A343" i="3"/>
  <c r="B343" i="3" s="1"/>
  <c r="L342" i="3"/>
  <c r="U342" i="3" l="1"/>
  <c r="Y341" i="3"/>
  <c r="P343" i="3"/>
  <c r="Q343" i="3" s="1"/>
  <c r="R343" i="3" s="1"/>
  <c r="S343" i="3" s="1"/>
  <c r="AA343" i="3"/>
  <c r="Z343" i="3"/>
  <c r="AC343" i="3"/>
  <c r="T343" i="3" l="1"/>
  <c r="D343" i="3" s="1"/>
  <c r="E343" i="3" l="1"/>
  <c r="H343" i="3" s="1"/>
  <c r="K343" i="3" s="1"/>
  <c r="AE343" i="3" s="1"/>
  <c r="G343" i="3"/>
  <c r="AG343" i="3"/>
  <c r="AH343" i="3"/>
  <c r="F343" i="3" l="1"/>
  <c r="I343" i="3"/>
  <c r="J343" i="3"/>
  <c r="AD343" i="3" s="1"/>
  <c r="M343" i="3"/>
  <c r="N343" i="3" s="1"/>
  <c r="V343" i="3"/>
  <c r="A344" i="3"/>
  <c r="B344" i="3" s="1"/>
  <c r="W343" i="3" l="1"/>
  <c r="L343" i="3"/>
  <c r="AA344" i="3"/>
  <c r="Z344" i="3"/>
  <c r="P344" i="3"/>
  <c r="Q344" i="3" s="1"/>
  <c r="R344" i="3" s="1"/>
  <c r="S344" i="3" s="1"/>
  <c r="AC344" i="3"/>
  <c r="U343" i="3" l="1"/>
  <c r="Y342" i="3"/>
  <c r="T344" i="3"/>
  <c r="AH344" i="3" s="1"/>
  <c r="AG344" i="3" l="1"/>
  <c r="E344" i="3"/>
  <c r="H344" i="3" s="1"/>
  <c r="D344" i="3"/>
  <c r="F344" i="3" l="1"/>
  <c r="G344" i="3"/>
  <c r="K344" i="3"/>
  <c r="AE344" i="3" s="1"/>
  <c r="I344" i="3" l="1"/>
  <c r="J344" i="3"/>
  <c r="AD344" i="3" s="1"/>
  <c r="M344" i="3"/>
  <c r="N344" i="3" s="1"/>
  <c r="V344" i="3"/>
  <c r="A345" i="3"/>
  <c r="B345" i="3" s="1"/>
  <c r="W344" i="3" l="1"/>
  <c r="P345" i="3"/>
  <c r="Q345" i="3" s="1"/>
  <c r="R345" i="3" s="1"/>
  <c r="S345" i="3" s="1"/>
  <c r="Z345" i="3"/>
  <c r="AC345" i="3"/>
  <c r="AD345" i="3"/>
  <c r="AA345" i="3"/>
  <c r="L344" i="3"/>
  <c r="T345" i="3" l="1"/>
  <c r="U344" i="3"/>
  <c r="Y343" i="3"/>
  <c r="E345" i="3" l="1"/>
  <c r="H345" i="3" s="1"/>
  <c r="K345" i="3" s="1"/>
  <c r="AE345" i="3" s="1"/>
  <c r="AH345" i="3"/>
  <c r="D345" i="3"/>
  <c r="AG345" i="3"/>
  <c r="F345" i="3" l="1"/>
  <c r="G345" i="3"/>
  <c r="V345" i="3"/>
  <c r="A346" i="3"/>
  <c r="B346" i="3" s="1"/>
  <c r="AD346" i="3" l="1"/>
  <c r="AC346" i="3"/>
  <c r="P346" i="3"/>
  <c r="Q346" i="3" s="1"/>
  <c r="R346" i="3" s="1"/>
  <c r="S346" i="3" s="1"/>
  <c r="AA346" i="3"/>
  <c r="Z346" i="3"/>
  <c r="I345" i="3"/>
  <c r="W345" i="3" s="1"/>
  <c r="J345" i="3"/>
  <c r="M345" i="3"/>
  <c r="N345" i="3" s="1"/>
  <c r="L345" i="3" l="1"/>
  <c r="T346" i="3"/>
  <c r="AH346" i="3" l="1"/>
  <c r="AG346" i="3"/>
  <c r="U345" i="3"/>
  <c r="D346" i="3" s="1"/>
  <c r="Y344" i="3"/>
  <c r="G346" i="3" l="1"/>
  <c r="E346" i="3"/>
  <c r="H346" i="3" s="1"/>
  <c r="F346" i="3" l="1"/>
  <c r="I346" i="3"/>
  <c r="J346" i="3"/>
  <c r="M346" i="3"/>
  <c r="N346" i="3" s="1"/>
  <c r="K346" i="3"/>
  <c r="AE346" i="3" s="1"/>
  <c r="V346" i="3" l="1"/>
  <c r="W346" i="3" s="1"/>
  <c r="A347" i="3"/>
  <c r="B347" i="3" s="1"/>
  <c r="L346" i="3"/>
  <c r="U346" i="3" l="1"/>
  <c r="Y345" i="3"/>
  <c r="AC347" i="3"/>
  <c r="Z347" i="3"/>
  <c r="AA347" i="3"/>
  <c r="P347" i="3"/>
  <c r="Q347" i="3" s="1"/>
  <c r="R347" i="3" s="1"/>
  <c r="S347" i="3" s="1"/>
  <c r="AD347" i="3"/>
  <c r="T347" i="3" l="1"/>
  <c r="E347" i="3" s="1"/>
  <c r="H347" i="3" s="1"/>
  <c r="K347" i="3" l="1"/>
  <c r="AE347" i="3" s="1"/>
  <c r="AH347" i="3"/>
  <c r="AG347" i="3"/>
  <c r="D347" i="3"/>
  <c r="F347" i="3" l="1"/>
  <c r="G347" i="3"/>
  <c r="V347" i="3"/>
  <c r="A348" i="3"/>
  <c r="B348" i="3" s="1"/>
  <c r="I347" i="3" l="1"/>
  <c r="W347" i="3" s="1"/>
  <c r="J347" i="3"/>
  <c r="M347" i="3"/>
  <c r="N347" i="3" s="1"/>
  <c r="AC348" i="3"/>
  <c r="AA348" i="3"/>
  <c r="P348" i="3"/>
  <c r="Q348" i="3" s="1"/>
  <c r="R348" i="3" s="1"/>
  <c r="S348" i="3" s="1"/>
  <c r="AD348" i="3"/>
  <c r="Z348" i="3"/>
  <c r="L347" i="3" l="1"/>
  <c r="T348" i="3"/>
  <c r="U347" i="3" l="1"/>
  <c r="D348" i="3" s="1"/>
  <c r="AH348" i="3"/>
  <c r="AG348" i="3"/>
  <c r="Y346" i="3"/>
  <c r="E348" i="3" l="1"/>
  <c r="H348" i="3" s="1"/>
  <c r="K348" i="3" s="1"/>
  <c r="AE348" i="3" s="1"/>
  <c r="G348" i="3"/>
  <c r="F348" i="3" l="1"/>
  <c r="I348" i="3"/>
  <c r="J348" i="3"/>
  <c r="M348" i="3"/>
  <c r="N348" i="3" s="1"/>
  <c r="V348" i="3"/>
  <c r="A349" i="3"/>
  <c r="B349" i="3" s="1"/>
  <c r="W348" i="3" l="1"/>
  <c r="L348" i="3"/>
  <c r="AC349" i="3"/>
  <c r="P349" i="3"/>
  <c r="Q349" i="3" s="1"/>
  <c r="R349" i="3" s="1"/>
  <c r="S349" i="3" s="1"/>
  <c r="AA349" i="3"/>
  <c r="Z349" i="3"/>
  <c r="AD349" i="3"/>
  <c r="U348" i="3" l="1"/>
  <c r="Y347" i="3"/>
  <c r="T349" i="3"/>
  <c r="AG349" i="3" s="1"/>
  <c r="E349" i="3" l="1"/>
  <c r="H349" i="3" s="1"/>
  <c r="K349" i="3" s="1"/>
  <c r="AE349" i="3" s="1"/>
  <c r="D349" i="3"/>
  <c r="AH349" i="3"/>
  <c r="V349" i="3" l="1"/>
  <c r="A350" i="3"/>
  <c r="B350" i="3" s="1"/>
  <c r="F349" i="3"/>
  <c r="G349" i="3"/>
  <c r="I349" i="3" l="1"/>
  <c r="W349" i="3" s="1"/>
  <c r="J349" i="3"/>
  <c r="M349" i="3"/>
  <c r="N349" i="3" s="1"/>
  <c r="AD350" i="3"/>
  <c r="P350" i="3"/>
  <c r="Q350" i="3" s="1"/>
  <c r="R350" i="3" s="1"/>
  <c r="S350" i="3" s="1"/>
  <c r="Z350" i="3"/>
  <c r="AC350" i="3"/>
  <c r="AA350" i="3"/>
  <c r="T350" i="3" l="1"/>
  <c r="L349" i="3"/>
  <c r="U349" i="3" l="1"/>
  <c r="D350" i="3" s="1"/>
  <c r="AG350" i="3"/>
  <c r="AH350" i="3"/>
  <c r="Y348" i="3"/>
  <c r="E350" i="3" l="1"/>
  <c r="H350" i="3" s="1"/>
  <c r="K350" i="3" s="1"/>
  <c r="AE350" i="3" s="1"/>
  <c r="G350" i="3"/>
  <c r="F350" i="3" l="1"/>
  <c r="V350" i="3"/>
  <c r="A351" i="3"/>
  <c r="B351" i="3" s="1"/>
  <c r="I350" i="3"/>
  <c r="J350" i="3"/>
  <c r="M350" i="3"/>
  <c r="N350" i="3" s="1"/>
  <c r="W350" i="3" l="1"/>
  <c r="L350" i="3"/>
  <c r="AA351" i="3"/>
  <c r="P351" i="3"/>
  <c r="Q351" i="3" s="1"/>
  <c r="R351" i="3" s="1"/>
  <c r="S351" i="3" s="1"/>
  <c r="Z351" i="3"/>
  <c r="AC351" i="3"/>
  <c r="AD351" i="3"/>
  <c r="U350" i="3" l="1"/>
  <c r="Y349" i="3"/>
  <c r="T351" i="3"/>
  <c r="D351" i="3" l="1"/>
  <c r="G351" i="3" s="1"/>
  <c r="AH351" i="3"/>
  <c r="E351" i="3"/>
  <c r="H351" i="3" s="1"/>
  <c r="K351" i="3" s="1"/>
  <c r="AE351" i="3" s="1"/>
  <c r="AG351" i="3"/>
  <c r="F351" i="3" l="1"/>
  <c r="V351" i="3"/>
  <c r="A352" i="3"/>
  <c r="B352" i="3" s="1"/>
  <c r="I351" i="3"/>
  <c r="J351" i="3"/>
  <c r="M351" i="3"/>
  <c r="N351" i="3" s="1"/>
  <c r="L351" i="3" l="1"/>
  <c r="W351" i="3"/>
  <c r="AC352" i="3"/>
  <c r="AD352" i="3"/>
  <c r="P352" i="3"/>
  <c r="Q352" i="3" s="1"/>
  <c r="R352" i="3" s="1"/>
  <c r="S352" i="3" s="1"/>
  <c r="AA352" i="3"/>
  <c r="Z352" i="3"/>
  <c r="U351" i="3" l="1"/>
  <c r="Y350" i="3"/>
  <c r="T352" i="3"/>
  <c r="E352" i="3" l="1"/>
  <c r="H352" i="3" s="1"/>
  <c r="K352" i="3" s="1"/>
  <c r="AE352" i="3" s="1"/>
  <c r="AH352" i="3"/>
  <c r="D352" i="3"/>
  <c r="AG352" i="3"/>
  <c r="F352" i="3" l="1"/>
  <c r="G352" i="3"/>
  <c r="V352" i="3"/>
  <c r="A353" i="3"/>
  <c r="B353" i="3" s="1"/>
  <c r="AC353" i="3" l="1"/>
  <c r="AD353" i="3"/>
  <c r="AA353" i="3"/>
  <c r="P353" i="3"/>
  <c r="Q353" i="3" s="1"/>
  <c r="R353" i="3" s="1"/>
  <c r="S353" i="3" s="1"/>
  <c r="Z353" i="3"/>
  <c r="I352" i="3"/>
  <c r="W352" i="3" s="1"/>
  <c r="J352" i="3"/>
  <c r="M352" i="3"/>
  <c r="N352" i="3" s="1"/>
  <c r="T353" i="3" l="1"/>
  <c r="L352" i="3"/>
  <c r="U352" i="3" l="1"/>
  <c r="D353" i="3" s="1"/>
  <c r="AH353" i="3"/>
  <c r="AG353" i="3"/>
  <c r="Y351" i="3"/>
  <c r="E353" i="3" l="1"/>
  <c r="H353" i="3" s="1"/>
  <c r="K353" i="3" s="1"/>
  <c r="AE353" i="3" s="1"/>
  <c r="G353" i="3"/>
  <c r="F353" i="3" l="1"/>
  <c r="I353" i="3"/>
  <c r="J353" i="3"/>
  <c r="M353" i="3"/>
  <c r="N353" i="3" s="1"/>
  <c r="V353" i="3"/>
  <c r="A354" i="3"/>
  <c r="B354" i="3" s="1"/>
  <c r="W353" i="3" l="1"/>
  <c r="L353" i="3"/>
  <c r="P354" i="3"/>
  <c r="Q354" i="3" s="1"/>
  <c r="R354" i="3" s="1"/>
  <c r="S354" i="3" s="1"/>
  <c r="AC354" i="3"/>
  <c r="Z354" i="3"/>
  <c r="AA354" i="3"/>
  <c r="U353" i="3" l="1"/>
  <c r="Y352" i="3"/>
  <c r="T354" i="3"/>
  <c r="AG354" i="3" s="1"/>
  <c r="D354" i="3" l="1"/>
  <c r="AH354" i="3"/>
  <c r="E354" i="3"/>
  <c r="H354" i="3" s="1"/>
  <c r="F354" i="3" l="1"/>
  <c r="G354" i="3"/>
  <c r="K354" i="3"/>
  <c r="AE354" i="3" s="1"/>
  <c r="V354" i="3" l="1"/>
  <c r="A355" i="3"/>
  <c r="B355" i="3" s="1"/>
  <c r="I354" i="3"/>
  <c r="J354" i="3"/>
  <c r="AD354" i="3" s="1"/>
  <c r="M354" i="3"/>
  <c r="N354" i="3" s="1"/>
  <c r="W354" i="3" l="1"/>
  <c r="L354" i="3"/>
  <c r="AA355" i="3"/>
  <c r="AC355" i="3"/>
  <c r="Z355" i="3"/>
  <c r="P355" i="3"/>
  <c r="Q355" i="3" s="1"/>
  <c r="R355" i="3" s="1"/>
  <c r="S355" i="3" s="1"/>
  <c r="T355" i="3" l="1"/>
  <c r="U354" i="3"/>
  <c r="Y353" i="3"/>
  <c r="D355" i="3" l="1"/>
  <c r="G355" i="3" s="1"/>
  <c r="AG355" i="3"/>
  <c r="E355" i="3"/>
  <c r="H355" i="3" s="1"/>
  <c r="K355" i="3" s="1"/>
  <c r="AE355" i="3" s="1"/>
  <c r="AH355" i="3"/>
  <c r="F355" i="3" l="1"/>
  <c r="V355" i="3"/>
  <c r="A356" i="3"/>
  <c r="B356" i="3" s="1"/>
  <c r="I355" i="3"/>
  <c r="J355" i="3"/>
  <c r="AD355" i="3" s="1"/>
  <c r="M355" i="3"/>
  <c r="N355" i="3" s="1"/>
  <c r="W355" i="3" l="1"/>
  <c r="L355" i="3"/>
  <c r="P356" i="3"/>
  <c r="Q356" i="3" s="1"/>
  <c r="R356" i="3" s="1"/>
  <c r="S356" i="3" s="1"/>
  <c r="AA356" i="3"/>
  <c r="Z356" i="3"/>
  <c r="AC356" i="3"/>
  <c r="U355" i="3" l="1"/>
  <c r="Y354" i="3"/>
  <c r="T356" i="3"/>
  <c r="AG356" i="3" s="1"/>
  <c r="AH356" i="3" l="1"/>
  <c r="D356" i="3"/>
  <c r="E356" i="3"/>
  <c r="H356" i="3" s="1"/>
  <c r="K356" i="3" s="1"/>
  <c r="AE356" i="3" s="1"/>
  <c r="F356" i="3" l="1"/>
  <c r="G356" i="3"/>
  <c r="M356" i="3" s="1"/>
  <c r="N356" i="3" s="1"/>
  <c r="V356" i="3"/>
  <c r="A357" i="3"/>
  <c r="B357" i="3" s="1"/>
  <c r="I356" i="3" l="1"/>
  <c r="W356" i="3" s="1"/>
  <c r="J356" i="3"/>
  <c r="Z357" i="3"/>
  <c r="P357" i="3"/>
  <c r="Q357" i="3" s="1"/>
  <c r="R357" i="3" s="1"/>
  <c r="S357" i="3" s="1"/>
  <c r="AC357" i="3"/>
  <c r="AA357" i="3"/>
  <c r="L356" i="3" l="1"/>
  <c r="U356" i="3" s="1"/>
  <c r="AD356" i="3"/>
  <c r="T357" i="3"/>
  <c r="Y355" i="3" l="1"/>
  <c r="AG357" i="3"/>
  <c r="AH357" i="3"/>
  <c r="E357" i="3"/>
  <c r="H357" i="3" s="1"/>
  <c r="D357" i="3"/>
  <c r="F357" i="3" l="1"/>
  <c r="G357" i="3"/>
  <c r="K357" i="3"/>
  <c r="AE357" i="3" s="1"/>
  <c r="V357" i="3" l="1"/>
  <c r="A358" i="3"/>
  <c r="B358" i="3" s="1"/>
  <c r="I357" i="3"/>
  <c r="J357" i="3"/>
  <c r="AD357" i="3" s="1"/>
  <c r="M357" i="3"/>
  <c r="N357" i="3" s="1"/>
  <c r="W357" i="3" l="1"/>
  <c r="L357" i="3"/>
  <c r="P358" i="3"/>
  <c r="Q358" i="3" s="1"/>
  <c r="R358" i="3" s="1"/>
  <c r="S358" i="3" s="1"/>
  <c r="Z358" i="3"/>
  <c r="AA358" i="3"/>
  <c r="AC358" i="3"/>
  <c r="T358" i="3" l="1"/>
  <c r="AH358" i="3" s="1"/>
  <c r="U357" i="3"/>
  <c r="Y356" i="3"/>
  <c r="D358" i="3" l="1"/>
  <c r="G358" i="3" s="1"/>
  <c r="E358" i="3"/>
  <c r="H358" i="3" s="1"/>
  <c r="AG358" i="3"/>
  <c r="I358" i="3" l="1"/>
  <c r="J358" i="3"/>
  <c r="AD358" i="3" s="1"/>
  <c r="M358" i="3"/>
  <c r="N358" i="3" s="1"/>
  <c r="F358" i="3"/>
  <c r="K358" i="3"/>
  <c r="AE358" i="3" s="1"/>
  <c r="V358" i="3" l="1"/>
  <c r="W358" i="3" s="1"/>
  <c r="A359" i="3"/>
  <c r="B359" i="3" s="1"/>
  <c r="L358" i="3"/>
  <c r="U358" i="3" l="1"/>
  <c r="Y357" i="3"/>
  <c r="P359" i="3"/>
  <c r="Q359" i="3" s="1"/>
  <c r="R359" i="3" s="1"/>
  <c r="S359" i="3" s="1"/>
  <c r="AC359" i="3"/>
  <c r="AA359" i="3"/>
  <c r="Z359" i="3"/>
  <c r="T359" i="3" l="1"/>
  <c r="AG359" i="3" s="1"/>
  <c r="AH359" i="3" l="1"/>
  <c r="E359" i="3"/>
  <c r="H359" i="3" s="1"/>
  <c r="D359" i="3"/>
  <c r="K359" i="3" l="1"/>
  <c r="AE359" i="3" s="1"/>
  <c r="F359" i="3"/>
  <c r="G359" i="3"/>
  <c r="I359" i="3" l="1"/>
  <c r="J359" i="3"/>
  <c r="AD359" i="3" s="1"/>
  <c r="M359" i="3"/>
  <c r="N359" i="3" s="1"/>
  <c r="V359" i="3"/>
  <c r="A360" i="3"/>
  <c r="B360" i="3" s="1"/>
  <c r="W359" i="3" l="1"/>
  <c r="L359" i="3"/>
  <c r="AC360" i="3"/>
  <c r="AA360" i="3"/>
  <c r="P360" i="3"/>
  <c r="Q360" i="3" s="1"/>
  <c r="R360" i="3" s="1"/>
  <c r="S360" i="3" s="1"/>
  <c r="Z360" i="3"/>
  <c r="T360" i="3" l="1"/>
  <c r="AH360" i="3" s="1"/>
  <c r="U359" i="3"/>
  <c r="Y358" i="3"/>
  <c r="E360" i="3" l="1"/>
  <c r="H360" i="3" s="1"/>
  <c r="K360" i="3" s="1"/>
  <c r="AE360" i="3" s="1"/>
  <c r="AG360" i="3"/>
  <c r="D360" i="3"/>
  <c r="F360" i="3" l="1"/>
  <c r="G360" i="3"/>
  <c r="V360" i="3"/>
  <c r="A361" i="3"/>
  <c r="B361" i="3" s="1"/>
  <c r="Z361" i="3" l="1"/>
  <c r="P361" i="3"/>
  <c r="Q361" i="3" s="1"/>
  <c r="R361" i="3" s="1"/>
  <c r="S361" i="3" s="1"/>
  <c r="AC361" i="3"/>
  <c r="AA361" i="3"/>
  <c r="I360" i="3"/>
  <c r="W360" i="3" s="1"/>
  <c r="J360" i="3"/>
  <c r="AD360" i="3" s="1"/>
  <c r="M360" i="3"/>
  <c r="N360" i="3" s="1"/>
  <c r="T361" i="3" l="1"/>
  <c r="L360" i="3"/>
  <c r="AG361" i="3" l="1"/>
  <c r="AH361" i="3"/>
  <c r="U360" i="3"/>
  <c r="E361" i="3" s="1"/>
  <c r="H361" i="3" s="1"/>
  <c r="Y359" i="3"/>
  <c r="D361" i="3" l="1"/>
  <c r="G361" i="3" s="1"/>
  <c r="K361" i="3"/>
  <c r="AE361" i="3" s="1"/>
  <c r="F361" i="3" l="1"/>
  <c r="I361" i="3"/>
  <c r="J361" i="3"/>
  <c r="AD361" i="3" s="1"/>
  <c r="M361" i="3"/>
  <c r="N361" i="3" s="1"/>
  <c r="V361" i="3"/>
  <c r="A362" i="3"/>
  <c r="B362" i="3" s="1"/>
  <c r="W361" i="3" l="1"/>
  <c r="L361" i="3"/>
  <c r="AC362" i="3"/>
  <c r="Z362" i="3"/>
  <c r="P362" i="3"/>
  <c r="Q362" i="3" s="1"/>
  <c r="R362" i="3" s="1"/>
  <c r="S362" i="3" s="1"/>
  <c r="AA362" i="3"/>
  <c r="U361" i="3" l="1"/>
  <c r="Y360" i="3"/>
  <c r="T362" i="3"/>
  <c r="AH362" i="3" s="1"/>
  <c r="D362" i="3" l="1"/>
  <c r="G362" i="3" s="1"/>
  <c r="E362" i="3"/>
  <c r="H362" i="3" s="1"/>
  <c r="K362" i="3" s="1"/>
  <c r="AE362" i="3" s="1"/>
  <c r="AG362" i="3"/>
  <c r="F362" i="3" l="1"/>
  <c r="I362" i="3"/>
  <c r="J362" i="3"/>
  <c r="AD362" i="3" s="1"/>
  <c r="M362" i="3"/>
  <c r="N362" i="3" s="1"/>
  <c r="V362" i="3"/>
  <c r="A363" i="3"/>
  <c r="B363" i="3" s="1"/>
  <c r="W362" i="3" l="1"/>
  <c r="L362" i="3"/>
  <c r="P363" i="3"/>
  <c r="Q363" i="3" s="1"/>
  <c r="R363" i="3" s="1"/>
  <c r="S363" i="3" s="1"/>
  <c r="AA363" i="3"/>
  <c r="Z363" i="3"/>
  <c r="AC363" i="3"/>
  <c r="T363" i="3" l="1"/>
  <c r="U362" i="3"/>
  <c r="Y361" i="3"/>
  <c r="E363" i="3" l="1"/>
  <c r="H363" i="3" s="1"/>
  <c r="K363" i="3" s="1"/>
  <c r="AE363" i="3" s="1"/>
  <c r="AH363" i="3"/>
  <c r="D363" i="3"/>
  <c r="AG363" i="3"/>
  <c r="F363" i="3" l="1"/>
  <c r="G363" i="3"/>
  <c r="M363" i="3" s="1"/>
  <c r="N363" i="3" s="1"/>
  <c r="V363" i="3"/>
  <c r="A364" i="3"/>
  <c r="B364" i="3" s="1"/>
  <c r="I363" i="3" l="1"/>
  <c r="W363" i="3" s="1"/>
  <c r="J363" i="3"/>
  <c r="P364" i="3"/>
  <c r="Q364" i="3" s="1"/>
  <c r="R364" i="3" s="1"/>
  <c r="S364" i="3" s="1"/>
  <c r="Z364" i="3"/>
  <c r="AC364" i="3"/>
  <c r="AA364" i="3"/>
  <c r="L363" i="3" l="1"/>
  <c r="U363" i="3" s="1"/>
  <c r="AD363" i="3"/>
  <c r="T364" i="3"/>
  <c r="Y362" i="3" l="1"/>
  <c r="D364" i="3"/>
  <c r="G364" i="3" s="1"/>
  <c r="E364" i="3"/>
  <c r="H364" i="3" s="1"/>
  <c r="K364" i="3" s="1"/>
  <c r="AE364" i="3" s="1"/>
  <c r="AG364" i="3"/>
  <c r="AH364" i="3"/>
  <c r="F364" i="3" l="1"/>
  <c r="V364" i="3"/>
  <c r="A365" i="3"/>
  <c r="B365" i="3" s="1"/>
  <c r="I364" i="3"/>
  <c r="J364" i="3"/>
  <c r="AD364" i="3" s="1"/>
  <c r="M364" i="3"/>
  <c r="N364" i="3" s="1"/>
  <c r="W364" i="3" l="1"/>
  <c r="L364" i="3"/>
  <c r="AC365" i="3"/>
  <c r="P365" i="3"/>
  <c r="Q365" i="3" s="1"/>
  <c r="R365" i="3" s="1"/>
  <c r="S365" i="3" s="1"/>
  <c r="AA365" i="3"/>
  <c r="Z365" i="3"/>
  <c r="U364" i="3" l="1"/>
  <c r="Y363" i="3"/>
  <c r="T365" i="3"/>
  <c r="AH365" i="3" s="1"/>
  <c r="D365" i="3" l="1"/>
  <c r="G365" i="3" s="1"/>
  <c r="AG365" i="3"/>
  <c r="E365" i="3"/>
  <c r="H365" i="3" s="1"/>
  <c r="K365" i="3" s="1"/>
  <c r="AE365" i="3" s="1"/>
  <c r="F365" i="3" l="1"/>
  <c r="I365" i="3"/>
  <c r="J365" i="3"/>
  <c r="AD365" i="3" s="1"/>
  <c r="M365" i="3"/>
  <c r="N365" i="3" s="1"/>
  <c r="V365" i="3"/>
  <c r="A366" i="3"/>
  <c r="B366" i="3" s="1"/>
  <c r="W365" i="3" l="1"/>
  <c r="L365" i="3"/>
  <c r="AC366" i="3"/>
  <c r="P366" i="3"/>
  <c r="Q366" i="3" s="1"/>
  <c r="R366" i="3" s="1"/>
  <c r="S366" i="3" s="1"/>
  <c r="AA366" i="3"/>
  <c r="Z366" i="3"/>
  <c r="U365" i="3" l="1"/>
  <c r="Y364" i="3"/>
  <c r="T366" i="3"/>
  <c r="E366" i="3" l="1"/>
  <c r="H366" i="3" s="1"/>
  <c r="K366" i="3" s="1"/>
  <c r="AE366" i="3" s="1"/>
  <c r="AH366" i="3"/>
  <c r="D366" i="3"/>
  <c r="G366" i="3" s="1"/>
  <c r="AG366" i="3"/>
  <c r="F366" i="3" l="1"/>
  <c r="V366" i="3"/>
  <c r="A367" i="3"/>
  <c r="B367" i="3" s="1"/>
  <c r="I366" i="3"/>
  <c r="J366" i="3"/>
  <c r="AD366" i="3" s="1"/>
  <c r="M366" i="3"/>
  <c r="N366" i="3" s="1"/>
  <c r="W366" i="3" l="1"/>
  <c r="L366" i="3"/>
  <c r="Z367" i="3"/>
  <c r="P367" i="3"/>
  <c r="Q367" i="3" s="1"/>
  <c r="R367" i="3" s="1"/>
  <c r="S367" i="3" s="1"/>
  <c r="AC367" i="3"/>
  <c r="AA367" i="3"/>
  <c r="T367" i="3" l="1"/>
  <c r="AG367" i="3" s="1"/>
  <c r="U366" i="3"/>
  <c r="Y365" i="3"/>
  <c r="D367" i="3" l="1"/>
  <c r="AH367" i="3"/>
  <c r="E367" i="3"/>
  <c r="H367" i="3" s="1"/>
  <c r="F367" i="3" l="1"/>
  <c r="G367" i="3"/>
  <c r="K367" i="3"/>
  <c r="AE367" i="3" s="1"/>
  <c r="I367" i="3" l="1"/>
  <c r="J367" i="3"/>
  <c r="AD367" i="3" s="1"/>
  <c r="M367" i="3"/>
  <c r="N367" i="3" s="1"/>
  <c r="V367" i="3"/>
  <c r="A368" i="3"/>
  <c r="B368" i="3" s="1"/>
  <c r="L367" i="3" l="1"/>
  <c r="W367" i="3"/>
  <c r="Z368" i="3"/>
  <c r="P368" i="3"/>
  <c r="Q368" i="3" s="1"/>
  <c r="R368" i="3" s="1"/>
  <c r="S368" i="3" s="1"/>
  <c r="AC368" i="3"/>
  <c r="AA368" i="3"/>
  <c r="T368" i="3" l="1"/>
  <c r="AH368" i="3" s="1"/>
  <c r="U367" i="3"/>
  <c r="Y366" i="3"/>
  <c r="E368" i="3" l="1"/>
  <c r="H368" i="3" s="1"/>
  <c r="K368" i="3" s="1"/>
  <c r="AE368" i="3" s="1"/>
  <c r="D368" i="3"/>
  <c r="AG368" i="3"/>
  <c r="V368" i="3" l="1"/>
  <c r="A369" i="3"/>
  <c r="B369" i="3" s="1"/>
  <c r="F368" i="3"/>
  <c r="G368" i="3"/>
  <c r="I368" i="3" l="1"/>
  <c r="W368" i="3" s="1"/>
  <c r="J368" i="3"/>
  <c r="AD368" i="3" s="1"/>
  <c r="M368" i="3"/>
  <c r="N368" i="3" s="1"/>
  <c r="Z369" i="3"/>
  <c r="AC369" i="3"/>
  <c r="P369" i="3"/>
  <c r="Q369" i="3" s="1"/>
  <c r="R369" i="3" s="1"/>
  <c r="S369" i="3" s="1"/>
  <c r="AA369" i="3"/>
  <c r="T369" i="3" l="1"/>
  <c r="L368" i="3"/>
  <c r="AH369" i="3" l="1"/>
  <c r="AG369" i="3"/>
  <c r="U368" i="3"/>
  <c r="E369" i="3" s="1"/>
  <c r="H369" i="3" s="1"/>
  <c r="Y367" i="3"/>
  <c r="D369" i="3" l="1"/>
  <c r="F369" i="3" s="1"/>
  <c r="K369" i="3"/>
  <c r="AE369" i="3" s="1"/>
  <c r="G369" i="3" l="1"/>
  <c r="M369" i="3" s="1"/>
  <c r="N369" i="3" s="1"/>
  <c r="V369" i="3"/>
  <c r="A370" i="3"/>
  <c r="B370" i="3" s="1"/>
  <c r="J369" i="3" l="1"/>
  <c r="I369" i="3"/>
  <c r="W369" i="3" s="1"/>
  <c r="AA370" i="3"/>
  <c r="P370" i="3"/>
  <c r="Q370" i="3" s="1"/>
  <c r="R370" i="3" s="1"/>
  <c r="S370" i="3" s="1"/>
  <c r="AC370" i="3"/>
  <c r="Z370" i="3"/>
  <c r="L369" i="3" l="1"/>
  <c r="U369" i="3" s="1"/>
  <c r="AD369" i="3"/>
  <c r="T370" i="3"/>
  <c r="AG370" i="3" l="1"/>
  <c r="Y368" i="3"/>
  <c r="E370" i="3"/>
  <c r="H370" i="3" s="1"/>
  <c r="K370" i="3" s="1"/>
  <c r="AE370" i="3" s="1"/>
  <c r="AH370" i="3"/>
  <c r="D370" i="3"/>
  <c r="F370" i="3" l="1"/>
  <c r="G370" i="3"/>
  <c r="M370" i="3" s="1"/>
  <c r="N370" i="3" s="1"/>
  <c r="V370" i="3"/>
  <c r="A371" i="3"/>
  <c r="B371" i="3" s="1"/>
  <c r="I370" i="3" l="1"/>
  <c r="W370" i="3" s="1"/>
  <c r="J370" i="3"/>
  <c r="AC371" i="3"/>
  <c r="P371" i="3"/>
  <c r="Q371" i="3" s="1"/>
  <c r="R371" i="3" s="1"/>
  <c r="S371" i="3" s="1"/>
  <c r="AA371" i="3"/>
  <c r="Z371" i="3"/>
  <c r="L370" i="3" l="1"/>
  <c r="U370" i="3" s="1"/>
  <c r="AD370" i="3"/>
  <c r="T371" i="3"/>
  <c r="Y369" i="3" l="1"/>
  <c r="AG371" i="3"/>
  <c r="E371" i="3"/>
  <c r="H371" i="3" s="1"/>
  <c r="K371" i="3" s="1"/>
  <c r="AE371" i="3" s="1"/>
  <c r="D371" i="3"/>
  <c r="AH371" i="3"/>
  <c r="V371" i="3" l="1"/>
  <c r="A372" i="3"/>
  <c r="B372" i="3" s="1"/>
  <c r="F371" i="3"/>
  <c r="G371" i="3"/>
  <c r="I371" i="3" l="1"/>
  <c r="W371" i="3" s="1"/>
  <c r="J371" i="3"/>
  <c r="AD371" i="3" s="1"/>
  <c r="M371" i="3"/>
  <c r="N371" i="3" s="1"/>
  <c r="P372" i="3"/>
  <c r="Q372" i="3" s="1"/>
  <c r="R372" i="3" s="1"/>
  <c r="S372" i="3" s="1"/>
  <c r="AA372" i="3"/>
  <c r="AC372" i="3"/>
  <c r="Z372" i="3"/>
  <c r="L371" i="3" l="1"/>
  <c r="T372" i="3"/>
  <c r="U371" i="3" l="1"/>
  <c r="E372" i="3" s="1"/>
  <c r="H372" i="3" s="1"/>
  <c r="AG372" i="3"/>
  <c r="AH372" i="3"/>
  <c r="Y370" i="3"/>
  <c r="D372" i="3" l="1"/>
  <c r="F372" i="3" s="1"/>
  <c r="K372" i="3"/>
  <c r="AE372" i="3" s="1"/>
  <c r="G372" i="3" l="1"/>
  <c r="M372" i="3" s="1"/>
  <c r="N372" i="3" s="1"/>
  <c r="V372" i="3"/>
  <c r="A373" i="3"/>
  <c r="B373" i="3" s="1"/>
  <c r="J372" i="3" l="1"/>
  <c r="I372" i="3"/>
  <c r="W372" i="3" s="1"/>
  <c r="Z373" i="3"/>
  <c r="AC373" i="3"/>
  <c r="P373" i="3"/>
  <c r="Q373" i="3" s="1"/>
  <c r="R373" i="3" s="1"/>
  <c r="S373" i="3" s="1"/>
  <c r="AA373" i="3"/>
  <c r="L372" i="3" l="1"/>
  <c r="U372" i="3" s="1"/>
  <c r="AD372" i="3"/>
  <c r="T373" i="3"/>
  <c r="AH373" i="3" l="1"/>
  <c r="Y371" i="3"/>
  <c r="D373" i="3"/>
  <c r="G373" i="3" s="1"/>
  <c r="E373" i="3"/>
  <c r="H373" i="3" s="1"/>
  <c r="AG373" i="3"/>
  <c r="F373" i="3" l="1"/>
  <c r="I373" i="3"/>
  <c r="J373" i="3"/>
  <c r="AD373" i="3" s="1"/>
  <c r="M373" i="3"/>
  <c r="N373" i="3" s="1"/>
  <c r="K373" i="3"/>
  <c r="AE373" i="3" s="1"/>
  <c r="V373" i="3" l="1"/>
  <c r="W373" i="3" s="1"/>
  <c r="A374" i="3"/>
  <c r="B374" i="3" s="1"/>
  <c r="L373" i="3"/>
  <c r="U373" i="3" l="1"/>
  <c r="Y372" i="3"/>
  <c r="AA374" i="3"/>
  <c r="AC374" i="3"/>
  <c r="Z374" i="3"/>
  <c r="P374" i="3"/>
  <c r="Q374" i="3" s="1"/>
  <c r="R374" i="3" s="1"/>
  <c r="S374" i="3" s="1"/>
  <c r="T374" i="3" l="1"/>
  <c r="AH374" i="3" s="1"/>
  <c r="AG374" i="3" l="1"/>
  <c r="E374" i="3"/>
  <c r="H374" i="3" s="1"/>
  <c r="K374" i="3" s="1"/>
  <c r="AE374" i="3" s="1"/>
  <c r="D374" i="3"/>
  <c r="F374" i="3" l="1"/>
  <c r="G374" i="3"/>
  <c r="I374" i="3" s="1"/>
  <c r="V374" i="3"/>
  <c r="A375" i="3"/>
  <c r="B375" i="3" s="1"/>
  <c r="J374" i="3" l="1"/>
  <c r="M374" i="3"/>
  <c r="N374" i="3" s="1"/>
  <c r="W374" i="3"/>
  <c r="P375" i="3"/>
  <c r="Q375" i="3" s="1"/>
  <c r="R375" i="3" s="1"/>
  <c r="S375" i="3" s="1"/>
  <c r="Z375" i="3"/>
  <c r="AC375" i="3"/>
  <c r="AA375" i="3"/>
  <c r="L374" i="3" l="1"/>
  <c r="Y373" i="3" s="1"/>
  <c r="AD374" i="3"/>
  <c r="T375" i="3"/>
  <c r="U374" i="3" l="1"/>
  <c r="E375" i="3" s="1"/>
  <c r="H375" i="3" s="1"/>
  <c r="K375" i="3" s="1"/>
  <c r="AE375" i="3" s="1"/>
  <c r="AG375" i="3"/>
  <c r="AH375" i="3"/>
  <c r="D375" i="3" l="1"/>
  <c r="G375" i="3" s="1"/>
  <c r="I375" i="3" s="1"/>
  <c r="V375" i="3"/>
  <c r="A376" i="3"/>
  <c r="B376" i="3" s="1"/>
  <c r="M375" i="3" l="1"/>
  <c r="N375" i="3" s="1"/>
  <c r="F375" i="3"/>
  <c r="J375" i="3"/>
  <c r="W375" i="3"/>
  <c r="AA376" i="3"/>
  <c r="P376" i="3"/>
  <c r="Q376" i="3" s="1"/>
  <c r="R376" i="3" s="1"/>
  <c r="S376" i="3" s="1"/>
  <c r="AC376" i="3"/>
  <c r="Z376" i="3"/>
  <c r="L375" i="3" l="1"/>
  <c r="U375" i="3" s="1"/>
  <c r="AD375" i="3"/>
  <c r="T376" i="3"/>
  <c r="Y374" i="3" l="1"/>
  <c r="D376" i="3"/>
  <c r="G376" i="3" s="1"/>
  <c r="AG376" i="3"/>
  <c r="AH376" i="3"/>
  <c r="E376" i="3"/>
  <c r="H376" i="3" s="1"/>
  <c r="F376" i="3" l="1"/>
  <c r="I376" i="3"/>
  <c r="J376" i="3"/>
  <c r="AD376" i="3" s="1"/>
  <c r="M376" i="3"/>
  <c r="N376" i="3" s="1"/>
  <c r="K376" i="3"/>
  <c r="AE376" i="3" s="1"/>
  <c r="V376" i="3" l="1"/>
  <c r="W376" i="3" s="1"/>
  <c r="A377" i="3"/>
  <c r="B377" i="3" s="1"/>
  <c r="L376" i="3"/>
  <c r="AC377" i="3" l="1"/>
  <c r="AA377" i="3"/>
  <c r="P377" i="3"/>
  <c r="Q377" i="3" s="1"/>
  <c r="R377" i="3" s="1"/>
  <c r="S377" i="3" s="1"/>
  <c r="Z377" i="3"/>
  <c r="U376" i="3"/>
  <c r="Y375" i="3"/>
  <c r="T377" i="3" l="1"/>
  <c r="AH377" i="3" s="1"/>
  <c r="E377" i="3" l="1"/>
  <c r="H377" i="3" s="1"/>
  <c r="K377" i="3" s="1"/>
  <c r="AE377" i="3" s="1"/>
  <c r="D377" i="3"/>
  <c r="AG377" i="3"/>
  <c r="F377" i="3" l="1"/>
  <c r="G377" i="3"/>
  <c r="M377" i="3" s="1"/>
  <c r="N377" i="3" s="1"/>
  <c r="V377" i="3"/>
  <c r="A378" i="3"/>
  <c r="B378" i="3" s="1"/>
  <c r="I377" i="3" l="1"/>
  <c r="W377" i="3" s="1"/>
  <c r="J377" i="3"/>
  <c r="Z378" i="3"/>
  <c r="AC378" i="3"/>
  <c r="P378" i="3"/>
  <c r="Q378" i="3" s="1"/>
  <c r="R378" i="3" s="1"/>
  <c r="S378" i="3" s="1"/>
  <c r="AA378" i="3"/>
  <c r="L377" i="3" l="1"/>
  <c r="U377" i="3" s="1"/>
  <c r="AD377" i="3"/>
  <c r="T378" i="3"/>
  <c r="Y376" i="3" l="1"/>
  <c r="D378" i="3"/>
  <c r="G378" i="3" s="1"/>
  <c r="AG378" i="3"/>
  <c r="E378" i="3"/>
  <c r="H378" i="3" s="1"/>
  <c r="K378" i="3" s="1"/>
  <c r="AE378" i="3" s="1"/>
  <c r="AH378" i="3"/>
  <c r="F378" i="3" l="1"/>
  <c r="V378" i="3"/>
  <c r="A379" i="3"/>
  <c r="B379" i="3" s="1"/>
  <c r="I378" i="3"/>
  <c r="J378" i="3"/>
  <c r="AD378" i="3" s="1"/>
  <c r="M378" i="3"/>
  <c r="N378" i="3" s="1"/>
  <c r="W378" i="3" l="1"/>
  <c r="L378" i="3"/>
  <c r="Z379" i="3"/>
  <c r="AA379" i="3"/>
  <c r="P379" i="3"/>
  <c r="Q379" i="3" s="1"/>
  <c r="R379" i="3" s="1"/>
  <c r="S379" i="3" s="1"/>
  <c r="AC379" i="3"/>
  <c r="U378" i="3" l="1"/>
  <c r="Y377" i="3"/>
  <c r="T379" i="3"/>
  <c r="AH379" i="3" s="1"/>
  <c r="E379" i="3" l="1"/>
  <c r="H379" i="3" s="1"/>
  <c r="K379" i="3" s="1"/>
  <c r="AE379" i="3" s="1"/>
  <c r="D379" i="3"/>
  <c r="G379" i="3" s="1"/>
  <c r="AG379" i="3"/>
  <c r="F379" i="3" l="1"/>
  <c r="I379" i="3"/>
  <c r="J379" i="3"/>
  <c r="AD379" i="3" s="1"/>
  <c r="M379" i="3"/>
  <c r="N379" i="3" s="1"/>
  <c r="V379" i="3"/>
  <c r="A380" i="3"/>
  <c r="B380" i="3" s="1"/>
  <c r="W379" i="3" l="1"/>
  <c r="L379" i="3"/>
  <c r="Z380" i="3"/>
  <c r="P380" i="3"/>
  <c r="Q380" i="3" s="1"/>
  <c r="R380" i="3" s="1"/>
  <c r="S380" i="3" s="1"/>
  <c r="AC380" i="3"/>
  <c r="AA380" i="3"/>
  <c r="T380" i="3" l="1"/>
  <c r="AH380" i="3" s="1"/>
  <c r="U379" i="3"/>
  <c r="Y378" i="3"/>
  <c r="AG380" i="3" l="1"/>
  <c r="E380" i="3"/>
  <c r="H380" i="3" s="1"/>
  <c r="K380" i="3" s="1"/>
  <c r="AE380" i="3" s="1"/>
  <c r="D380" i="3"/>
  <c r="V380" i="3" l="1"/>
  <c r="A381" i="3"/>
  <c r="B381" i="3" s="1"/>
  <c r="F380" i="3"/>
  <c r="G380" i="3"/>
  <c r="I380" i="3" l="1"/>
  <c r="W380" i="3" s="1"/>
  <c r="J380" i="3"/>
  <c r="AD380" i="3" s="1"/>
  <c r="M380" i="3"/>
  <c r="N380" i="3" s="1"/>
  <c r="Z381" i="3"/>
  <c r="AA381" i="3"/>
  <c r="AC381" i="3"/>
  <c r="P381" i="3"/>
  <c r="Q381" i="3" s="1"/>
  <c r="R381" i="3" s="1"/>
  <c r="S381" i="3" s="1"/>
  <c r="T381" i="3" l="1"/>
  <c r="L380" i="3"/>
  <c r="U380" i="3" l="1"/>
  <c r="E381" i="3" s="1"/>
  <c r="H381" i="3" s="1"/>
  <c r="AH381" i="3"/>
  <c r="AG381" i="3"/>
  <c r="Y379" i="3"/>
  <c r="K381" i="3" l="1"/>
  <c r="AE381" i="3" s="1"/>
  <c r="D381" i="3"/>
  <c r="V381" i="3" l="1"/>
  <c r="A382" i="3"/>
  <c r="B382" i="3" s="1"/>
  <c r="F381" i="3"/>
  <c r="G381" i="3"/>
  <c r="I381" i="3" l="1"/>
  <c r="W381" i="3" s="1"/>
  <c r="J381" i="3"/>
  <c r="AD381" i="3" s="1"/>
  <c r="M381" i="3"/>
  <c r="N381" i="3" s="1"/>
  <c r="AA382" i="3"/>
  <c r="Z382" i="3"/>
  <c r="P382" i="3"/>
  <c r="Q382" i="3" s="1"/>
  <c r="R382" i="3" s="1"/>
  <c r="S382" i="3" s="1"/>
  <c r="AC382" i="3"/>
  <c r="L381" i="3" l="1"/>
  <c r="T382" i="3"/>
  <c r="U381" i="3" l="1"/>
  <c r="E382" i="3" s="1"/>
  <c r="H382" i="3" s="1"/>
  <c r="AH382" i="3"/>
  <c r="AG382" i="3"/>
  <c r="Y380" i="3"/>
  <c r="D382" i="3" l="1"/>
  <c r="G382" i="3" s="1"/>
  <c r="K382" i="3"/>
  <c r="AE382" i="3" s="1"/>
  <c r="F382" i="3" l="1"/>
  <c r="I382" i="3"/>
  <c r="J382" i="3"/>
  <c r="AD382" i="3" s="1"/>
  <c r="M382" i="3"/>
  <c r="N382" i="3" s="1"/>
  <c r="V382" i="3"/>
  <c r="A383" i="3"/>
  <c r="B383" i="3" s="1"/>
  <c r="W382" i="3" l="1"/>
  <c r="L382" i="3"/>
  <c r="AA383" i="3"/>
  <c r="P383" i="3"/>
  <c r="Q383" i="3" s="1"/>
  <c r="R383" i="3" s="1"/>
  <c r="S383" i="3" s="1"/>
  <c r="Z383" i="3"/>
  <c r="AC383" i="3"/>
  <c r="U382" i="3" l="1"/>
  <c r="Y381" i="3"/>
  <c r="T383" i="3"/>
  <c r="E383" i="3" l="1"/>
  <c r="H383" i="3" s="1"/>
  <c r="K383" i="3" s="1"/>
  <c r="AE383" i="3" s="1"/>
  <c r="D383" i="3"/>
  <c r="AH383" i="3"/>
  <c r="AG383" i="3"/>
  <c r="V383" i="3" l="1"/>
  <c r="A384" i="3"/>
  <c r="B384" i="3" s="1"/>
  <c r="F383" i="3"/>
  <c r="G383" i="3"/>
  <c r="I383" i="3" l="1"/>
  <c r="W383" i="3" s="1"/>
  <c r="J383" i="3"/>
  <c r="AD383" i="3" s="1"/>
  <c r="M383" i="3"/>
  <c r="N383" i="3" s="1"/>
  <c r="P384" i="3"/>
  <c r="Q384" i="3" s="1"/>
  <c r="R384" i="3" s="1"/>
  <c r="S384" i="3" s="1"/>
  <c r="Z384" i="3"/>
  <c r="AC384" i="3"/>
  <c r="AA384" i="3"/>
  <c r="T384" i="3" l="1"/>
  <c r="L383" i="3"/>
  <c r="AG384" i="3" l="1"/>
  <c r="AH384" i="3"/>
  <c r="U383" i="3"/>
  <c r="D384" i="3" s="1"/>
  <c r="Y382" i="3"/>
  <c r="E384" i="3" l="1"/>
  <c r="H384" i="3" s="1"/>
  <c r="K384" i="3" s="1"/>
  <c r="AE384" i="3" s="1"/>
  <c r="G384" i="3"/>
  <c r="F384" i="3" l="1"/>
  <c r="I384" i="3"/>
  <c r="J384" i="3"/>
  <c r="AD384" i="3" s="1"/>
  <c r="M384" i="3"/>
  <c r="N384" i="3" s="1"/>
  <c r="V384" i="3"/>
  <c r="A385" i="3"/>
  <c r="B385" i="3" s="1"/>
  <c r="W384" i="3" l="1"/>
  <c r="L384" i="3"/>
  <c r="P385" i="3"/>
  <c r="Q385" i="3" s="1"/>
  <c r="R385" i="3" s="1"/>
  <c r="S385" i="3" s="1"/>
  <c r="AD385" i="3"/>
  <c r="Z385" i="3"/>
  <c r="AC385" i="3"/>
  <c r="AA385" i="3"/>
  <c r="U384" i="3" l="1"/>
  <c r="Y383" i="3"/>
  <c r="T385" i="3"/>
  <c r="AG385" i="3" s="1"/>
  <c r="D385" i="3" l="1"/>
  <c r="G385" i="3" s="1"/>
  <c r="E385" i="3"/>
  <c r="H385" i="3" s="1"/>
  <c r="K385" i="3" s="1"/>
  <c r="AE385" i="3" s="1"/>
  <c r="AH385" i="3"/>
  <c r="F385" i="3" l="1"/>
  <c r="V385" i="3"/>
  <c r="A386" i="3"/>
  <c r="B386" i="3" s="1"/>
  <c r="I385" i="3"/>
  <c r="J385" i="3"/>
  <c r="M385" i="3"/>
  <c r="N385" i="3" s="1"/>
  <c r="L385" i="3" l="1"/>
  <c r="W385" i="3"/>
  <c r="AC386" i="3"/>
  <c r="P386" i="3"/>
  <c r="Q386" i="3" s="1"/>
  <c r="R386" i="3" s="1"/>
  <c r="S386" i="3" s="1"/>
  <c r="AA386" i="3"/>
  <c r="AD386" i="3"/>
  <c r="Z386" i="3"/>
  <c r="T386" i="3" l="1"/>
  <c r="AH386" i="3" s="1"/>
  <c r="U385" i="3"/>
  <c r="Y384" i="3"/>
  <c r="D386" i="3" l="1"/>
  <c r="E386" i="3"/>
  <c r="H386" i="3" s="1"/>
  <c r="AG386" i="3"/>
  <c r="F386" i="3" l="1"/>
  <c r="G386" i="3"/>
  <c r="K386" i="3"/>
  <c r="AE386" i="3" s="1"/>
  <c r="I386" i="3" l="1"/>
  <c r="J386" i="3"/>
  <c r="M386" i="3"/>
  <c r="N386" i="3" s="1"/>
  <c r="V386" i="3"/>
  <c r="A387" i="3"/>
  <c r="B387" i="3" s="1"/>
  <c r="W386" i="3" l="1"/>
  <c r="L386" i="3"/>
  <c r="AD387" i="3"/>
  <c r="AA387" i="3"/>
  <c r="P387" i="3"/>
  <c r="Q387" i="3" s="1"/>
  <c r="R387" i="3" s="1"/>
  <c r="S387" i="3" s="1"/>
  <c r="AC387" i="3"/>
  <c r="Z387" i="3"/>
  <c r="U386" i="3" l="1"/>
  <c r="Y385" i="3"/>
  <c r="T387" i="3"/>
  <c r="AG387" i="3" s="1"/>
  <c r="AH387" i="3" l="1"/>
  <c r="D387" i="3"/>
  <c r="G387" i="3" s="1"/>
  <c r="E387" i="3"/>
  <c r="H387" i="3" s="1"/>
  <c r="F387" i="3" l="1"/>
  <c r="I387" i="3"/>
  <c r="J387" i="3"/>
  <c r="M387" i="3"/>
  <c r="N387" i="3" s="1"/>
  <c r="K387" i="3"/>
  <c r="AE387" i="3" s="1"/>
  <c r="V387" i="3" l="1"/>
  <c r="W387" i="3" s="1"/>
  <c r="A388" i="3"/>
  <c r="B388" i="3" s="1"/>
  <c r="L387" i="3"/>
  <c r="U387" i="3" l="1"/>
  <c r="Y386" i="3"/>
  <c r="AA388" i="3"/>
  <c r="Z388" i="3"/>
  <c r="P388" i="3"/>
  <c r="Q388" i="3" s="1"/>
  <c r="R388" i="3" s="1"/>
  <c r="S388" i="3" s="1"/>
  <c r="AD388" i="3"/>
  <c r="AC388" i="3"/>
  <c r="T388" i="3" l="1"/>
  <c r="E388" i="3" s="1"/>
  <c r="H388" i="3" s="1"/>
  <c r="K388" i="3" l="1"/>
  <c r="AE388" i="3" s="1"/>
  <c r="D388" i="3"/>
  <c r="AG388" i="3"/>
  <c r="AH388" i="3"/>
  <c r="V388" i="3" l="1"/>
  <c r="A389" i="3"/>
  <c r="B389" i="3" s="1"/>
  <c r="F388" i="3"/>
  <c r="G388" i="3"/>
  <c r="I388" i="3" l="1"/>
  <c r="W388" i="3" s="1"/>
  <c r="J388" i="3"/>
  <c r="M388" i="3"/>
  <c r="N388" i="3" s="1"/>
  <c r="P389" i="3"/>
  <c r="Q389" i="3" s="1"/>
  <c r="R389" i="3" s="1"/>
  <c r="S389" i="3" s="1"/>
  <c r="AA389" i="3"/>
  <c r="AD389" i="3"/>
  <c r="AC389" i="3"/>
  <c r="Z389" i="3"/>
  <c r="T389" i="3" l="1"/>
  <c r="L388" i="3"/>
  <c r="U388" i="3" l="1"/>
  <c r="E389" i="3" s="1"/>
  <c r="H389" i="3" s="1"/>
  <c r="AH389" i="3"/>
  <c r="AG389" i="3"/>
  <c r="Y387" i="3"/>
  <c r="D389" i="3" l="1"/>
  <c r="G389" i="3" s="1"/>
  <c r="K389" i="3"/>
  <c r="AE389" i="3" s="1"/>
  <c r="F389" i="3" l="1"/>
  <c r="V389" i="3"/>
  <c r="A390" i="3"/>
  <c r="B390" i="3" s="1"/>
  <c r="I389" i="3"/>
  <c r="J389" i="3"/>
  <c r="M389" i="3"/>
  <c r="N389" i="3" s="1"/>
  <c r="W389" i="3" l="1"/>
  <c r="L389" i="3"/>
  <c r="P390" i="3"/>
  <c r="Q390" i="3" s="1"/>
  <c r="R390" i="3" s="1"/>
  <c r="S390" i="3" s="1"/>
  <c r="AC390" i="3"/>
  <c r="AA390" i="3"/>
  <c r="Z390" i="3"/>
  <c r="AD390" i="3"/>
  <c r="U389" i="3" l="1"/>
  <c r="Y388" i="3"/>
  <c r="T390" i="3"/>
  <c r="AG390" i="3" s="1"/>
  <c r="D390" i="3" l="1"/>
  <c r="AH390" i="3"/>
  <c r="E390" i="3"/>
  <c r="H390" i="3" s="1"/>
  <c r="F390" i="3" l="1"/>
  <c r="G390" i="3"/>
  <c r="K390" i="3"/>
  <c r="AE390" i="3" s="1"/>
  <c r="I390" i="3" l="1"/>
  <c r="J390" i="3"/>
  <c r="M390" i="3"/>
  <c r="N390" i="3" s="1"/>
  <c r="V390" i="3"/>
  <c r="A391" i="3"/>
  <c r="B391" i="3" s="1"/>
  <c r="W390" i="3" l="1"/>
  <c r="L390" i="3"/>
  <c r="AC391" i="3"/>
  <c r="AA391" i="3"/>
  <c r="AD391" i="3"/>
  <c r="Z391" i="3"/>
  <c r="P391" i="3"/>
  <c r="Q391" i="3" s="1"/>
  <c r="R391" i="3" s="1"/>
  <c r="S391" i="3" s="1"/>
  <c r="U390" i="3" l="1"/>
  <c r="Y389" i="3"/>
  <c r="T391" i="3"/>
  <c r="E391" i="3" l="1"/>
  <c r="H391" i="3" s="1"/>
  <c r="K391" i="3" s="1"/>
  <c r="AE391" i="3" s="1"/>
  <c r="AG391" i="3"/>
  <c r="AH391" i="3"/>
  <c r="D391" i="3"/>
  <c r="V391" i="3" l="1"/>
  <c r="A392" i="3"/>
  <c r="B392" i="3" s="1"/>
  <c r="F391" i="3"/>
  <c r="G391" i="3"/>
  <c r="I391" i="3" l="1"/>
  <c r="W391" i="3" s="1"/>
  <c r="J391" i="3"/>
  <c r="M391" i="3"/>
  <c r="N391" i="3" s="1"/>
  <c r="AD392" i="3"/>
  <c r="Z392" i="3"/>
  <c r="P392" i="3"/>
  <c r="Q392" i="3" s="1"/>
  <c r="R392" i="3" s="1"/>
  <c r="S392" i="3" s="1"/>
  <c r="AA392" i="3"/>
  <c r="AC392" i="3"/>
  <c r="T392" i="3" l="1"/>
  <c r="L391" i="3"/>
  <c r="U391" i="3" l="1"/>
  <c r="D392" i="3" s="1"/>
  <c r="AH392" i="3"/>
  <c r="AG392" i="3"/>
  <c r="Y390" i="3"/>
  <c r="G392" i="3" l="1"/>
  <c r="E392" i="3"/>
  <c r="H392" i="3" s="1"/>
  <c r="F392" i="3" l="1"/>
  <c r="I392" i="3"/>
  <c r="J392" i="3"/>
  <c r="M392" i="3"/>
  <c r="N392" i="3" s="1"/>
  <c r="K392" i="3"/>
  <c r="AE392" i="3" s="1"/>
  <c r="V392" i="3" l="1"/>
  <c r="W392" i="3" s="1"/>
  <c r="A393" i="3"/>
  <c r="B393" i="3" s="1"/>
  <c r="L392" i="3"/>
  <c r="U392" i="3" l="1"/>
  <c r="Y391" i="3"/>
  <c r="AD393" i="3"/>
  <c r="Z393" i="3"/>
  <c r="AA393" i="3"/>
  <c r="P393" i="3"/>
  <c r="Q393" i="3" s="1"/>
  <c r="R393" i="3" s="1"/>
  <c r="S393" i="3" s="1"/>
  <c r="AC393" i="3"/>
  <c r="T393" i="3" l="1"/>
  <c r="AG393" i="3" s="1"/>
  <c r="E393" i="3" l="1"/>
  <c r="H393" i="3" s="1"/>
  <c r="K393" i="3" s="1"/>
  <c r="AE393" i="3" s="1"/>
  <c r="D393" i="3"/>
  <c r="AH393" i="3"/>
  <c r="V393" i="3" l="1"/>
  <c r="A394" i="3"/>
  <c r="B394" i="3" s="1"/>
  <c r="F393" i="3"/>
  <c r="G393" i="3"/>
  <c r="I393" i="3" l="1"/>
  <c r="W393" i="3" s="1"/>
  <c r="J393" i="3"/>
  <c r="M393" i="3"/>
  <c r="N393" i="3" s="1"/>
  <c r="P394" i="3"/>
  <c r="Q394" i="3" s="1"/>
  <c r="R394" i="3" s="1"/>
  <c r="S394" i="3" s="1"/>
  <c r="AC394" i="3"/>
  <c r="Z394" i="3"/>
  <c r="AA394" i="3"/>
  <c r="T394" i="3" l="1"/>
  <c r="L393" i="3"/>
  <c r="AH394" i="3" l="1"/>
  <c r="AG394" i="3"/>
  <c r="U393" i="3"/>
  <c r="D394" i="3" s="1"/>
  <c r="Y392" i="3"/>
  <c r="G394" i="3" l="1"/>
  <c r="E394" i="3"/>
  <c r="H394" i="3" s="1"/>
  <c r="F394" i="3" l="1"/>
  <c r="I394" i="3"/>
  <c r="J394" i="3"/>
  <c r="AD394" i="3" s="1"/>
  <c r="M394" i="3"/>
  <c r="N394" i="3" s="1"/>
  <c r="K394" i="3"/>
  <c r="AE394" i="3" s="1"/>
  <c r="L394" i="3" l="1"/>
  <c r="V394" i="3"/>
  <c r="W394" i="3" s="1"/>
  <c r="A395" i="3"/>
  <c r="B395" i="3" s="1"/>
  <c r="U394" i="3" l="1"/>
  <c r="Y393" i="3"/>
  <c r="AA395" i="3"/>
  <c r="P395" i="3"/>
  <c r="Q395" i="3" s="1"/>
  <c r="R395" i="3" s="1"/>
  <c r="S395" i="3" s="1"/>
  <c r="Z395" i="3"/>
  <c r="AC395" i="3"/>
  <c r="T395" i="3" l="1"/>
  <c r="AG395" i="3" s="1"/>
  <c r="AH395" i="3" l="1"/>
  <c r="E395" i="3"/>
  <c r="H395" i="3" s="1"/>
  <c r="K395" i="3" s="1"/>
  <c r="AE395" i="3" s="1"/>
  <c r="D395" i="3"/>
  <c r="G395" i="3" s="1"/>
  <c r="F395" i="3" l="1"/>
  <c r="V395" i="3"/>
  <c r="A396" i="3"/>
  <c r="B396" i="3" s="1"/>
  <c r="I395" i="3"/>
  <c r="J395" i="3"/>
  <c r="AD395" i="3" s="1"/>
  <c r="M395" i="3"/>
  <c r="N395" i="3" s="1"/>
  <c r="W395" i="3" l="1"/>
  <c r="L395" i="3"/>
  <c r="AA396" i="3"/>
  <c r="Z396" i="3"/>
  <c r="P396" i="3"/>
  <c r="Q396" i="3" s="1"/>
  <c r="R396" i="3" s="1"/>
  <c r="S396" i="3" s="1"/>
  <c r="AC396" i="3"/>
  <c r="U395" i="3" l="1"/>
  <c r="Y394" i="3"/>
  <c r="T396" i="3"/>
  <c r="E396" i="3" l="1"/>
  <c r="H396" i="3" s="1"/>
  <c r="K396" i="3" s="1"/>
  <c r="AE396" i="3" s="1"/>
  <c r="AG396" i="3"/>
  <c r="AH396" i="3"/>
  <c r="D396" i="3"/>
  <c r="F396" i="3" l="1"/>
  <c r="G396" i="3"/>
  <c r="V396" i="3"/>
  <c r="A397" i="3"/>
  <c r="B397" i="3" s="1"/>
  <c r="P397" i="3" l="1"/>
  <c r="Q397" i="3" s="1"/>
  <c r="R397" i="3" s="1"/>
  <c r="S397" i="3" s="1"/>
  <c r="AC397" i="3"/>
  <c r="AA397" i="3"/>
  <c r="Z397" i="3"/>
  <c r="I396" i="3"/>
  <c r="W396" i="3" s="1"/>
  <c r="J396" i="3"/>
  <c r="AD396" i="3" s="1"/>
  <c r="M396" i="3"/>
  <c r="N396" i="3" s="1"/>
  <c r="T397" i="3" l="1"/>
  <c r="L396" i="3"/>
  <c r="U396" i="3" l="1"/>
  <c r="E397" i="3" s="1"/>
  <c r="H397" i="3" s="1"/>
  <c r="AG397" i="3"/>
  <c r="AH397" i="3"/>
  <c r="Y395" i="3"/>
  <c r="D397" i="3" l="1"/>
  <c r="F397" i="3" s="1"/>
  <c r="K397" i="3"/>
  <c r="AE397" i="3" s="1"/>
  <c r="G397" i="3" l="1"/>
  <c r="M397" i="3" s="1"/>
  <c r="N397" i="3" s="1"/>
  <c r="V397" i="3"/>
  <c r="A398" i="3"/>
  <c r="B398" i="3" s="1"/>
  <c r="I397" i="3" l="1"/>
  <c r="W397" i="3" s="1"/>
  <c r="J397" i="3"/>
  <c r="AC398" i="3"/>
  <c r="AA398" i="3"/>
  <c r="P398" i="3"/>
  <c r="Q398" i="3" s="1"/>
  <c r="R398" i="3" s="1"/>
  <c r="S398" i="3" s="1"/>
  <c r="Z398" i="3"/>
  <c r="L397" i="3" l="1"/>
  <c r="U397" i="3" s="1"/>
  <c r="AD397" i="3"/>
  <c r="T398" i="3"/>
  <c r="Y396" i="3" l="1"/>
  <c r="E398" i="3"/>
  <c r="H398" i="3" s="1"/>
  <c r="K398" i="3" s="1"/>
  <c r="AE398" i="3" s="1"/>
  <c r="D398" i="3"/>
  <c r="G398" i="3" s="1"/>
  <c r="AH398" i="3"/>
  <c r="AG398" i="3"/>
  <c r="F398" i="3" l="1"/>
  <c r="V398" i="3"/>
  <c r="A399" i="3"/>
  <c r="B399" i="3" s="1"/>
  <c r="I398" i="3"/>
  <c r="J398" i="3"/>
  <c r="AD398" i="3" s="1"/>
  <c r="M398" i="3"/>
  <c r="N398" i="3" s="1"/>
  <c r="L398" i="3" l="1"/>
  <c r="W398" i="3"/>
  <c r="Z399" i="3"/>
  <c r="P399" i="3"/>
  <c r="Q399" i="3" s="1"/>
  <c r="R399" i="3" s="1"/>
  <c r="S399" i="3" s="1"/>
  <c r="AA399" i="3"/>
  <c r="AC399" i="3"/>
  <c r="U398" i="3" l="1"/>
  <c r="Y397" i="3"/>
  <c r="T399" i="3"/>
  <c r="AH399" i="3" s="1"/>
  <c r="D399" i="3" l="1"/>
  <c r="G399" i="3" s="1"/>
  <c r="AG399" i="3"/>
  <c r="E399" i="3"/>
  <c r="H399" i="3" s="1"/>
  <c r="F399" i="3" l="1"/>
  <c r="I399" i="3"/>
  <c r="J399" i="3"/>
  <c r="AD399" i="3" s="1"/>
  <c r="M399" i="3"/>
  <c r="N399" i="3" s="1"/>
  <c r="K399" i="3"/>
  <c r="AE399" i="3" s="1"/>
  <c r="V399" i="3" l="1"/>
  <c r="W399" i="3" s="1"/>
  <c r="A400" i="3"/>
  <c r="B400" i="3" s="1"/>
  <c r="L399" i="3"/>
  <c r="U399" i="3" l="1"/>
  <c r="Y398" i="3"/>
  <c r="AC400" i="3"/>
  <c r="Z400" i="3"/>
  <c r="P400" i="3"/>
  <c r="Q400" i="3" s="1"/>
  <c r="R400" i="3" s="1"/>
  <c r="S400" i="3" s="1"/>
  <c r="AA400" i="3"/>
  <c r="T400" i="3" l="1"/>
  <c r="AH400" i="3" s="1"/>
  <c r="AG400" i="3" l="1"/>
  <c r="D400" i="3"/>
  <c r="G400" i="3" s="1"/>
  <c r="E400" i="3"/>
  <c r="H400" i="3" s="1"/>
  <c r="K400" i="3" s="1"/>
  <c r="AE400" i="3" s="1"/>
  <c r="F400" i="3" l="1"/>
  <c r="V400" i="3"/>
  <c r="A401" i="3"/>
  <c r="B401" i="3" s="1"/>
  <c r="I400" i="3"/>
  <c r="J400" i="3"/>
  <c r="AD400" i="3" s="1"/>
  <c r="M400" i="3"/>
  <c r="N400" i="3" s="1"/>
  <c r="W400" i="3" l="1"/>
  <c r="L400" i="3"/>
  <c r="AA401" i="3"/>
  <c r="Z401" i="3"/>
  <c r="AC401" i="3"/>
  <c r="P401" i="3"/>
  <c r="Q401" i="3" s="1"/>
  <c r="R401" i="3" s="1"/>
  <c r="S401" i="3" s="1"/>
  <c r="U400" i="3" l="1"/>
  <c r="Y399" i="3"/>
  <c r="T401" i="3"/>
  <c r="AG401" i="3" s="1"/>
  <c r="D401" i="3" l="1"/>
  <c r="E401" i="3"/>
  <c r="H401" i="3" s="1"/>
  <c r="K401" i="3" s="1"/>
  <c r="AE401" i="3" s="1"/>
  <c r="AH401" i="3"/>
  <c r="F401" i="3" l="1"/>
  <c r="G401" i="3"/>
  <c r="J401" i="3" s="1"/>
  <c r="AD401" i="3" s="1"/>
  <c r="V401" i="3"/>
  <c r="A402" i="3"/>
  <c r="B402" i="3" s="1"/>
  <c r="M401" i="3" l="1"/>
  <c r="N401" i="3" s="1"/>
  <c r="I401" i="3"/>
  <c r="W401" i="3" s="1"/>
  <c r="L401" i="3"/>
  <c r="AA402" i="3"/>
  <c r="AC402" i="3"/>
  <c r="Z402" i="3"/>
  <c r="P402" i="3"/>
  <c r="Q402" i="3" s="1"/>
  <c r="R402" i="3" s="1"/>
  <c r="S402" i="3" s="1"/>
  <c r="U401" i="3" l="1"/>
  <c r="Y400" i="3"/>
  <c r="T402" i="3"/>
  <c r="AG402" i="3" s="1"/>
  <c r="AH402" i="3" l="1"/>
  <c r="E402" i="3"/>
  <c r="H402" i="3" s="1"/>
  <c r="K402" i="3" s="1"/>
  <c r="AE402" i="3" s="1"/>
  <c r="D402" i="3"/>
  <c r="G402" i="3" s="1"/>
  <c r="F402" i="3" l="1"/>
  <c r="I402" i="3"/>
  <c r="J402" i="3"/>
  <c r="AD402" i="3" s="1"/>
  <c r="M402" i="3"/>
  <c r="N402" i="3" s="1"/>
  <c r="V402" i="3"/>
  <c r="A403" i="3"/>
  <c r="B403" i="3" s="1"/>
  <c r="W402" i="3" l="1"/>
  <c r="L402" i="3"/>
  <c r="AC403" i="3"/>
  <c r="AA403" i="3"/>
  <c r="P403" i="3"/>
  <c r="Q403" i="3" s="1"/>
  <c r="R403" i="3" s="1"/>
  <c r="S403" i="3" s="1"/>
  <c r="Z403" i="3"/>
  <c r="T403" i="3" l="1"/>
  <c r="AH403" i="3" s="1"/>
  <c r="U402" i="3"/>
  <c r="Y401" i="3"/>
  <c r="AG403" i="3" l="1"/>
  <c r="D403" i="3"/>
  <c r="E403" i="3"/>
  <c r="H403" i="3" s="1"/>
  <c r="F403" i="3" l="1"/>
  <c r="G403" i="3"/>
  <c r="K403" i="3"/>
  <c r="AE403" i="3" s="1"/>
  <c r="V403" i="3" l="1"/>
  <c r="A404" i="3"/>
  <c r="B404" i="3" s="1"/>
  <c r="I403" i="3"/>
  <c r="J403" i="3"/>
  <c r="AD403" i="3" s="1"/>
  <c r="M403" i="3"/>
  <c r="N403" i="3" s="1"/>
  <c r="W403" i="3" l="1"/>
  <c r="L403" i="3"/>
  <c r="P404" i="3"/>
  <c r="Q404" i="3" s="1"/>
  <c r="R404" i="3" s="1"/>
  <c r="S404" i="3" s="1"/>
  <c r="AA404" i="3"/>
  <c r="Z404" i="3"/>
  <c r="AC404" i="3"/>
  <c r="U403" i="3" l="1"/>
  <c r="Y402" i="3"/>
  <c r="T404" i="3"/>
  <c r="AG404" i="3" s="1"/>
  <c r="E404" i="3" l="1"/>
  <c r="H404" i="3" s="1"/>
  <c r="K404" i="3" s="1"/>
  <c r="AE404" i="3" s="1"/>
  <c r="AH404" i="3"/>
  <c r="D404" i="3"/>
  <c r="G404" i="3" s="1"/>
  <c r="F404" i="3" l="1"/>
  <c r="I404" i="3"/>
  <c r="J404" i="3"/>
  <c r="AD404" i="3" s="1"/>
  <c r="M404" i="3"/>
  <c r="N404" i="3" s="1"/>
  <c r="V404" i="3"/>
  <c r="A405" i="3"/>
  <c r="B405" i="3" s="1"/>
  <c r="W404" i="3" l="1"/>
  <c r="L404" i="3"/>
  <c r="P405" i="3"/>
  <c r="Q405" i="3" s="1"/>
  <c r="R405" i="3" s="1"/>
  <c r="S405" i="3" s="1"/>
  <c r="AC405" i="3"/>
  <c r="Z405" i="3"/>
  <c r="AD405" i="3"/>
  <c r="AA405" i="3"/>
  <c r="U404" i="3" l="1"/>
  <c r="Y403" i="3"/>
  <c r="T405" i="3"/>
  <c r="E405" i="3" l="1"/>
  <c r="H405" i="3" s="1"/>
  <c r="K405" i="3" s="1"/>
  <c r="AE405" i="3" s="1"/>
  <c r="AH405" i="3"/>
  <c r="D405" i="3"/>
  <c r="AG405" i="3"/>
  <c r="F405" i="3" l="1"/>
  <c r="G405" i="3"/>
  <c r="V405" i="3"/>
  <c r="A406" i="3"/>
  <c r="B406" i="3" s="1"/>
  <c r="AD406" i="3" l="1"/>
  <c r="AA406" i="3"/>
  <c r="AC406" i="3"/>
  <c r="Z406" i="3"/>
  <c r="P406" i="3"/>
  <c r="Q406" i="3" s="1"/>
  <c r="R406" i="3" s="1"/>
  <c r="S406" i="3" s="1"/>
  <c r="I405" i="3"/>
  <c r="W405" i="3" s="1"/>
  <c r="J405" i="3"/>
  <c r="M405" i="3"/>
  <c r="N405" i="3" s="1"/>
  <c r="T406" i="3" l="1"/>
  <c r="L405" i="3"/>
  <c r="U405" i="3" l="1"/>
  <c r="E406" i="3" s="1"/>
  <c r="H406" i="3" s="1"/>
  <c r="AH406" i="3"/>
  <c r="AG406" i="3"/>
  <c r="Y404" i="3"/>
  <c r="K406" i="3" l="1"/>
  <c r="AE406" i="3" s="1"/>
  <c r="D406" i="3"/>
  <c r="V406" i="3" l="1"/>
  <c r="A407" i="3"/>
  <c r="B407" i="3" s="1"/>
  <c r="F406" i="3"/>
  <c r="G406" i="3"/>
  <c r="I406" i="3" l="1"/>
  <c r="W406" i="3" s="1"/>
  <c r="J406" i="3"/>
  <c r="M406" i="3"/>
  <c r="N406" i="3" s="1"/>
  <c r="AC407" i="3"/>
  <c r="Z407" i="3"/>
  <c r="P407" i="3"/>
  <c r="Q407" i="3" s="1"/>
  <c r="R407" i="3" s="1"/>
  <c r="S407" i="3" s="1"/>
  <c r="AD407" i="3"/>
  <c r="AA407" i="3"/>
  <c r="L406" i="3" l="1"/>
  <c r="T407" i="3"/>
  <c r="U406" i="3" l="1"/>
  <c r="D407" i="3" s="1"/>
  <c r="AG407" i="3"/>
  <c r="AH407" i="3"/>
  <c r="Y405" i="3"/>
  <c r="G407" i="3" l="1"/>
  <c r="E407" i="3"/>
  <c r="H407" i="3" s="1"/>
  <c r="F407" i="3" l="1"/>
  <c r="I407" i="3"/>
  <c r="J407" i="3"/>
  <c r="M407" i="3"/>
  <c r="N407" i="3" s="1"/>
  <c r="K407" i="3"/>
  <c r="AE407" i="3" s="1"/>
  <c r="V407" i="3" l="1"/>
  <c r="W407" i="3" s="1"/>
  <c r="A408" i="3"/>
  <c r="B408" i="3" s="1"/>
  <c r="L407" i="3"/>
  <c r="U407" i="3" l="1"/>
  <c r="Y406" i="3"/>
  <c r="Z408" i="3"/>
  <c r="AC408" i="3"/>
  <c r="AD408" i="3"/>
  <c r="P408" i="3"/>
  <c r="Q408" i="3" s="1"/>
  <c r="R408" i="3" s="1"/>
  <c r="S408" i="3" s="1"/>
  <c r="AA408" i="3"/>
  <c r="T408" i="3" l="1"/>
  <c r="AH408" i="3" s="1"/>
  <c r="E408" i="3" l="1"/>
  <c r="H408" i="3" s="1"/>
  <c r="K408" i="3" s="1"/>
  <c r="AE408" i="3" s="1"/>
  <c r="D408" i="3"/>
  <c r="G408" i="3" s="1"/>
  <c r="AG408" i="3"/>
  <c r="F408" i="3" l="1"/>
  <c r="I408" i="3"/>
  <c r="J408" i="3"/>
  <c r="M408" i="3"/>
  <c r="N408" i="3" s="1"/>
  <c r="V408" i="3"/>
  <c r="A409" i="3"/>
  <c r="B409" i="3" s="1"/>
  <c r="W408" i="3" l="1"/>
  <c r="L408" i="3"/>
  <c r="AA409" i="3"/>
  <c r="AC409" i="3"/>
  <c r="P409" i="3"/>
  <c r="Q409" i="3" s="1"/>
  <c r="R409" i="3" s="1"/>
  <c r="S409" i="3" s="1"/>
  <c r="AD409" i="3"/>
  <c r="Z409" i="3"/>
  <c r="U408" i="3" l="1"/>
  <c r="Y407" i="3"/>
  <c r="T409" i="3"/>
  <c r="E409" i="3" l="1"/>
  <c r="H409" i="3" s="1"/>
  <c r="K409" i="3" s="1"/>
  <c r="AE409" i="3" s="1"/>
  <c r="AH409" i="3"/>
  <c r="D409" i="3"/>
  <c r="AG409" i="3"/>
  <c r="F409" i="3" l="1"/>
  <c r="G409" i="3"/>
  <c r="V409" i="3"/>
  <c r="A410" i="3"/>
  <c r="B410" i="3" s="1"/>
  <c r="P410" i="3" l="1"/>
  <c r="Q410" i="3" s="1"/>
  <c r="R410" i="3" s="1"/>
  <c r="S410" i="3" s="1"/>
  <c r="AA410" i="3"/>
  <c r="AC410" i="3"/>
  <c r="AD410" i="3"/>
  <c r="Z410" i="3"/>
  <c r="I409" i="3"/>
  <c r="W409" i="3" s="1"/>
  <c r="J409" i="3"/>
  <c r="M409" i="3"/>
  <c r="N409" i="3" s="1"/>
  <c r="T410" i="3" l="1"/>
  <c r="L409" i="3"/>
  <c r="AG410" i="3" l="1"/>
  <c r="U409" i="3"/>
  <c r="D410" i="3" s="1"/>
  <c r="AH410" i="3"/>
  <c r="Y408" i="3"/>
  <c r="E410" i="3" l="1"/>
  <c r="H410" i="3" s="1"/>
  <c r="K410" i="3" s="1"/>
  <c r="AE410" i="3" s="1"/>
  <c r="G410" i="3"/>
  <c r="F410" i="3" l="1"/>
  <c r="I410" i="3"/>
  <c r="J410" i="3"/>
  <c r="M410" i="3"/>
  <c r="N410" i="3" s="1"/>
  <c r="V410" i="3"/>
  <c r="A411" i="3"/>
  <c r="B411" i="3" s="1"/>
  <c r="W410" i="3" l="1"/>
  <c r="L410" i="3"/>
  <c r="AC411" i="3"/>
  <c r="P411" i="3"/>
  <c r="Q411" i="3" s="1"/>
  <c r="R411" i="3" s="1"/>
  <c r="S411" i="3" s="1"/>
  <c r="AA411" i="3"/>
  <c r="Z411" i="3"/>
  <c r="AD411" i="3"/>
  <c r="U410" i="3" l="1"/>
  <c r="Y409" i="3"/>
  <c r="T411" i="3"/>
  <c r="AG411" i="3" s="1"/>
  <c r="E411" i="3" l="1"/>
  <c r="H411" i="3" s="1"/>
  <c r="K411" i="3" s="1"/>
  <c r="AE411" i="3" s="1"/>
  <c r="AH411" i="3"/>
  <c r="D411" i="3"/>
  <c r="F411" i="3" l="1"/>
  <c r="G411" i="3"/>
  <c r="V411" i="3"/>
  <c r="A412" i="3"/>
  <c r="B412" i="3" s="1"/>
  <c r="AA412" i="3" l="1"/>
  <c r="AC412" i="3"/>
  <c r="P412" i="3"/>
  <c r="Q412" i="3" s="1"/>
  <c r="R412" i="3" s="1"/>
  <c r="S412" i="3" s="1"/>
  <c r="Z412" i="3"/>
  <c r="AD412" i="3"/>
  <c r="I411" i="3"/>
  <c r="W411" i="3" s="1"/>
  <c r="J411" i="3"/>
  <c r="M411" i="3"/>
  <c r="N411" i="3" s="1"/>
  <c r="T412" i="3" l="1"/>
  <c r="L411" i="3"/>
  <c r="U411" i="3" l="1"/>
  <c r="D412" i="3" s="1"/>
  <c r="AG412" i="3"/>
  <c r="AH412" i="3"/>
  <c r="Y410" i="3"/>
  <c r="G412" i="3" l="1"/>
  <c r="E412" i="3"/>
  <c r="H412" i="3" s="1"/>
  <c r="F412" i="3" l="1"/>
  <c r="I412" i="3"/>
  <c r="J412" i="3"/>
  <c r="M412" i="3"/>
  <c r="N412" i="3" s="1"/>
  <c r="K412" i="3"/>
  <c r="AE412" i="3" s="1"/>
  <c r="V412" i="3" l="1"/>
  <c r="W412" i="3" s="1"/>
  <c r="A413" i="3"/>
  <c r="B413" i="3" s="1"/>
  <c r="L412" i="3"/>
  <c r="U412" i="3" l="1"/>
  <c r="Y411" i="3"/>
  <c r="Z413" i="3"/>
  <c r="P413" i="3"/>
  <c r="Q413" i="3" s="1"/>
  <c r="R413" i="3" s="1"/>
  <c r="S413" i="3" s="1"/>
  <c r="AA413" i="3"/>
  <c r="AC413" i="3"/>
  <c r="AD413" i="3"/>
  <c r="T413" i="3" l="1"/>
  <c r="D413" i="3" s="1"/>
  <c r="E413" i="3" l="1"/>
  <c r="H413" i="3" s="1"/>
  <c r="K413" i="3" s="1"/>
  <c r="AE413" i="3" s="1"/>
  <c r="AH413" i="3"/>
  <c r="G413" i="3"/>
  <c r="AG413" i="3"/>
  <c r="F413" i="3" l="1"/>
  <c r="I413" i="3"/>
  <c r="J413" i="3"/>
  <c r="M413" i="3"/>
  <c r="N413" i="3" s="1"/>
  <c r="V413" i="3"/>
  <c r="A414" i="3"/>
  <c r="B414" i="3" s="1"/>
  <c r="L413" i="3" l="1"/>
  <c r="P414" i="3"/>
  <c r="Q414" i="3" s="1"/>
  <c r="R414" i="3" s="1"/>
  <c r="S414" i="3" s="1"/>
  <c r="Z414" i="3"/>
  <c r="AA414" i="3"/>
  <c r="AC414" i="3"/>
  <c r="W413" i="3"/>
  <c r="U413" i="3" l="1"/>
  <c r="Y412" i="3"/>
  <c r="T414" i="3"/>
  <c r="D414" i="3" l="1"/>
  <c r="G414" i="3" s="1"/>
  <c r="E414" i="3"/>
  <c r="H414" i="3" s="1"/>
  <c r="K414" i="3" s="1"/>
  <c r="AE414" i="3" s="1"/>
  <c r="AG414" i="3"/>
  <c r="AH414" i="3"/>
  <c r="F414" i="3" l="1"/>
  <c r="I414" i="3"/>
  <c r="J414" i="3"/>
  <c r="AD414" i="3" s="1"/>
  <c r="M414" i="3"/>
  <c r="N414" i="3" s="1"/>
  <c r="V414" i="3"/>
  <c r="A415" i="3"/>
  <c r="B415" i="3" s="1"/>
  <c r="W414" i="3" l="1"/>
  <c r="L414" i="3"/>
  <c r="P415" i="3"/>
  <c r="Q415" i="3" s="1"/>
  <c r="R415" i="3" s="1"/>
  <c r="S415" i="3" s="1"/>
  <c r="AA415" i="3"/>
  <c r="Z415" i="3"/>
  <c r="AC415" i="3"/>
  <c r="U414" i="3" l="1"/>
  <c r="Y413" i="3"/>
  <c r="T415" i="3"/>
  <c r="D415" i="3" l="1"/>
  <c r="G415" i="3" s="1"/>
  <c r="AG415" i="3"/>
  <c r="AH415" i="3"/>
  <c r="E415" i="3"/>
  <c r="H415" i="3" s="1"/>
  <c r="F415" i="3" l="1"/>
  <c r="K415" i="3"/>
  <c r="AE415" i="3" s="1"/>
  <c r="I415" i="3"/>
  <c r="J415" i="3"/>
  <c r="AD415" i="3" s="1"/>
  <c r="M415" i="3"/>
  <c r="N415" i="3" s="1"/>
  <c r="L415" i="3" l="1"/>
  <c r="V415" i="3"/>
  <c r="W415" i="3" s="1"/>
  <c r="A416" i="3"/>
  <c r="B416" i="3" s="1"/>
  <c r="Z416" i="3" l="1"/>
  <c r="AA416" i="3"/>
  <c r="P416" i="3"/>
  <c r="Q416" i="3" s="1"/>
  <c r="R416" i="3" s="1"/>
  <c r="S416" i="3" s="1"/>
  <c r="AC416" i="3"/>
  <c r="U415" i="3"/>
  <c r="Y414" i="3"/>
  <c r="T416" i="3" l="1"/>
  <c r="AG416" i="3" s="1"/>
  <c r="D416" i="3" l="1"/>
  <c r="G416" i="3" s="1"/>
  <c r="E416" i="3"/>
  <c r="H416" i="3" s="1"/>
  <c r="K416" i="3" s="1"/>
  <c r="AE416" i="3" s="1"/>
  <c r="AH416" i="3"/>
  <c r="F416" i="3" l="1"/>
  <c r="V416" i="3"/>
  <c r="A417" i="3"/>
  <c r="B417" i="3" s="1"/>
  <c r="I416" i="3"/>
  <c r="J416" i="3"/>
  <c r="AD416" i="3" s="1"/>
  <c r="M416" i="3"/>
  <c r="N416" i="3" s="1"/>
  <c r="W416" i="3" l="1"/>
  <c r="L416" i="3"/>
  <c r="Z417" i="3"/>
  <c r="AC417" i="3"/>
  <c r="AA417" i="3"/>
  <c r="P417" i="3"/>
  <c r="Q417" i="3" s="1"/>
  <c r="R417" i="3" s="1"/>
  <c r="S417" i="3" s="1"/>
  <c r="U416" i="3" l="1"/>
  <c r="Y415" i="3"/>
  <c r="T417" i="3"/>
  <c r="D417" i="3" l="1"/>
  <c r="G417" i="3" s="1"/>
  <c r="AH417" i="3"/>
  <c r="E417" i="3"/>
  <c r="H417" i="3" s="1"/>
  <c r="K417" i="3" s="1"/>
  <c r="AE417" i="3" s="1"/>
  <c r="AG417" i="3"/>
  <c r="F417" i="3" l="1"/>
  <c r="V417" i="3"/>
  <c r="A418" i="3"/>
  <c r="B418" i="3" s="1"/>
  <c r="I417" i="3"/>
  <c r="J417" i="3"/>
  <c r="AD417" i="3" s="1"/>
  <c r="M417" i="3"/>
  <c r="N417" i="3" s="1"/>
  <c r="W417" i="3" l="1"/>
  <c r="L417" i="3"/>
  <c r="Z418" i="3"/>
  <c r="AA418" i="3"/>
  <c r="AC418" i="3"/>
  <c r="P418" i="3"/>
  <c r="Q418" i="3" s="1"/>
  <c r="R418" i="3" s="1"/>
  <c r="S418" i="3" s="1"/>
  <c r="T418" i="3" l="1"/>
  <c r="U417" i="3"/>
  <c r="Y416" i="3"/>
  <c r="D418" i="3" l="1"/>
  <c r="G418" i="3" s="1"/>
  <c r="E418" i="3"/>
  <c r="H418" i="3" s="1"/>
  <c r="AG418" i="3"/>
  <c r="AH418" i="3"/>
  <c r="F418" i="3" l="1"/>
  <c r="I418" i="3"/>
  <c r="J418" i="3"/>
  <c r="AD418" i="3" s="1"/>
  <c r="M418" i="3"/>
  <c r="N418" i="3" s="1"/>
  <c r="K418" i="3"/>
  <c r="AE418" i="3" s="1"/>
  <c r="V418" i="3" l="1"/>
  <c r="W418" i="3" s="1"/>
  <c r="A419" i="3"/>
  <c r="B419" i="3" s="1"/>
  <c r="L418" i="3"/>
  <c r="U418" i="3" l="1"/>
  <c r="Y417" i="3"/>
  <c r="AA419" i="3"/>
  <c r="P419" i="3"/>
  <c r="Q419" i="3" s="1"/>
  <c r="R419" i="3" s="1"/>
  <c r="S419" i="3" s="1"/>
  <c r="Z419" i="3"/>
  <c r="AC419" i="3"/>
  <c r="T419" i="3" l="1"/>
  <c r="AG419" i="3" s="1"/>
  <c r="AH419" i="3" l="1"/>
  <c r="E419" i="3"/>
  <c r="H419" i="3" s="1"/>
  <c r="K419" i="3" s="1"/>
  <c r="AE419" i="3" s="1"/>
  <c r="D419" i="3"/>
  <c r="F419" i="3" l="1"/>
  <c r="G419" i="3"/>
  <c r="J419" i="3" s="1"/>
  <c r="AD419" i="3" s="1"/>
  <c r="V419" i="3"/>
  <c r="A420" i="3"/>
  <c r="B420" i="3" s="1"/>
  <c r="I419" i="3" l="1"/>
  <c r="W419" i="3" s="1"/>
  <c r="M419" i="3"/>
  <c r="N419" i="3" s="1"/>
  <c r="L419" i="3"/>
  <c r="AC420" i="3"/>
  <c r="AA420" i="3"/>
  <c r="Z420" i="3"/>
  <c r="P420" i="3"/>
  <c r="Q420" i="3" s="1"/>
  <c r="R420" i="3" s="1"/>
  <c r="S420" i="3" s="1"/>
  <c r="T420" i="3" l="1"/>
  <c r="AH420" i="3" s="1"/>
  <c r="U419" i="3"/>
  <c r="Y418" i="3"/>
  <c r="E420" i="3" l="1"/>
  <c r="H420" i="3" s="1"/>
  <c r="K420" i="3" s="1"/>
  <c r="AE420" i="3" s="1"/>
  <c r="D420" i="3"/>
  <c r="AG420" i="3"/>
  <c r="V420" i="3" l="1"/>
  <c r="A421" i="3"/>
  <c r="B421" i="3" s="1"/>
  <c r="F420" i="3"/>
  <c r="G420" i="3"/>
  <c r="I420" i="3" l="1"/>
  <c r="W420" i="3" s="1"/>
  <c r="J420" i="3"/>
  <c r="AD420" i="3" s="1"/>
  <c r="M420" i="3"/>
  <c r="N420" i="3" s="1"/>
  <c r="Z421" i="3"/>
  <c r="P421" i="3"/>
  <c r="Q421" i="3" s="1"/>
  <c r="R421" i="3" s="1"/>
  <c r="S421" i="3" s="1"/>
  <c r="AC421" i="3"/>
  <c r="AA421" i="3"/>
  <c r="T421" i="3" l="1"/>
  <c r="L420" i="3"/>
  <c r="U420" i="3" l="1"/>
  <c r="D421" i="3" s="1"/>
  <c r="AH421" i="3"/>
  <c r="AG421" i="3"/>
  <c r="Y419" i="3"/>
  <c r="E421" i="3" l="1"/>
  <c r="H421" i="3" s="1"/>
  <c r="K421" i="3" s="1"/>
  <c r="AE421" i="3" s="1"/>
  <c r="G421" i="3"/>
  <c r="F421" i="3" l="1"/>
  <c r="V421" i="3"/>
  <c r="A422" i="3"/>
  <c r="B422" i="3" s="1"/>
  <c r="I421" i="3"/>
  <c r="J421" i="3"/>
  <c r="AD421" i="3" s="1"/>
  <c r="M421" i="3"/>
  <c r="N421" i="3" s="1"/>
  <c r="W421" i="3" l="1"/>
  <c r="L421" i="3"/>
  <c r="Z422" i="3"/>
  <c r="P422" i="3"/>
  <c r="Q422" i="3" s="1"/>
  <c r="R422" i="3" s="1"/>
  <c r="S422" i="3" s="1"/>
  <c r="AC422" i="3"/>
  <c r="AA422" i="3"/>
  <c r="U421" i="3" l="1"/>
  <c r="Y420" i="3"/>
  <c r="T422" i="3"/>
  <c r="D422" i="3" l="1"/>
  <c r="G422" i="3" s="1"/>
  <c r="AG422" i="3"/>
  <c r="E422" i="3"/>
  <c r="H422" i="3" s="1"/>
  <c r="K422" i="3" s="1"/>
  <c r="AE422" i="3" s="1"/>
  <c r="AH422" i="3"/>
  <c r="F422" i="3" l="1"/>
  <c r="V422" i="3"/>
  <c r="A423" i="3"/>
  <c r="B423" i="3" s="1"/>
  <c r="I422" i="3"/>
  <c r="J422" i="3"/>
  <c r="AD422" i="3" s="1"/>
  <c r="M422" i="3"/>
  <c r="N422" i="3" s="1"/>
  <c r="L422" i="3" l="1"/>
  <c r="W422" i="3"/>
  <c r="P423" i="3"/>
  <c r="Q423" i="3" s="1"/>
  <c r="R423" i="3" s="1"/>
  <c r="S423" i="3" s="1"/>
  <c r="Z423" i="3"/>
  <c r="AC423" i="3"/>
  <c r="AA423" i="3"/>
  <c r="U422" i="3" l="1"/>
  <c r="Y421" i="3"/>
  <c r="T423" i="3"/>
  <c r="D423" i="3" l="1"/>
  <c r="G423" i="3" s="1"/>
  <c r="AH423" i="3"/>
  <c r="E423" i="3"/>
  <c r="H423" i="3" s="1"/>
  <c r="K423" i="3" s="1"/>
  <c r="AE423" i="3" s="1"/>
  <c r="AG423" i="3"/>
  <c r="F423" i="3" l="1"/>
  <c r="V423" i="3"/>
  <c r="A424" i="3"/>
  <c r="B424" i="3" s="1"/>
  <c r="I423" i="3"/>
  <c r="J423" i="3"/>
  <c r="AD423" i="3" s="1"/>
  <c r="M423" i="3"/>
  <c r="N423" i="3" s="1"/>
  <c r="W423" i="3" l="1"/>
  <c r="L423" i="3"/>
  <c r="AA424" i="3"/>
  <c r="P424" i="3"/>
  <c r="Q424" i="3" s="1"/>
  <c r="R424" i="3" s="1"/>
  <c r="S424" i="3" s="1"/>
  <c r="Z424" i="3"/>
  <c r="AC424" i="3"/>
  <c r="T424" i="3" l="1"/>
  <c r="U423" i="3"/>
  <c r="Y422" i="3"/>
  <c r="D424" i="3" l="1"/>
  <c r="G424" i="3" s="1"/>
  <c r="E424" i="3"/>
  <c r="H424" i="3" s="1"/>
  <c r="K424" i="3" s="1"/>
  <c r="AE424" i="3" s="1"/>
  <c r="AG424" i="3"/>
  <c r="AH424" i="3"/>
  <c r="F424" i="3" l="1"/>
  <c r="V424" i="3"/>
  <c r="A425" i="3"/>
  <c r="B425" i="3" s="1"/>
  <c r="I424" i="3"/>
  <c r="J424" i="3"/>
  <c r="AD424" i="3" s="1"/>
  <c r="M424" i="3"/>
  <c r="N424" i="3" s="1"/>
  <c r="W424" i="3" l="1"/>
  <c r="L424" i="3"/>
  <c r="Z425" i="3"/>
  <c r="AA425" i="3"/>
  <c r="P425" i="3"/>
  <c r="Q425" i="3" s="1"/>
  <c r="R425" i="3" s="1"/>
  <c r="S425" i="3" s="1"/>
  <c r="AC425" i="3"/>
  <c r="AD425" i="3"/>
  <c r="U424" i="3" l="1"/>
  <c r="Y423" i="3"/>
  <c r="T425" i="3"/>
  <c r="E425" i="3" l="1"/>
  <c r="H425" i="3" s="1"/>
  <c r="K425" i="3" s="1"/>
  <c r="AE425" i="3" s="1"/>
  <c r="D425" i="3"/>
  <c r="G425" i="3" s="1"/>
  <c r="AH425" i="3"/>
  <c r="AG425" i="3"/>
  <c r="F425" i="3" l="1"/>
  <c r="I425" i="3"/>
  <c r="J425" i="3"/>
  <c r="M425" i="3"/>
  <c r="N425" i="3" s="1"/>
  <c r="V425" i="3"/>
  <c r="A426" i="3"/>
  <c r="B426" i="3" s="1"/>
  <c r="L425" i="3" l="1"/>
  <c r="W425" i="3"/>
  <c r="P426" i="3"/>
  <c r="Q426" i="3" s="1"/>
  <c r="R426" i="3" s="1"/>
  <c r="S426" i="3" s="1"/>
  <c r="AA426" i="3"/>
  <c r="AD426" i="3"/>
  <c r="Z426" i="3"/>
  <c r="AC426" i="3"/>
  <c r="U425" i="3" l="1"/>
  <c r="Y424" i="3"/>
  <c r="T426" i="3"/>
  <c r="AH426" i="3" s="1"/>
  <c r="E426" i="3" l="1"/>
  <c r="H426" i="3" s="1"/>
  <c r="D426" i="3"/>
  <c r="AG426" i="3"/>
  <c r="K426" i="3" l="1"/>
  <c r="AE426" i="3" s="1"/>
  <c r="F426" i="3"/>
  <c r="G426" i="3"/>
  <c r="V426" i="3" l="1"/>
  <c r="A427" i="3"/>
  <c r="B427" i="3" s="1"/>
  <c r="I426" i="3"/>
  <c r="J426" i="3"/>
  <c r="M426" i="3"/>
  <c r="N426" i="3" s="1"/>
  <c r="W426" i="3" l="1"/>
  <c r="L426" i="3"/>
  <c r="P427" i="3"/>
  <c r="Q427" i="3" s="1"/>
  <c r="R427" i="3" s="1"/>
  <c r="S427" i="3" s="1"/>
  <c r="AC427" i="3"/>
  <c r="AD427" i="3"/>
  <c r="Z427" i="3"/>
  <c r="AA427" i="3"/>
  <c r="U426" i="3" l="1"/>
  <c r="Y425" i="3"/>
  <c r="T427" i="3"/>
  <c r="AG427" i="3" s="1"/>
  <c r="D427" i="3" l="1"/>
  <c r="G427" i="3" s="1"/>
  <c r="E427" i="3"/>
  <c r="H427" i="3" s="1"/>
  <c r="K427" i="3" s="1"/>
  <c r="AE427" i="3" s="1"/>
  <c r="AH427" i="3"/>
  <c r="F427" i="3" l="1"/>
  <c r="I427" i="3"/>
  <c r="J427" i="3"/>
  <c r="M427" i="3"/>
  <c r="N427" i="3" s="1"/>
  <c r="V427" i="3"/>
  <c r="A428" i="3"/>
  <c r="B428" i="3" s="1"/>
  <c r="W427" i="3" l="1"/>
  <c r="L427" i="3"/>
  <c r="P428" i="3"/>
  <c r="Q428" i="3" s="1"/>
  <c r="R428" i="3" s="1"/>
  <c r="S428" i="3" s="1"/>
  <c r="AC428" i="3"/>
  <c r="Z428" i="3"/>
  <c r="AA428" i="3"/>
  <c r="AD428" i="3"/>
  <c r="U427" i="3" l="1"/>
  <c r="Y426" i="3"/>
  <c r="T428" i="3"/>
  <c r="AG428" i="3" s="1"/>
  <c r="E428" i="3" l="1"/>
  <c r="H428" i="3" s="1"/>
  <c r="AH428" i="3"/>
  <c r="D428" i="3"/>
  <c r="K428" i="3" l="1"/>
  <c r="AE428" i="3" s="1"/>
  <c r="F428" i="3"/>
  <c r="G428" i="3"/>
  <c r="I428" i="3" l="1"/>
  <c r="J428" i="3"/>
  <c r="M428" i="3"/>
  <c r="N428" i="3" s="1"/>
  <c r="V428" i="3"/>
  <c r="A429" i="3"/>
  <c r="B429" i="3" s="1"/>
  <c r="W428" i="3" l="1"/>
  <c r="AD429" i="3"/>
  <c r="Z429" i="3"/>
  <c r="AC429" i="3"/>
  <c r="P429" i="3"/>
  <c r="Q429" i="3" s="1"/>
  <c r="R429" i="3" s="1"/>
  <c r="S429" i="3" s="1"/>
  <c r="AA429" i="3"/>
  <c r="L428" i="3"/>
  <c r="U428" i="3" l="1"/>
  <c r="Y427" i="3"/>
  <c r="T429" i="3"/>
  <c r="D429" i="3" l="1"/>
  <c r="G429" i="3" s="1"/>
  <c r="E429" i="3"/>
  <c r="H429" i="3" s="1"/>
  <c r="K429" i="3" s="1"/>
  <c r="AE429" i="3" s="1"/>
  <c r="AG429" i="3"/>
  <c r="AH429" i="3"/>
  <c r="F429" i="3" l="1"/>
  <c r="I429" i="3"/>
  <c r="J429" i="3"/>
  <c r="M429" i="3"/>
  <c r="N429" i="3" s="1"/>
  <c r="V429" i="3"/>
  <c r="A430" i="3"/>
  <c r="B430" i="3" s="1"/>
  <c r="L429" i="3" l="1"/>
  <c r="W429" i="3"/>
  <c r="AA430" i="3"/>
  <c r="Z430" i="3"/>
  <c r="P430" i="3"/>
  <c r="Q430" i="3" s="1"/>
  <c r="R430" i="3" s="1"/>
  <c r="S430" i="3" s="1"/>
  <c r="AC430" i="3"/>
  <c r="AD430" i="3"/>
  <c r="U429" i="3" l="1"/>
  <c r="Y428" i="3"/>
  <c r="T430" i="3"/>
  <c r="D430" i="3" l="1"/>
  <c r="G430" i="3" s="1"/>
  <c r="AH430" i="3"/>
  <c r="E430" i="3"/>
  <c r="H430" i="3" s="1"/>
  <c r="AG430" i="3"/>
  <c r="F430" i="3" l="1"/>
  <c r="I430" i="3"/>
  <c r="J430" i="3"/>
  <c r="M430" i="3"/>
  <c r="N430" i="3" s="1"/>
  <c r="K430" i="3"/>
  <c r="AE430" i="3" s="1"/>
  <c r="V430" i="3" l="1"/>
  <c r="W430" i="3" s="1"/>
  <c r="A431" i="3"/>
  <c r="B431" i="3" s="1"/>
  <c r="L430" i="3"/>
  <c r="U430" i="3" l="1"/>
  <c r="Y429" i="3"/>
  <c r="AC431" i="3"/>
  <c r="Z431" i="3"/>
  <c r="P431" i="3"/>
  <c r="Q431" i="3" s="1"/>
  <c r="R431" i="3" s="1"/>
  <c r="S431" i="3" s="1"/>
  <c r="AA431" i="3"/>
  <c r="AD431" i="3"/>
  <c r="T431" i="3" l="1"/>
  <c r="AH431" i="3" s="1"/>
  <c r="E431" i="3" l="1"/>
  <c r="H431" i="3" s="1"/>
  <c r="AG431" i="3"/>
  <c r="D431" i="3"/>
  <c r="K431" i="3" l="1"/>
  <c r="AE431" i="3" s="1"/>
  <c r="F431" i="3"/>
  <c r="G431" i="3"/>
  <c r="V431" i="3" l="1"/>
  <c r="A432" i="3"/>
  <c r="B432" i="3" s="1"/>
  <c r="I431" i="3"/>
  <c r="J431" i="3"/>
  <c r="M431" i="3"/>
  <c r="N431" i="3" s="1"/>
  <c r="W431" i="3" l="1"/>
  <c r="L431" i="3"/>
  <c r="AA432" i="3"/>
  <c r="P432" i="3"/>
  <c r="Q432" i="3" s="1"/>
  <c r="R432" i="3" s="1"/>
  <c r="S432" i="3" s="1"/>
  <c r="AC432" i="3"/>
  <c r="Z432" i="3"/>
  <c r="AD432" i="3"/>
  <c r="T432" i="3" l="1"/>
  <c r="AH432" i="3" s="1"/>
  <c r="U431" i="3"/>
  <c r="Y430" i="3"/>
  <c r="AG432" i="3" l="1"/>
  <c r="E432" i="3"/>
  <c r="H432" i="3" s="1"/>
  <c r="D432" i="3"/>
  <c r="K432" i="3" l="1"/>
  <c r="AE432" i="3" s="1"/>
  <c r="F432" i="3"/>
  <c r="G432" i="3"/>
  <c r="I432" i="3" l="1"/>
  <c r="J432" i="3"/>
  <c r="M432" i="3"/>
  <c r="N432" i="3" s="1"/>
  <c r="V432" i="3"/>
  <c r="A433" i="3"/>
  <c r="B433" i="3" s="1"/>
  <c r="W432" i="3" l="1"/>
  <c r="L432" i="3"/>
  <c r="P433" i="3"/>
  <c r="Q433" i="3" s="1"/>
  <c r="R433" i="3" s="1"/>
  <c r="S433" i="3" s="1"/>
  <c r="AC433" i="3"/>
  <c r="Z433" i="3"/>
  <c r="AA433" i="3"/>
  <c r="AD433" i="3"/>
  <c r="U432" i="3" l="1"/>
  <c r="Y431" i="3"/>
  <c r="T433" i="3"/>
  <c r="E433" i="3" l="1"/>
  <c r="H433" i="3" s="1"/>
  <c r="K433" i="3" s="1"/>
  <c r="AE433" i="3" s="1"/>
  <c r="D433" i="3"/>
  <c r="AG433" i="3"/>
  <c r="AH433" i="3"/>
  <c r="F433" i="3" l="1"/>
  <c r="G433" i="3"/>
  <c r="M433" i="3" s="1"/>
  <c r="N433" i="3" s="1"/>
  <c r="V433" i="3"/>
  <c r="A434" i="3"/>
  <c r="B434" i="3" s="1"/>
  <c r="I433" i="3" l="1"/>
  <c r="W433" i="3" s="1"/>
  <c r="J433" i="3"/>
  <c r="L433" i="3" s="1"/>
  <c r="P434" i="3"/>
  <c r="Q434" i="3" s="1"/>
  <c r="R434" i="3" s="1"/>
  <c r="S434" i="3" s="1"/>
  <c r="Z434" i="3"/>
  <c r="AA434" i="3"/>
  <c r="AC434" i="3"/>
  <c r="U433" i="3" l="1"/>
  <c r="Y432" i="3"/>
  <c r="T434" i="3"/>
  <c r="AH434" i="3" s="1"/>
  <c r="E434" i="3" l="1"/>
  <c r="H434" i="3" s="1"/>
  <c r="K434" i="3" s="1"/>
  <c r="AE434" i="3" s="1"/>
  <c r="AG434" i="3"/>
  <c r="D434" i="3"/>
  <c r="F434" i="3" l="1"/>
  <c r="G434" i="3"/>
  <c r="M434" i="3" s="1"/>
  <c r="N434" i="3" s="1"/>
  <c r="V434" i="3"/>
  <c r="A435" i="3"/>
  <c r="B435" i="3" s="1"/>
  <c r="I434" i="3" l="1"/>
  <c r="W434" i="3" s="1"/>
  <c r="J434" i="3"/>
  <c r="P435" i="3"/>
  <c r="Q435" i="3" s="1"/>
  <c r="R435" i="3" s="1"/>
  <c r="S435" i="3" s="1"/>
  <c r="AA435" i="3"/>
  <c r="AD435" i="3"/>
  <c r="AC435" i="3"/>
  <c r="Z435" i="3"/>
  <c r="L434" i="3" l="1"/>
  <c r="Y433" i="3" s="1"/>
  <c r="AD434" i="3"/>
  <c r="T435" i="3"/>
  <c r="U434" i="3" l="1"/>
  <c r="E435" i="3" s="1"/>
  <c r="H435" i="3" s="1"/>
  <c r="AG435" i="3"/>
  <c r="AH435" i="3"/>
  <c r="D435" i="3" l="1"/>
  <c r="G435" i="3" s="1"/>
  <c r="I435" i="3" s="1"/>
  <c r="K435" i="3"/>
  <c r="AE435" i="3" s="1"/>
  <c r="J435" i="3" l="1"/>
  <c r="L435" i="3" s="1"/>
  <c r="M435" i="3"/>
  <c r="N435" i="3" s="1"/>
  <c r="F435" i="3"/>
  <c r="V435" i="3"/>
  <c r="W435" i="3" s="1"/>
  <c r="A436" i="3"/>
  <c r="B436" i="3" s="1"/>
  <c r="AC436" i="3" l="1"/>
  <c r="Z436" i="3"/>
  <c r="P436" i="3"/>
  <c r="Q436" i="3" s="1"/>
  <c r="R436" i="3" s="1"/>
  <c r="S436" i="3" s="1"/>
  <c r="AA436" i="3"/>
  <c r="AD436" i="3"/>
  <c r="U435" i="3"/>
  <c r="Y434" i="3"/>
  <c r="T436" i="3" l="1"/>
  <c r="E436" i="3" l="1"/>
  <c r="H436" i="3" s="1"/>
  <c r="D436" i="3"/>
  <c r="AH436" i="3"/>
  <c r="AG436" i="3"/>
  <c r="F436" i="3" l="1"/>
  <c r="G436" i="3"/>
  <c r="K436" i="3"/>
  <c r="AE436" i="3" s="1"/>
  <c r="I436" i="3" l="1"/>
  <c r="J436" i="3"/>
  <c r="M436" i="3"/>
  <c r="N436" i="3" s="1"/>
  <c r="V436" i="3"/>
  <c r="A437" i="3"/>
  <c r="B437" i="3" s="1"/>
  <c r="W436" i="3" l="1"/>
  <c r="L436" i="3"/>
  <c r="AC437" i="3"/>
  <c r="AA437" i="3"/>
  <c r="P437" i="3"/>
  <c r="Q437" i="3" s="1"/>
  <c r="R437" i="3" s="1"/>
  <c r="S437" i="3" s="1"/>
  <c r="AD437" i="3"/>
  <c r="Z437" i="3"/>
  <c r="U436" i="3" l="1"/>
  <c r="Y435" i="3"/>
  <c r="T437" i="3"/>
  <c r="AH437" i="3" s="1"/>
  <c r="D437" i="3" l="1"/>
  <c r="G437" i="3" s="1"/>
  <c r="E437" i="3"/>
  <c r="H437" i="3" s="1"/>
  <c r="K437" i="3" s="1"/>
  <c r="AE437" i="3" s="1"/>
  <c r="AG437" i="3"/>
  <c r="F437" i="3" l="1"/>
  <c r="I437" i="3"/>
  <c r="J437" i="3"/>
  <c r="M437" i="3"/>
  <c r="N437" i="3" s="1"/>
  <c r="V437" i="3"/>
  <c r="A438" i="3"/>
  <c r="B438" i="3" s="1"/>
  <c r="W437" i="3" l="1"/>
  <c r="L437" i="3"/>
  <c r="Z438" i="3"/>
  <c r="P438" i="3"/>
  <c r="Q438" i="3" s="1"/>
  <c r="R438" i="3" s="1"/>
  <c r="S438" i="3" s="1"/>
  <c r="AC438" i="3"/>
  <c r="AD438" i="3"/>
  <c r="AA438" i="3"/>
  <c r="U437" i="3" l="1"/>
  <c r="Y436" i="3"/>
  <c r="T438" i="3"/>
  <c r="E438" i="3" l="1"/>
  <c r="H438" i="3" s="1"/>
  <c r="K438" i="3" s="1"/>
  <c r="AE438" i="3" s="1"/>
  <c r="D438" i="3"/>
  <c r="AH438" i="3"/>
  <c r="AG438" i="3"/>
  <c r="V438" i="3" l="1"/>
  <c r="A439" i="3"/>
  <c r="B439" i="3" s="1"/>
  <c r="F438" i="3"/>
  <c r="G438" i="3"/>
  <c r="I438" i="3" l="1"/>
  <c r="W438" i="3" s="1"/>
  <c r="J438" i="3"/>
  <c r="M438" i="3"/>
  <c r="N438" i="3" s="1"/>
  <c r="Z439" i="3"/>
  <c r="P439" i="3"/>
  <c r="Q439" i="3" s="1"/>
  <c r="R439" i="3" s="1"/>
  <c r="S439" i="3" s="1"/>
  <c r="AD439" i="3"/>
  <c r="AC439" i="3"/>
  <c r="AA439" i="3"/>
  <c r="T439" i="3" l="1"/>
  <c r="L438" i="3"/>
  <c r="AG439" i="3" l="1"/>
  <c r="AH439" i="3"/>
  <c r="U438" i="3"/>
  <c r="E439" i="3" s="1"/>
  <c r="H439" i="3" s="1"/>
  <c r="Y437" i="3"/>
  <c r="D439" i="3" l="1"/>
  <c r="G439" i="3" s="1"/>
  <c r="K439" i="3"/>
  <c r="AE439" i="3" s="1"/>
  <c r="F439" i="3" l="1"/>
  <c r="V439" i="3"/>
  <c r="A440" i="3"/>
  <c r="B440" i="3" s="1"/>
  <c r="I439" i="3"/>
  <c r="J439" i="3"/>
  <c r="M439" i="3"/>
  <c r="N439" i="3" s="1"/>
  <c r="W439" i="3" l="1"/>
  <c r="L439" i="3"/>
  <c r="Z440" i="3"/>
  <c r="AC440" i="3"/>
  <c r="P440" i="3"/>
  <c r="Q440" i="3" s="1"/>
  <c r="R440" i="3" s="1"/>
  <c r="S440" i="3" s="1"/>
  <c r="AA440" i="3"/>
  <c r="AD440" i="3"/>
  <c r="T440" i="3" l="1"/>
  <c r="AH440" i="3" s="1"/>
  <c r="U439" i="3"/>
  <c r="Y438" i="3"/>
  <c r="AG440" i="3" l="1"/>
  <c r="D440" i="3"/>
  <c r="E440" i="3"/>
  <c r="H440" i="3" s="1"/>
  <c r="K440" i="3" l="1"/>
  <c r="AE440" i="3" s="1"/>
  <c r="F440" i="3"/>
  <c r="G440" i="3"/>
  <c r="I440" i="3" l="1"/>
  <c r="J440" i="3"/>
  <c r="M440" i="3"/>
  <c r="N440" i="3" s="1"/>
  <c r="V440" i="3"/>
  <c r="A441" i="3"/>
  <c r="B441" i="3" s="1"/>
  <c r="W440" i="3" l="1"/>
  <c r="L440" i="3"/>
  <c r="P441" i="3"/>
  <c r="Q441" i="3" s="1"/>
  <c r="R441" i="3" s="1"/>
  <c r="S441" i="3" s="1"/>
  <c r="AD441" i="3"/>
  <c r="AC441" i="3"/>
  <c r="Z441" i="3"/>
  <c r="AA441" i="3"/>
  <c r="T441" i="3" l="1"/>
  <c r="AH441" i="3" s="1"/>
  <c r="U440" i="3"/>
  <c r="Y439" i="3"/>
  <c r="E441" i="3" l="1"/>
  <c r="H441" i="3" s="1"/>
  <c r="K441" i="3" s="1"/>
  <c r="AE441" i="3" s="1"/>
  <c r="AG441" i="3"/>
  <c r="D441" i="3"/>
  <c r="V441" i="3" l="1"/>
  <c r="A442" i="3"/>
  <c r="B442" i="3" s="1"/>
  <c r="F441" i="3"/>
  <c r="G441" i="3"/>
  <c r="I441" i="3" l="1"/>
  <c r="W441" i="3" s="1"/>
  <c r="J441" i="3"/>
  <c r="M441" i="3"/>
  <c r="N441" i="3" s="1"/>
  <c r="AC442" i="3"/>
  <c r="AD442" i="3"/>
  <c r="AA442" i="3"/>
  <c r="P442" i="3"/>
  <c r="Q442" i="3" s="1"/>
  <c r="R442" i="3" s="1"/>
  <c r="S442" i="3" s="1"/>
  <c r="Z442" i="3"/>
  <c r="T442" i="3" l="1"/>
  <c r="L441" i="3"/>
  <c r="U441" i="3" l="1"/>
  <c r="D442" i="3" s="1"/>
  <c r="AH442" i="3"/>
  <c r="AG442" i="3"/>
  <c r="Y440" i="3"/>
  <c r="G442" i="3" l="1"/>
  <c r="E442" i="3"/>
  <c r="H442" i="3" s="1"/>
  <c r="I442" i="3" l="1"/>
  <c r="J442" i="3"/>
  <c r="M442" i="3"/>
  <c r="N442" i="3" s="1"/>
  <c r="F442" i="3"/>
  <c r="K442" i="3"/>
  <c r="AE442" i="3" s="1"/>
  <c r="V442" i="3" l="1"/>
  <c r="W442" i="3" s="1"/>
  <c r="A443" i="3"/>
  <c r="B443" i="3" s="1"/>
  <c r="L442" i="3"/>
  <c r="U442" i="3" l="1"/>
  <c r="Y441" i="3"/>
  <c r="Z443" i="3"/>
  <c r="P443" i="3"/>
  <c r="Q443" i="3" s="1"/>
  <c r="R443" i="3" s="1"/>
  <c r="S443" i="3" s="1"/>
  <c r="AD443" i="3"/>
  <c r="AC443" i="3"/>
  <c r="AA443" i="3"/>
  <c r="T443" i="3" l="1"/>
  <c r="D443" i="3" s="1"/>
  <c r="E443" i="3" l="1"/>
  <c r="H443" i="3" s="1"/>
  <c r="K443" i="3" s="1"/>
  <c r="AE443" i="3" s="1"/>
  <c r="G443" i="3"/>
  <c r="AG443" i="3"/>
  <c r="AH443" i="3"/>
  <c r="F443" i="3" l="1"/>
  <c r="V443" i="3"/>
  <c r="A444" i="3"/>
  <c r="B444" i="3" s="1"/>
  <c r="I443" i="3"/>
  <c r="J443" i="3"/>
  <c r="M443" i="3"/>
  <c r="N443" i="3" s="1"/>
  <c r="W443" i="3" l="1"/>
  <c r="L443" i="3"/>
  <c r="Z444" i="3"/>
  <c r="P444" i="3"/>
  <c r="Q444" i="3" s="1"/>
  <c r="R444" i="3" s="1"/>
  <c r="S444" i="3" s="1"/>
  <c r="AA444" i="3"/>
  <c r="AC444" i="3"/>
  <c r="U443" i="3" l="1"/>
  <c r="Y442" i="3"/>
  <c r="T444" i="3"/>
  <c r="AG444" i="3" s="1"/>
  <c r="AH444" i="3" l="1"/>
  <c r="D444" i="3"/>
  <c r="E444" i="3"/>
  <c r="H444" i="3" s="1"/>
  <c r="F444" i="3" l="1"/>
  <c r="G444" i="3"/>
  <c r="K444" i="3"/>
  <c r="AE444" i="3" s="1"/>
  <c r="I444" i="3" l="1"/>
  <c r="J444" i="3"/>
  <c r="AD444" i="3" s="1"/>
  <c r="M444" i="3"/>
  <c r="N444" i="3" s="1"/>
  <c r="V444" i="3"/>
  <c r="A445" i="3"/>
  <c r="B445" i="3" s="1"/>
  <c r="W444" i="3" l="1"/>
  <c r="L444" i="3"/>
  <c r="AA445" i="3"/>
  <c r="P445" i="3"/>
  <c r="Q445" i="3" s="1"/>
  <c r="R445" i="3" s="1"/>
  <c r="S445" i="3" s="1"/>
  <c r="Z445" i="3"/>
  <c r="AD445" i="3"/>
  <c r="AC445" i="3"/>
  <c r="T445" i="3" l="1"/>
  <c r="U444" i="3"/>
  <c r="Y443" i="3"/>
  <c r="D445" i="3" l="1"/>
  <c r="G445" i="3" s="1"/>
  <c r="AG445" i="3"/>
  <c r="E445" i="3"/>
  <c r="H445" i="3" s="1"/>
  <c r="AH445" i="3"/>
  <c r="K445" i="3" l="1"/>
  <c r="AE445" i="3" s="1"/>
  <c r="I445" i="3"/>
  <c r="J445" i="3"/>
  <c r="M445" i="3"/>
  <c r="N445" i="3" s="1"/>
  <c r="F445" i="3"/>
  <c r="L445" i="3" l="1"/>
  <c r="V445" i="3"/>
  <c r="W445" i="3" s="1"/>
  <c r="A446" i="3"/>
  <c r="B446" i="3" s="1"/>
  <c r="AD446" i="3" l="1"/>
  <c r="AC446" i="3"/>
  <c r="P446" i="3"/>
  <c r="Q446" i="3" s="1"/>
  <c r="R446" i="3" s="1"/>
  <c r="S446" i="3" s="1"/>
  <c r="Z446" i="3"/>
  <c r="AA446" i="3"/>
  <c r="U445" i="3"/>
  <c r="Y444" i="3"/>
  <c r="T446" i="3" l="1"/>
  <c r="D446" i="3" s="1"/>
  <c r="AG446" i="3" l="1"/>
  <c r="G446" i="3"/>
  <c r="E446" i="3"/>
  <c r="H446" i="3" s="1"/>
  <c r="AH446" i="3"/>
  <c r="K446" i="3" l="1"/>
  <c r="AE446" i="3" s="1"/>
  <c r="F446" i="3"/>
  <c r="I446" i="3"/>
  <c r="J446" i="3"/>
  <c r="M446" i="3"/>
  <c r="N446" i="3" s="1"/>
  <c r="L446" i="3" l="1"/>
  <c r="V446" i="3"/>
  <c r="W446" i="3" s="1"/>
  <c r="A447" i="3"/>
  <c r="B447" i="3" s="1"/>
  <c r="Z447" i="3" l="1"/>
  <c r="P447" i="3"/>
  <c r="Q447" i="3" s="1"/>
  <c r="R447" i="3" s="1"/>
  <c r="S447" i="3" s="1"/>
  <c r="AC447" i="3"/>
  <c r="AA447" i="3"/>
  <c r="AD447" i="3"/>
  <c r="U446" i="3"/>
  <c r="Y445" i="3"/>
  <c r="T447" i="3" l="1"/>
  <c r="AG447" i="3" s="1"/>
  <c r="D447" i="3" l="1"/>
  <c r="G447" i="3" s="1"/>
  <c r="AH447" i="3"/>
  <c r="E447" i="3"/>
  <c r="H447" i="3" s="1"/>
  <c r="K447" i="3" s="1"/>
  <c r="AE447" i="3" s="1"/>
  <c r="F447" i="3" l="1"/>
  <c r="I447" i="3"/>
  <c r="J447" i="3"/>
  <c r="M447" i="3"/>
  <c r="N447" i="3" s="1"/>
  <c r="V447" i="3"/>
  <c r="A448" i="3"/>
  <c r="B448" i="3" s="1"/>
  <c r="W447" i="3" l="1"/>
  <c r="L447" i="3"/>
  <c r="AD448" i="3"/>
  <c r="Z448" i="3"/>
  <c r="AA448" i="3"/>
  <c r="P448" i="3"/>
  <c r="Q448" i="3" s="1"/>
  <c r="R448" i="3" s="1"/>
  <c r="S448" i="3" s="1"/>
  <c r="AC448" i="3"/>
  <c r="T448" i="3" l="1"/>
  <c r="AG448" i="3" s="1"/>
  <c r="U447" i="3"/>
  <c r="Y446" i="3"/>
  <c r="D448" i="3" l="1"/>
  <c r="G448" i="3" s="1"/>
  <c r="E448" i="3"/>
  <c r="H448" i="3" s="1"/>
  <c r="AH448" i="3"/>
  <c r="F448" i="3" l="1"/>
  <c r="I448" i="3"/>
  <c r="J448" i="3"/>
  <c r="M448" i="3"/>
  <c r="N448" i="3" s="1"/>
  <c r="K448" i="3"/>
  <c r="AE448" i="3" s="1"/>
  <c r="V448" i="3" l="1"/>
  <c r="W448" i="3" s="1"/>
  <c r="A449" i="3"/>
  <c r="B449" i="3" s="1"/>
  <c r="L448" i="3"/>
  <c r="U448" i="3" l="1"/>
  <c r="Y447" i="3"/>
  <c r="P449" i="3"/>
  <c r="Q449" i="3" s="1"/>
  <c r="R449" i="3" s="1"/>
  <c r="S449" i="3" s="1"/>
  <c r="AD449" i="3"/>
  <c r="AA449" i="3"/>
  <c r="Z449" i="3"/>
  <c r="AC449" i="3"/>
  <c r="T449" i="3" l="1"/>
  <c r="D449" i="3" s="1"/>
  <c r="G449" i="3" l="1"/>
  <c r="AG449" i="3"/>
  <c r="AH449" i="3"/>
  <c r="E449" i="3"/>
  <c r="H449" i="3" s="1"/>
  <c r="K449" i="3" l="1"/>
  <c r="AE449" i="3" s="1"/>
  <c r="F449" i="3"/>
  <c r="I449" i="3"/>
  <c r="J449" i="3"/>
  <c r="M449" i="3"/>
  <c r="N449" i="3" s="1"/>
  <c r="L449" i="3" l="1"/>
  <c r="V449" i="3"/>
  <c r="W449" i="3" s="1"/>
  <c r="A450" i="3"/>
  <c r="B450" i="3" s="1"/>
  <c r="P450" i="3" l="1"/>
  <c r="Q450" i="3" s="1"/>
  <c r="R450" i="3" s="1"/>
  <c r="S450" i="3" s="1"/>
  <c r="AD450" i="3"/>
  <c r="Z450" i="3"/>
  <c r="AC450" i="3"/>
  <c r="AA450" i="3"/>
  <c r="U449" i="3"/>
  <c r="Y448" i="3"/>
  <c r="T450" i="3" l="1"/>
  <c r="D450" i="3" s="1"/>
  <c r="AH450" i="3" l="1"/>
  <c r="G450" i="3"/>
  <c r="E450" i="3"/>
  <c r="H450" i="3" s="1"/>
  <c r="AG450" i="3"/>
  <c r="F450" i="3" l="1"/>
  <c r="I450" i="3"/>
  <c r="J450" i="3"/>
  <c r="M450" i="3"/>
  <c r="N450" i="3" s="1"/>
  <c r="K450" i="3"/>
  <c r="AE450" i="3" s="1"/>
  <c r="V450" i="3" l="1"/>
  <c r="W450" i="3" s="1"/>
  <c r="A451" i="3"/>
  <c r="B451" i="3" s="1"/>
  <c r="L450" i="3"/>
  <c r="U450" i="3" l="1"/>
  <c r="Y449" i="3"/>
  <c r="P451" i="3"/>
  <c r="Q451" i="3" s="1"/>
  <c r="R451" i="3" s="1"/>
  <c r="S451" i="3" s="1"/>
  <c r="Z451" i="3"/>
  <c r="AD451" i="3"/>
  <c r="AA451" i="3"/>
  <c r="AC451" i="3"/>
  <c r="T451" i="3" l="1"/>
  <c r="AG451" i="3" s="1"/>
  <c r="E451" i="3" l="1"/>
  <c r="H451" i="3" s="1"/>
  <c r="K451" i="3" s="1"/>
  <c r="AE451" i="3" s="1"/>
  <c r="AH451" i="3"/>
  <c r="D451" i="3"/>
  <c r="V451" i="3" l="1"/>
  <c r="A452" i="3"/>
  <c r="B452" i="3" s="1"/>
  <c r="F451" i="3"/>
  <c r="G451" i="3"/>
  <c r="I451" i="3" l="1"/>
  <c r="W451" i="3" s="1"/>
  <c r="J451" i="3"/>
  <c r="M451" i="3"/>
  <c r="N451" i="3" s="1"/>
  <c r="AA452" i="3"/>
  <c r="P452" i="3"/>
  <c r="Q452" i="3" s="1"/>
  <c r="R452" i="3" s="1"/>
  <c r="S452" i="3" s="1"/>
  <c r="AC452" i="3"/>
  <c r="Z452" i="3"/>
  <c r="AD452" i="3"/>
  <c r="T452" i="3" l="1"/>
  <c r="L451" i="3"/>
  <c r="U451" i="3" l="1"/>
  <c r="D452" i="3" s="1"/>
  <c r="AH452" i="3"/>
  <c r="AG452" i="3"/>
  <c r="Y450" i="3"/>
  <c r="E452" i="3" l="1"/>
  <c r="H452" i="3" s="1"/>
  <c r="K452" i="3" s="1"/>
  <c r="AE452" i="3" s="1"/>
  <c r="G452" i="3"/>
  <c r="F452" i="3" l="1"/>
  <c r="I452" i="3"/>
  <c r="J452" i="3"/>
  <c r="M452" i="3"/>
  <c r="N452" i="3" s="1"/>
  <c r="V452" i="3"/>
  <c r="A453" i="3"/>
  <c r="B453" i="3" s="1"/>
  <c r="W452" i="3" l="1"/>
  <c r="L452" i="3"/>
  <c r="AA453" i="3"/>
  <c r="P453" i="3"/>
  <c r="Q453" i="3" s="1"/>
  <c r="R453" i="3" s="1"/>
  <c r="S453" i="3" s="1"/>
  <c r="AC453" i="3"/>
  <c r="AD453" i="3"/>
  <c r="Z453" i="3"/>
  <c r="U452" i="3" l="1"/>
  <c r="Y451" i="3"/>
  <c r="T453" i="3"/>
  <c r="AH453" i="3" s="1"/>
  <c r="AG453" i="3" l="1"/>
  <c r="E453" i="3"/>
  <c r="H453" i="3" s="1"/>
  <c r="D453" i="3"/>
  <c r="K453" i="3" l="1"/>
  <c r="AE453" i="3" s="1"/>
  <c r="F453" i="3"/>
  <c r="G453" i="3"/>
  <c r="I453" i="3" l="1"/>
  <c r="J453" i="3"/>
  <c r="M453" i="3"/>
  <c r="N453" i="3" s="1"/>
  <c r="V453" i="3"/>
  <c r="A454" i="3"/>
  <c r="B454" i="3" s="1"/>
  <c r="W453" i="3" l="1"/>
  <c r="AA454" i="3"/>
  <c r="AC454" i="3"/>
  <c r="Z454" i="3"/>
  <c r="P454" i="3"/>
  <c r="Q454" i="3" s="1"/>
  <c r="R454" i="3" s="1"/>
  <c r="S454" i="3" s="1"/>
  <c r="L453" i="3"/>
  <c r="U453" i="3" l="1"/>
  <c r="Y452" i="3"/>
  <c r="T454" i="3"/>
  <c r="E454" i="3" l="1"/>
  <c r="H454" i="3" s="1"/>
  <c r="K454" i="3" s="1"/>
  <c r="AE454" i="3" s="1"/>
  <c r="AH454" i="3"/>
  <c r="AG454" i="3"/>
  <c r="D454" i="3"/>
  <c r="F454" i="3" l="1"/>
  <c r="G454" i="3"/>
  <c r="V454" i="3"/>
  <c r="A455" i="3"/>
  <c r="B455" i="3" s="1"/>
  <c r="AC455" i="3" l="1"/>
  <c r="AD455" i="3"/>
  <c r="AA455" i="3"/>
  <c r="Z455" i="3"/>
  <c r="P455" i="3"/>
  <c r="Q455" i="3" s="1"/>
  <c r="R455" i="3" s="1"/>
  <c r="S455" i="3" s="1"/>
  <c r="I454" i="3"/>
  <c r="W454" i="3" s="1"/>
  <c r="J454" i="3"/>
  <c r="AD454" i="3" s="1"/>
  <c r="M454" i="3"/>
  <c r="N454" i="3" s="1"/>
  <c r="L454" i="3" l="1"/>
  <c r="T455" i="3"/>
  <c r="AH455" i="3" l="1"/>
  <c r="U454" i="3"/>
  <c r="D455" i="3" s="1"/>
  <c r="AG455" i="3"/>
  <c r="Y453" i="3"/>
  <c r="E455" i="3" l="1"/>
  <c r="H455" i="3" s="1"/>
  <c r="K455" i="3" s="1"/>
  <c r="AE455" i="3" s="1"/>
  <c r="G455" i="3"/>
  <c r="F455" i="3" l="1"/>
  <c r="I455" i="3"/>
  <c r="J455" i="3"/>
  <c r="M455" i="3"/>
  <c r="N455" i="3" s="1"/>
  <c r="V455" i="3"/>
  <c r="A456" i="3"/>
  <c r="B456" i="3" s="1"/>
  <c r="W455" i="3" l="1"/>
  <c r="L455" i="3"/>
  <c r="AC456" i="3"/>
  <c r="P456" i="3"/>
  <c r="Q456" i="3" s="1"/>
  <c r="R456" i="3" s="1"/>
  <c r="S456" i="3" s="1"/>
  <c r="AD456" i="3"/>
  <c r="Z456" i="3"/>
  <c r="AA456" i="3"/>
  <c r="U455" i="3" l="1"/>
  <c r="Y454" i="3"/>
  <c r="T456" i="3"/>
  <c r="AG456" i="3" s="1"/>
  <c r="D456" i="3" l="1"/>
  <c r="G456" i="3" s="1"/>
  <c r="AH456" i="3"/>
  <c r="E456" i="3"/>
  <c r="H456" i="3" s="1"/>
  <c r="I456" i="3" l="1"/>
  <c r="J456" i="3"/>
  <c r="M456" i="3"/>
  <c r="N456" i="3" s="1"/>
  <c r="K456" i="3"/>
  <c r="AE456" i="3" s="1"/>
  <c r="F456" i="3"/>
  <c r="V456" i="3" l="1"/>
  <c r="W456" i="3" s="1"/>
  <c r="A457" i="3"/>
  <c r="B457" i="3" s="1"/>
  <c r="L456" i="3"/>
  <c r="Z457" i="3" l="1"/>
  <c r="AC457" i="3"/>
  <c r="P457" i="3"/>
  <c r="Q457" i="3" s="1"/>
  <c r="R457" i="3" s="1"/>
  <c r="S457" i="3" s="1"/>
  <c r="AD457" i="3"/>
  <c r="AA457" i="3"/>
  <c r="U456" i="3"/>
  <c r="Y455" i="3"/>
  <c r="T457" i="3" l="1"/>
  <c r="D457" i="3" l="1"/>
  <c r="AH457" i="3"/>
  <c r="E457" i="3"/>
  <c r="H457" i="3" s="1"/>
  <c r="AG457" i="3"/>
  <c r="F457" i="3" l="1"/>
  <c r="G457" i="3"/>
  <c r="K457" i="3"/>
  <c r="AE457" i="3" s="1"/>
  <c r="I457" i="3" l="1"/>
  <c r="J457" i="3"/>
  <c r="M457" i="3"/>
  <c r="N457" i="3" s="1"/>
  <c r="V457" i="3"/>
  <c r="A458" i="3"/>
  <c r="B458" i="3" s="1"/>
  <c r="L457" i="3" l="1"/>
  <c r="W457" i="3"/>
  <c r="P458" i="3"/>
  <c r="Q458" i="3" s="1"/>
  <c r="R458" i="3" s="1"/>
  <c r="S458" i="3" s="1"/>
  <c r="AC458" i="3"/>
  <c r="Z458" i="3"/>
  <c r="AD458" i="3"/>
  <c r="AA458" i="3"/>
  <c r="U457" i="3" l="1"/>
  <c r="Y456" i="3"/>
  <c r="T458" i="3"/>
  <c r="AH458" i="3" s="1"/>
  <c r="AG458" i="3" l="1"/>
  <c r="E458" i="3"/>
  <c r="H458" i="3" s="1"/>
  <c r="D458" i="3"/>
  <c r="K458" i="3" l="1"/>
  <c r="AE458" i="3" s="1"/>
  <c r="F458" i="3"/>
  <c r="G458" i="3"/>
  <c r="V458" i="3" l="1"/>
  <c r="A459" i="3"/>
  <c r="B459" i="3" s="1"/>
  <c r="I458" i="3"/>
  <c r="J458" i="3"/>
  <c r="M458" i="3"/>
  <c r="N458" i="3" s="1"/>
  <c r="W458" i="3" l="1"/>
  <c r="L458" i="3"/>
  <c r="Z459" i="3"/>
  <c r="P459" i="3"/>
  <c r="Q459" i="3" s="1"/>
  <c r="R459" i="3" s="1"/>
  <c r="S459" i="3" s="1"/>
  <c r="AA459" i="3"/>
  <c r="AD459" i="3"/>
  <c r="AC459" i="3"/>
  <c r="T459" i="3" l="1"/>
  <c r="AH459" i="3" s="1"/>
  <c r="U458" i="3"/>
  <c r="Y457" i="3"/>
  <c r="AG459" i="3" l="1"/>
  <c r="D459" i="3"/>
  <c r="E459" i="3"/>
  <c r="H459" i="3" s="1"/>
  <c r="K459" i="3" l="1"/>
  <c r="AE459" i="3" s="1"/>
  <c r="F459" i="3"/>
  <c r="G459" i="3"/>
  <c r="I459" i="3" l="1"/>
  <c r="J459" i="3"/>
  <c r="M459" i="3"/>
  <c r="N459" i="3" s="1"/>
  <c r="V459" i="3"/>
  <c r="A460" i="3"/>
  <c r="B460" i="3" s="1"/>
  <c r="W459" i="3" l="1"/>
  <c r="L459" i="3"/>
  <c r="P460" i="3"/>
  <c r="Q460" i="3" s="1"/>
  <c r="R460" i="3" s="1"/>
  <c r="S460" i="3" s="1"/>
  <c r="AD460" i="3"/>
  <c r="Z460" i="3"/>
  <c r="AA460" i="3"/>
  <c r="AC460" i="3"/>
  <c r="U459" i="3" l="1"/>
  <c r="Y458" i="3"/>
  <c r="T460" i="3"/>
  <c r="D460" i="3" l="1"/>
  <c r="G460" i="3" s="1"/>
  <c r="AH460" i="3"/>
  <c r="E460" i="3"/>
  <c r="H460" i="3" s="1"/>
  <c r="AG460" i="3"/>
  <c r="F460" i="3" l="1"/>
  <c r="I460" i="3"/>
  <c r="J460" i="3"/>
  <c r="M460" i="3"/>
  <c r="N460" i="3" s="1"/>
  <c r="K460" i="3"/>
  <c r="AE460" i="3" s="1"/>
  <c r="V460" i="3" l="1"/>
  <c r="W460" i="3" s="1"/>
  <c r="A461" i="3"/>
  <c r="B461" i="3" s="1"/>
  <c r="L460" i="3"/>
  <c r="U460" i="3" l="1"/>
  <c r="Y459" i="3"/>
  <c r="AC461" i="3"/>
  <c r="Z461" i="3"/>
  <c r="P461" i="3"/>
  <c r="Q461" i="3" s="1"/>
  <c r="R461" i="3" s="1"/>
  <c r="S461" i="3" s="1"/>
  <c r="AA461" i="3"/>
  <c r="AD461" i="3"/>
  <c r="T461" i="3" l="1"/>
  <c r="D461" i="3" s="1"/>
  <c r="AG461" i="3" l="1"/>
  <c r="G461" i="3"/>
  <c r="AH461" i="3"/>
  <c r="E461" i="3"/>
  <c r="H461" i="3" s="1"/>
  <c r="F461" i="3" l="1"/>
  <c r="I461" i="3"/>
  <c r="J461" i="3"/>
  <c r="M461" i="3"/>
  <c r="N461" i="3" s="1"/>
  <c r="K461" i="3"/>
  <c r="AE461" i="3" s="1"/>
  <c r="V461" i="3" l="1"/>
  <c r="W461" i="3" s="1"/>
  <c r="A462" i="3"/>
  <c r="B462" i="3" s="1"/>
  <c r="L461" i="3"/>
  <c r="U461" i="3" l="1"/>
  <c r="Y460" i="3"/>
  <c r="Z462" i="3"/>
  <c r="P462" i="3"/>
  <c r="Q462" i="3" s="1"/>
  <c r="R462" i="3" s="1"/>
  <c r="S462" i="3" s="1"/>
  <c r="AD462" i="3"/>
  <c r="AA462" i="3"/>
  <c r="AC462" i="3"/>
  <c r="T462" i="3" l="1"/>
  <c r="E462" i="3" s="1"/>
  <c r="H462" i="3" s="1"/>
  <c r="AG462" i="3" l="1"/>
  <c r="AH462" i="3"/>
  <c r="D462" i="3"/>
  <c r="G462" i="3" s="1"/>
  <c r="K462" i="3"/>
  <c r="AE462" i="3" s="1"/>
  <c r="F462" i="3" l="1"/>
  <c r="V462" i="3"/>
  <c r="A463" i="3"/>
  <c r="B463" i="3" s="1"/>
  <c r="I462" i="3"/>
  <c r="J462" i="3"/>
  <c r="M462" i="3"/>
  <c r="N462" i="3" s="1"/>
  <c r="W462" i="3" l="1"/>
  <c r="L462" i="3"/>
  <c r="P463" i="3"/>
  <c r="Q463" i="3" s="1"/>
  <c r="R463" i="3" s="1"/>
  <c r="S463" i="3" s="1"/>
  <c r="AC463" i="3"/>
  <c r="Z463" i="3"/>
  <c r="AA463" i="3"/>
  <c r="AD463" i="3"/>
  <c r="U462" i="3" l="1"/>
  <c r="Y461" i="3"/>
  <c r="T463" i="3"/>
  <c r="AH463" i="3" s="1"/>
  <c r="AG463" i="3" l="1"/>
  <c r="D463" i="3"/>
  <c r="E463" i="3"/>
  <c r="H463" i="3" s="1"/>
  <c r="F463" i="3" l="1"/>
  <c r="G463" i="3"/>
  <c r="K463" i="3"/>
  <c r="AE463" i="3" s="1"/>
  <c r="V463" i="3" l="1"/>
  <c r="A464" i="3"/>
  <c r="B464" i="3" s="1"/>
  <c r="I463" i="3"/>
  <c r="J463" i="3"/>
  <c r="M463" i="3"/>
  <c r="N463" i="3" s="1"/>
  <c r="W463" i="3" l="1"/>
  <c r="L463" i="3"/>
  <c r="Z464" i="3"/>
  <c r="AC464" i="3"/>
  <c r="P464" i="3"/>
  <c r="Q464" i="3" s="1"/>
  <c r="R464" i="3" s="1"/>
  <c r="S464" i="3" s="1"/>
  <c r="AA464" i="3"/>
  <c r="T464" i="3" l="1"/>
  <c r="AG464" i="3" s="1"/>
  <c r="U463" i="3"/>
  <c r="Y462" i="3"/>
  <c r="AH464" i="3" l="1"/>
  <c r="D464" i="3"/>
  <c r="E464" i="3"/>
  <c r="H464" i="3" s="1"/>
  <c r="K464" i="3" l="1"/>
  <c r="AE464" i="3" s="1"/>
  <c r="F464" i="3"/>
  <c r="G464" i="3"/>
  <c r="I464" i="3" l="1"/>
  <c r="J464" i="3"/>
  <c r="AD464" i="3" s="1"/>
  <c r="M464" i="3"/>
  <c r="N464" i="3" s="1"/>
  <c r="V464" i="3"/>
  <c r="A465" i="3"/>
  <c r="B465" i="3" s="1"/>
  <c r="W464" i="3" l="1"/>
  <c r="L464" i="3"/>
  <c r="Z465" i="3"/>
  <c r="P465" i="3"/>
  <c r="Q465" i="3" s="1"/>
  <c r="R465" i="3" s="1"/>
  <c r="S465" i="3" s="1"/>
  <c r="AC465" i="3"/>
  <c r="AA465" i="3"/>
  <c r="AD465" i="3"/>
  <c r="T465" i="3" l="1"/>
  <c r="AH465" i="3" s="1"/>
  <c r="U464" i="3"/>
  <c r="Y463" i="3"/>
  <c r="D465" i="3" l="1"/>
  <c r="G465" i="3" s="1"/>
  <c r="E465" i="3"/>
  <c r="H465" i="3" s="1"/>
  <c r="AG465" i="3"/>
  <c r="F465" i="3" l="1"/>
  <c r="I465" i="3"/>
  <c r="J465" i="3"/>
  <c r="M465" i="3"/>
  <c r="N465" i="3" s="1"/>
  <c r="K465" i="3"/>
  <c r="AE465" i="3" s="1"/>
  <c r="V465" i="3" l="1"/>
  <c r="W465" i="3" s="1"/>
  <c r="A466" i="3"/>
  <c r="B466" i="3" s="1"/>
  <c r="L465" i="3"/>
  <c r="U465" i="3" l="1"/>
  <c r="Y464" i="3"/>
  <c r="AA466" i="3"/>
  <c r="AD466" i="3"/>
  <c r="AC466" i="3"/>
  <c r="Z466" i="3"/>
  <c r="P466" i="3"/>
  <c r="Q466" i="3" s="1"/>
  <c r="R466" i="3" s="1"/>
  <c r="S466" i="3" s="1"/>
  <c r="T466" i="3" l="1"/>
  <c r="AH466" i="3" s="1"/>
  <c r="AG466" i="3" l="1"/>
  <c r="E466" i="3"/>
  <c r="H466" i="3" s="1"/>
  <c r="K466" i="3" s="1"/>
  <c r="AE466" i="3" s="1"/>
  <c r="D466" i="3"/>
  <c r="G466" i="3" s="1"/>
  <c r="F466" i="3" l="1"/>
  <c r="I466" i="3"/>
  <c r="J466" i="3"/>
  <c r="M466" i="3"/>
  <c r="N466" i="3" s="1"/>
  <c r="V466" i="3"/>
  <c r="A467" i="3"/>
  <c r="B467" i="3" s="1"/>
  <c r="W466" i="3" l="1"/>
  <c r="L466" i="3"/>
  <c r="P467" i="3"/>
  <c r="Q467" i="3" s="1"/>
  <c r="R467" i="3" s="1"/>
  <c r="S467" i="3" s="1"/>
  <c r="AA467" i="3"/>
  <c r="Z467" i="3"/>
  <c r="AC467" i="3"/>
  <c r="AD467" i="3"/>
  <c r="U466" i="3" l="1"/>
  <c r="Y465" i="3"/>
  <c r="T467" i="3"/>
  <c r="E467" i="3" l="1"/>
  <c r="H467" i="3" s="1"/>
  <c r="K467" i="3" s="1"/>
  <c r="AE467" i="3" s="1"/>
  <c r="AG467" i="3"/>
  <c r="D467" i="3"/>
  <c r="AH467" i="3"/>
  <c r="F467" i="3" l="1"/>
  <c r="G467" i="3"/>
  <c r="V467" i="3"/>
  <c r="A468" i="3"/>
  <c r="B468" i="3" s="1"/>
  <c r="AC468" i="3" l="1"/>
  <c r="Z468" i="3"/>
  <c r="P468" i="3"/>
  <c r="Q468" i="3" s="1"/>
  <c r="R468" i="3" s="1"/>
  <c r="S468" i="3" s="1"/>
  <c r="AA468" i="3"/>
  <c r="AD468" i="3"/>
  <c r="I467" i="3"/>
  <c r="W467" i="3" s="1"/>
  <c r="J467" i="3"/>
  <c r="M467" i="3"/>
  <c r="N467" i="3" s="1"/>
  <c r="L467" i="3" l="1"/>
  <c r="T468" i="3"/>
  <c r="U467" i="3" l="1"/>
  <c r="D468" i="3" s="1"/>
  <c r="AH468" i="3"/>
  <c r="AG468" i="3"/>
  <c r="Y466" i="3"/>
  <c r="E468" i="3" l="1"/>
  <c r="H468" i="3" s="1"/>
  <c r="K468" i="3" s="1"/>
  <c r="AE468" i="3" s="1"/>
  <c r="G468" i="3"/>
  <c r="F468" i="3" l="1"/>
  <c r="I468" i="3"/>
  <c r="J468" i="3"/>
  <c r="M468" i="3"/>
  <c r="N468" i="3" s="1"/>
  <c r="V468" i="3"/>
  <c r="A469" i="3"/>
  <c r="B469" i="3" s="1"/>
  <c r="W468" i="3" l="1"/>
  <c r="L468" i="3"/>
  <c r="AD469" i="3"/>
  <c r="AA469" i="3"/>
  <c r="P469" i="3"/>
  <c r="Q469" i="3" s="1"/>
  <c r="R469" i="3" s="1"/>
  <c r="S469" i="3" s="1"/>
  <c r="Z469" i="3"/>
  <c r="AC469" i="3"/>
  <c r="U468" i="3" l="1"/>
  <c r="Y467" i="3"/>
  <c r="T469" i="3"/>
  <c r="AG469" i="3" s="1"/>
  <c r="D469" i="3" l="1"/>
  <c r="G469" i="3" s="1"/>
  <c r="AH469" i="3"/>
  <c r="E469" i="3"/>
  <c r="H469" i="3" s="1"/>
  <c r="K469" i="3" s="1"/>
  <c r="AE469" i="3" s="1"/>
  <c r="F469" i="3" l="1"/>
  <c r="I469" i="3"/>
  <c r="J469" i="3"/>
  <c r="M469" i="3"/>
  <c r="N469" i="3" s="1"/>
  <c r="V469" i="3"/>
  <c r="A470" i="3"/>
  <c r="B470" i="3" s="1"/>
  <c r="W469" i="3" l="1"/>
  <c r="L469" i="3"/>
  <c r="AC470" i="3"/>
  <c r="P470" i="3"/>
  <c r="Q470" i="3" s="1"/>
  <c r="R470" i="3" s="1"/>
  <c r="S470" i="3" s="1"/>
  <c r="AA470" i="3"/>
  <c r="Z470" i="3"/>
  <c r="AD470" i="3"/>
  <c r="U469" i="3" l="1"/>
  <c r="Y468" i="3"/>
  <c r="T470" i="3"/>
  <c r="D470" i="3" l="1"/>
  <c r="G470" i="3" s="1"/>
  <c r="AH470" i="3"/>
  <c r="AG470" i="3"/>
  <c r="E470" i="3"/>
  <c r="H470" i="3" s="1"/>
  <c r="K470" i="3" l="1"/>
  <c r="AE470" i="3" s="1"/>
  <c r="F470" i="3"/>
  <c r="I470" i="3"/>
  <c r="J470" i="3"/>
  <c r="M470" i="3"/>
  <c r="N470" i="3" s="1"/>
  <c r="V470" i="3" l="1"/>
  <c r="W470" i="3" s="1"/>
  <c r="A471" i="3"/>
  <c r="B471" i="3" s="1"/>
  <c r="L470" i="3"/>
  <c r="U470" i="3" l="1"/>
  <c r="Y469" i="3"/>
  <c r="Z471" i="3"/>
  <c r="AA471" i="3"/>
  <c r="AD471" i="3"/>
  <c r="AC471" i="3"/>
  <c r="P471" i="3"/>
  <c r="Q471" i="3" s="1"/>
  <c r="R471" i="3" s="1"/>
  <c r="S471" i="3" s="1"/>
  <c r="T471" i="3" l="1"/>
  <c r="AH471" i="3" s="1"/>
  <c r="AG471" i="3" l="1"/>
  <c r="E471" i="3"/>
  <c r="H471" i="3" s="1"/>
  <c r="D471" i="3"/>
  <c r="F471" i="3" l="1"/>
  <c r="G471" i="3"/>
  <c r="K471" i="3"/>
  <c r="AE471" i="3" s="1"/>
  <c r="V471" i="3" l="1"/>
  <c r="A472" i="3"/>
  <c r="B472" i="3" s="1"/>
  <c r="I471" i="3"/>
  <c r="J471" i="3"/>
  <c r="M471" i="3"/>
  <c r="N471" i="3" s="1"/>
  <c r="W471" i="3" l="1"/>
  <c r="L471" i="3"/>
  <c r="Z472" i="3"/>
  <c r="AA472" i="3"/>
  <c r="P472" i="3"/>
  <c r="Q472" i="3" s="1"/>
  <c r="R472" i="3" s="1"/>
  <c r="S472" i="3" s="1"/>
  <c r="AD472" i="3"/>
  <c r="AC472" i="3"/>
  <c r="U471" i="3" l="1"/>
  <c r="Y470" i="3"/>
  <c r="T472" i="3"/>
  <c r="E472" i="3" l="1"/>
  <c r="H472" i="3" s="1"/>
  <c r="K472" i="3" s="1"/>
  <c r="AE472" i="3" s="1"/>
  <c r="AG472" i="3"/>
  <c r="AH472" i="3"/>
  <c r="D472" i="3"/>
  <c r="V472" i="3" l="1"/>
  <c r="A473" i="3"/>
  <c r="B473" i="3" s="1"/>
  <c r="F472" i="3"/>
  <c r="G472" i="3"/>
  <c r="I472" i="3" l="1"/>
  <c r="W472" i="3" s="1"/>
  <c r="J472" i="3"/>
  <c r="M472" i="3"/>
  <c r="N472" i="3" s="1"/>
  <c r="AC473" i="3"/>
  <c r="P473" i="3"/>
  <c r="Q473" i="3" s="1"/>
  <c r="R473" i="3" s="1"/>
  <c r="S473" i="3" s="1"/>
  <c r="AD473" i="3"/>
  <c r="Z473" i="3"/>
  <c r="AA473" i="3"/>
  <c r="L472" i="3" l="1"/>
  <c r="T473" i="3"/>
  <c r="U472" i="3" l="1"/>
  <c r="D473" i="3" s="1"/>
  <c r="AH473" i="3"/>
  <c r="AG473" i="3"/>
  <c r="Y471" i="3"/>
  <c r="G473" i="3" l="1"/>
  <c r="E473" i="3"/>
  <c r="H473" i="3" s="1"/>
  <c r="F473" i="3" l="1"/>
  <c r="I473" i="3"/>
  <c r="J473" i="3"/>
  <c r="M473" i="3"/>
  <c r="N473" i="3" s="1"/>
  <c r="K473" i="3"/>
  <c r="AE473" i="3" s="1"/>
  <c r="V473" i="3" l="1"/>
  <c r="W473" i="3" s="1"/>
  <c r="A474" i="3"/>
  <c r="B474" i="3" s="1"/>
  <c r="L473" i="3"/>
  <c r="U473" i="3" l="1"/>
  <c r="Y472" i="3"/>
  <c r="P474" i="3"/>
  <c r="Q474" i="3" s="1"/>
  <c r="R474" i="3" s="1"/>
  <c r="S474" i="3" s="1"/>
  <c r="Z474" i="3"/>
  <c r="AA474" i="3"/>
  <c r="AC474" i="3"/>
  <c r="T474" i="3" l="1"/>
  <c r="D474" i="3" s="1"/>
  <c r="AG474" i="3" l="1"/>
  <c r="AH474" i="3"/>
  <c r="G474" i="3"/>
  <c r="E474" i="3"/>
  <c r="H474" i="3" s="1"/>
  <c r="I474" i="3" l="1"/>
  <c r="J474" i="3"/>
  <c r="AD474" i="3" s="1"/>
  <c r="M474" i="3"/>
  <c r="N474" i="3" s="1"/>
  <c r="F474" i="3"/>
  <c r="K474" i="3"/>
  <c r="AE474" i="3" s="1"/>
  <c r="V474" i="3" l="1"/>
  <c r="W474" i="3" s="1"/>
  <c r="A475" i="3"/>
  <c r="B475" i="3" s="1"/>
  <c r="L474" i="3"/>
  <c r="U474" i="3" l="1"/>
  <c r="Y473" i="3"/>
  <c r="AC475" i="3"/>
  <c r="Z475" i="3"/>
  <c r="P475" i="3"/>
  <c r="Q475" i="3" s="1"/>
  <c r="R475" i="3" s="1"/>
  <c r="S475" i="3" s="1"/>
  <c r="AD475" i="3"/>
  <c r="AA475" i="3"/>
  <c r="T475" i="3" l="1"/>
  <c r="AG475" i="3" s="1"/>
  <c r="AH475" i="3" l="1"/>
  <c r="E475" i="3"/>
  <c r="H475" i="3" s="1"/>
  <c r="K475" i="3" s="1"/>
  <c r="AE475" i="3" s="1"/>
  <c r="D475" i="3"/>
  <c r="F475" i="3" l="1"/>
  <c r="G475" i="3"/>
  <c r="M475" i="3" s="1"/>
  <c r="N475" i="3" s="1"/>
  <c r="V475" i="3"/>
  <c r="A476" i="3"/>
  <c r="B476" i="3" s="1"/>
  <c r="I475" i="3" l="1"/>
  <c r="W475" i="3" s="1"/>
  <c r="J475" i="3"/>
  <c r="L475" i="3" s="1"/>
  <c r="P476" i="3"/>
  <c r="Q476" i="3" s="1"/>
  <c r="R476" i="3" s="1"/>
  <c r="S476" i="3" s="1"/>
  <c r="AA476" i="3"/>
  <c r="AD476" i="3"/>
  <c r="Z476" i="3"/>
  <c r="AC476" i="3"/>
  <c r="U475" i="3" l="1"/>
  <c r="Y474" i="3"/>
  <c r="T476" i="3"/>
  <c r="AG476" i="3" s="1"/>
  <c r="D476" i="3" l="1"/>
  <c r="G476" i="3" s="1"/>
  <c r="E476" i="3"/>
  <c r="H476" i="3" s="1"/>
  <c r="K476" i="3" s="1"/>
  <c r="AE476" i="3" s="1"/>
  <c r="AH476" i="3"/>
  <c r="F476" i="3" l="1"/>
  <c r="V476" i="3"/>
  <c r="A477" i="3"/>
  <c r="B477" i="3" s="1"/>
  <c r="I476" i="3"/>
  <c r="J476" i="3"/>
  <c r="M476" i="3"/>
  <c r="N476" i="3" s="1"/>
  <c r="W476" i="3" l="1"/>
  <c r="L476" i="3"/>
  <c r="AA477" i="3"/>
  <c r="P477" i="3"/>
  <c r="Q477" i="3" s="1"/>
  <c r="R477" i="3" s="1"/>
  <c r="S477" i="3" s="1"/>
  <c r="AD477" i="3"/>
  <c r="AC477" i="3"/>
  <c r="Z477" i="3"/>
  <c r="U476" i="3" l="1"/>
  <c r="Y475" i="3"/>
  <c r="T477" i="3"/>
  <c r="D477" i="3" l="1"/>
  <c r="G477" i="3" s="1"/>
  <c r="AG477" i="3"/>
  <c r="E477" i="3"/>
  <c r="H477" i="3" s="1"/>
  <c r="K477" i="3" s="1"/>
  <c r="AE477" i="3" s="1"/>
  <c r="AH477" i="3"/>
  <c r="F477" i="3" l="1"/>
  <c r="V477" i="3"/>
  <c r="A478" i="3"/>
  <c r="B478" i="3" s="1"/>
  <c r="I477" i="3"/>
  <c r="J477" i="3"/>
  <c r="M477" i="3"/>
  <c r="N477" i="3" s="1"/>
  <c r="W477" i="3" l="1"/>
  <c r="L477" i="3"/>
  <c r="AA478" i="3"/>
  <c r="AD478" i="3"/>
  <c r="P478" i="3"/>
  <c r="Q478" i="3" s="1"/>
  <c r="R478" i="3" s="1"/>
  <c r="S478" i="3" s="1"/>
  <c r="AC478" i="3"/>
  <c r="Z478" i="3"/>
  <c r="T478" i="3" l="1"/>
  <c r="U477" i="3"/>
  <c r="Y476" i="3"/>
  <c r="E478" i="3" l="1"/>
  <c r="H478" i="3" s="1"/>
  <c r="K478" i="3" s="1"/>
  <c r="AE478" i="3" s="1"/>
  <c r="AG478" i="3"/>
  <c r="AH478" i="3"/>
  <c r="D478" i="3"/>
  <c r="F478" i="3" l="1"/>
  <c r="G478" i="3"/>
  <c r="V478" i="3"/>
  <c r="A479" i="3"/>
  <c r="B479" i="3" s="1"/>
  <c r="I478" i="3" l="1"/>
  <c r="W478" i="3" s="1"/>
  <c r="J478" i="3"/>
  <c r="M478" i="3"/>
  <c r="N478" i="3" s="1"/>
  <c r="P479" i="3"/>
  <c r="Q479" i="3" s="1"/>
  <c r="R479" i="3" s="1"/>
  <c r="S479" i="3" s="1"/>
  <c r="AD479" i="3"/>
  <c r="AC479" i="3"/>
  <c r="AA479" i="3"/>
  <c r="Z479" i="3"/>
  <c r="T479" i="3" l="1"/>
  <c r="L478" i="3"/>
  <c r="U478" i="3" l="1"/>
  <c r="E479" i="3" s="1"/>
  <c r="H479" i="3" s="1"/>
  <c r="AH479" i="3"/>
  <c r="AG479" i="3"/>
  <c r="Y477" i="3"/>
  <c r="D479" i="3" l="1"/>
  <c r="G479" i="3" s="1"/>
  <c r="K479" i="3"/>
  <c r="AE479" i="3" s="1"/>
  <c r="F479" i="3" l="1"/>
  <c r="I479" i="3"/>
  <c r="J479" i="3"/>
  <c r="M479" i="3"/>
  <c r="N479" i="3" s="1"/>
  <c r="V479" i="3"/>
  <c r="A480" i="3"/>
  <c r="B480" i="3" s="1"/>
  <c r="W479" i="3" l="1"/>
  <c r="AA480" i="3"/>
  <c r="P480" i="3"/>
  <c r="Q480" i="3" s="1"/>
  <c r="R480" i="3" s="1"/>
  <c r="S480" i="3" s="1"/>
  <c r="AD480" i="3"/>
  <c r="AC480" i="3"/>
  <c r="Z480" i="3"/>
  <c r="L479" i="3"/>
  <c r="U479" i="3" l="1"/>
  <c r="Y478" i="3"/>
  <c r="T480" i="3"/>
  <c r="E480" i="3" l="1"/>
  <c r="H480" i="3" s="1"/>
  <c r="K480" i="3" s="1"/>
  <c r="AE480" i="3" s="1"/>
  <c r="AH480" i="3"/>
  <c r="AG480" i="3"/>
  <c r="D480" i="3"/>
  <c r="V480" i="3" l="1"/>
  <c r="A481" i="3"/>
  <c r="B481" i="3" s="1"/>
  <c r="F480" i="3"/>
  <c r="G480" i="3"/>
  <c r="I480" i="3" l="1"/>
  <c r="W480" i="3" s="1"/>
  <c r="J480" i="3"/>
  <c r="M480" i="3"/>
  <c r="N480" i="3" s="1"/>
  <c r="P481" i="3"/>
  <c r="Q481" i="3" s="1"/>
  <c r="R481" i="3" s="1"/>
  <c r="S481" i="3" s="1"/>
  <c r="AC481" i="3"/>
  <c r="AA481" i="3"/>
  <c r="AD481" i="3"/>
  <c r="Z481" i="3"/>
  <c r="T481" i="3" l="1"/>
  <c r="L480" i="3"/>
  <c r="U480" i="3" l="1"/>
  <c r="D481" i="3" s="1"/>
  <c r="AG481" i="3"/>
  <c r="AH481" i="3"/>
  <c r="Y479" i="3"/>
  <c r="G481" i="3" l="1"/>
  <c r="E481" i="3"/>
  <c r="H481" i="3" s="1"/>
  <c r="K481" i="3" l="1"/>
  <c r="AE481" i="3" s="1"/>
  <c r="I481" i="3"/>
  <c r="J481" i="3"/>
  <c r="M481" i="3"/>
  <c r="N481" i="3" s="1"/>
  <c r="F481" i="3"/>
  <c r="V481" i="3" l="1"/>
  <c r="W481" i="3" s="1"/>
  <c r="A482" i="3"/>
  <c r="B482" i="3" s="1"/>
  <c r="L481" i="3"/>
  <c r="U481" i="3" l="1"/>
  <c r="Y480" i="3"/>
  <c r="AC482" i="3"/>
  <c r="AA482" i="3"/>
  <c r="P482" i="3"/>
  <c r="Q482" i="3" s="1"/>
  <c r="R482" i="3" s="1"/>
  <c r="S482" i="3" s="1"/>
  <c r="AD482" i="3"/>
  <c r="Z482" i="3"/>
  <c r="T482" i="3" l="1"/>
  <c r="D482" i="3" s="1"/>
  <c r="AG482" i="3" l="1"/>
  <c r="G482" i="3"/>
  <c r="AH482" i="3"/>
  <c r="E482" i="3"/>
  <c r="H482" i="3" s="1"/>
  <c r="F482" i="3" l="1"/>
  <c r="I482" i="3"/>
  <c r="J482" i="3"/>
  <c r="M482" i="3"/>
  <c r="N482" i="3" s="1"/>
  <c r="K482" i="3"/>
  <c r="AE482" i="3" s="1"/>
  <c r="V482" i="3" l="1"/>
  <c r="W482" i="3" s="1"/>
  <c r="A483" i="3"/>
  <c r="B483" i="3" s="1"/>
  <c r="L482" i="3"/>
  <c r="U482" i="3" l="1"/>
  <c r="Y481" i="3"/>
  <c r="P483" i="3"/>
  <c r="Q483" i="3" s="1"/>
  <c r="R483" i="3" s="1"/>
  <c r="S483" i="3" s="1"/>
  <c r="Z483" i="3"/>
  <c r="AC483" i="3"/>
  <c r="AD483" i="3"/>
  <c r="AA483" i="3"/>
  <c r="T483" i="3" l="1"/>
  <c r="E483" i="3" s="1"/>
  <c r="H483" i="3" s="1"/>
  <c r="AG483" i="3" l="1"/>
  <c r="AH483" i="3"/>
  <c r="D483" i="3"/>
  <c r="G483" i="3" s="1"/>
  <c r="K483" i="3"/>
  <c r="AE483" i="3" s="1"/>
  <c r="F483" i="3" l="1"/>
  <c r="I483" i="3"/>
  <c r="J483" i="3"/>
  <c r="M483" i="3"/>
  <c r="N483" i="3" s="1"/>
  <c r="V483" i="3"/>
  <c r="A484" i="3"/>
  <c r="B484" i="3" s="1"/>
  <c r="W483" i="3" l="1"/>
  <c r="L483" i="3"/>
  <c r="AC484" i="3"/>
  <c r="Z484" i="3"/>
  <c r="AA484" i="3"/>
  <c r="P484" i="3"/>
  <c r="Q484" i="3" s="1"/>
  <c r="R484" i="3" s="1"/>
  <c r="S484" i="3" s="1"/>
  <c r="T484" i="3" l="1"/>
  <c r="U483" i="3"/>
  <c r="Y482" i="3"/>
  <c r="E484" i="3" l="1"/>
  <c r="H484" i="3" s="1"/>
  <c r="K484" i="3" s="1"/>
  <c r="AE484" i="3" s="1"/>
  <c r="D484" i="3"/>
  <c r="G484" i="3" s="1"/>
  <c r="AG484" i="3"/>
  <c r="AH484" i="3"/>
  <c r="F484" i="3" l="1"/>
  <c r="V484" i="3"/>
  <c r="A485" i="3"/>
  <c r="B485" i="3" s="1"/>
  <c r="I484" i="3"/>
  <c r="J484" i="3"/>
  <c r="AD484" i="3" s="1"/>
  <c r="M484" i="3"/>
  <c r="N484" i="3" s="1"/>
  <c r="W484" i="3" l="1"/>
  <c r="L484" i="3"/>
  <c r="P485" i="3"/>
  <c r="Q485" i="3" s="1"/>
  <c r="R485" i="3" s="1"/>
  <c r="S485" i="3" s="1"/>
  <c r="AD485" i="3"/>
  <c r="AA485" i="3"/>
  <c r="AC485" i="3"/>
  <c r="Z485" i="3"/>
  <c r="U484" i="3" l="1"/>
  <c r="Y483" i="3"/>
  <c r="T485" i="3"/>
  <c r="D485" i="3" l="1"/>
  <c r="G485" i="3" s="1"/>
  <c r="AG485" i="3"/>
  <c r="AH485" i="3"/>
  <c r="E485" i="3"/>
  <c r="H485" i="3" s="1"/>
  <c r="K485" i="3" s="1"/>
  <c r="AE485" i="3" s="1"/>
  <c r="F485" i="3" l="1"/>
  <c r="I485" i="3"/>
  <c r="J485" i="3"/>
  <c r="M485" i="3"/>
  <c r="N485" i="3" s="1"/>
  <c r="V485" i="3"/>
  <c r="A486" i="3"/>
  <c r="B486" i="3" s="1"/>
  <c r="W485" i="3" l="1"/>
  <c r="L485" i="3"/>
  <c r="AA486" i="3"/>
  <c r="P486" i="3"/>
  <c r="Q486" i="3" s="1"/>
  <c r="R486" i="3" s="1"/>
  <c r="S486" i="3" s="1"/>
  <c r="AC486" i="3"/>
  <c r="AD486" i="3"/>
  <c r="Z486" i="3"/>
  <c r="T486" i="3" l="1"/>
  <c r="AH486" i="3" s="1"/>
  <c r="U485" i="3"/>
  <c r="Y484" i="3"/>
  <c r="D486" i="3" l="1"/>
  <c r="G486" i="3" s="1"/>
  <c r="AG486" i="3"/>
  <c r="E486" i="3"/>
  <c r="H486" i="3" s="1"/>
  <c r="K486" i="3" s="1"/>
  <c r="AE486" i="3" s="1"/>
  <c r="F486" i="3" l="1"/>
  <c r="V486" i="3"/>
  <c r="A487" i="3"/>
  <c r="B487" i="3" s="1"/>
  <c r="I486" i="3"/>
  <c r="J486" i="3"/>
  <c r="M486" i="3"/>
  <c r="N486" i="3" s="1"/>
  <c r="W486" i="3" l="1"/>
  <c r="L486" i="3"/>
  <c r="AA487" i="3"/>
  <c r="AD487" i="3"/>
  <c r="P487" i="3"/>
  <c r="Q487" i="3" s="1"/>
  <c r="R487" i="3" s="1"/>
  <c r="S487" i="3" s="1"/>
  <c r="AC487" i="3"/>
  <c r="Z487" i="3"/>
  <c r="T487" i="3" l="1"/>
  <c r="U486" i="3"/>
  <c r="Y485" i="3"/>
  <c r="E487" i="3" l="1"/>
  <c r="H487" i="3" s="1"/>
  <c r="K487" i="3" s="1"/>
  <c r="AE487" i="3" s="1"/>
  <c r="D487" i="3"/>
  <c r="AH487" i="3"/>
  <c r="AG487" i="3"/>
  <c r="V487" i="3" l="1"/>
  <c r="A488" i="3"/>
  <c r="B488" i="3" s="1"/>
  <c r="F487" i="3"/>
  <c r="G487" i="3"/>
  <c r="I487" i="3" l="1"/>
  <c r="W487" i="3" s="1"/>
  <c r="J487" i="3"/>
  <c r="M487" i="3"/>
  <c r="N487" i="3" s="1"/>
  <c r="AA488" i="3"/>
  <c r="AD488" i="3"/>
  <c r="Z488" i="3"/>
  <c r="P488" i="3"/>
  <c r="Q488" i="3" s="1"/>
  <c r="R488" i="3" s="1"/>
  <c r="S488" i="3" s="1"/>
  <c r="AC488" i="3"/>
  <c r="L487" i="3" l="1"/>
  <c r="T488" i="3"/>
  <c r="U487" i="3" l="1"/>
  <c r="D488" i="3" s="1"/>
  <c r="AG488" i="3"/>
  <c r="AH488" i="3"/>
  <c r="Y486" i="3"/>
  <c r="E488" i="3" l="1"/>
  <c r="H488" i="3" s="1"/>
  <c r="K488" i="3" s="1"/>
  <c r="AE488" i="3" s="1"/>
  <c r="G488" i="3"/>
  <c r="F488" i="3" l="1"/>
  <c r="I488" i="3"/>
  <c r="J488" i="3"/>
  <c r="M488" i="3"/>
  <c r="N488" i="3" s="1"/>
  <c r="V488" i="3"/>
  <c r="A489" i="3"/>
  <c r="B489" i="3" s="1"/>
  <c r="W488" i="3" l="1"/>
  <c r="L488" i="3"/>
  <c r="P489" i="3"/>
  <c r="Q489" i="3" s="1"/>
  <c r="R489" i="3" s="1"/>
  <c r="S489" i="3" s="1"/>
  <c r="AC489" i="3"/>
  <c r="AA489" i="3"/>
  <c r="AD489" i="3"/>
  <c r="Z489" i="3"/>
  <c r="U488" i="3" l="1"/>
  <c r="Y487" i="3"/>
  <c r="T489" i="3"/>
  <c r="AH489" i="3" s="1"/>
  <c r="AG489" i="3" l="1"/>
  <c r="D489" i="3"/>
  <c r="E489" i="3"/>
  <c r="H489" i="3" s="1"/>
  <c r="K489" i="3" s="1"/>
  <c r="AE489" i="3" s="1"/>
  <c r="F489" i="3" l="1"/>
  <c r="G489" i="3"/>
  <c r="M489" i="3" s="1"/>
  <c r="N489" i="3" s="1"/>
  <c r="V489" i="3"/>
  <c r="A490" i="3"/>
  <c r="B490" i="3" s="1"/>
  <c r="I489" i="3" l="1"/>
  <c r="W489" i="3" s="1"/>
  <c r="J489" i="3"/>
  <c r="L489" i="3" s="1"/>
  <c r="Z490" i="3"/>
  <c r="AC490" i="3"/>
  <c r="P490" i="3"/>
  <c r="Q490" i="3" s="1"/>
  <c r="R490" i="3" s="1"/>
  <c r="S490" i="3" s="1"/>
  <c r="AD490" i="3"/>
  <c r="AA490" i="3"/>
  <c r="T490" i="3" l="1"/>
  <c r="AH490" i="3" s="1"/>
  <c r="U489" i="3"/>
  <c r="Y488" i="3"/>
  <c r="E490" i="3" l="1"/>
  <c r="H490" i="3" s="1"/>
  <c r="K490" i="3" s="1"/>
  <c r="AE490" i="3" s="1"/>
  <c r="D490" i="3"/>
  <c r="AG490" i="3"/>
  <c r="V490" i="3" l="1"/>
  <c r="A491" i="3"/>
  <c r="B491" i="3" s="1"/>
  <c r="F490" i="3"/>
  <c r="G490" i="3"/>
  <c r="I490" i="3" l="1"/>
  <c r="W490" i="3" s="1"/>
  <c r="J490" i="3"/>
  <c r="M490" i="3"/>
  <c r="N490" i="3" s="1"/>
  <c r="P491" i="3"/>
  <c r="Q491" i="3" s="1"/>
  <c r="R491" i="3" s="1"/>
  <c r="S491" i="3" s="1"/>
  <c r="Z491" i="3"/>
  <c r="AD491" i="3"/>
  <c r="AC491" i="3"/>
  <c r="AA491" i="3"/>
  <c r="T491" i="3" l="1"/>
  <c r="L490" i="3"/>
  <c r="AH491" i="3" l="1"/>
  <c r="U490" i="3"/>
  <c r="D491" i="3" s="1"/>
  <c r="AG491" i="3"/>
  <c r="Y489" i="3"/>
  <c r="E491" i="3" l="1"/>
  <c r="H491" i="3" s="1"/>
  <c r="K491" i="3" s="1"/>
  <c r="AE491" i="3" s="1"/>
  <c r="G491" i="3"/>
  <c r="F491" i="3" l="1"/>
  <c r="I491" i="3"/>
  <c r="J491" i="3"/>
  <c r="M491" i="3"/>
  <c r="N491" i="3" s="1"/>
  <c r="V491" i="3"/>
  <c r="A492" i="3"/>
  <c r="B492" i="3" s="1"/>
  <c r="W491" i="3" l="1"/>
  <c r="L491" i="3"/>
  <c r="AC492" i="3"/>
  <c r="AA492" i="3"/>
  <c r="P492" i="3"/>
  <c r="Q492" i="3" s="1"/>
  <c r="R492" i="3" s="1"/>
  <c r="S492" i="3" s="1"/>
  <c r="Z492" i="3"/>
  <c r="AD492" i="3"/>
  <c r="T492" i="3" l="1"/>
  <c r="U491" i="3"/>
  <c r="Y490" i="3"/>
  <c r="D492" i="3" l="1"/>
  <c r="G492" i="3" s="1"/>
  <c r="AH492" i="3"/>
  <c r="AG492" i="3"/>
  <c r="E492" i="3"/>
  <c r="H492" i="3" s="1"/>
  <c r="F492" i="3" l="1"/>
  <c r="I492" i="3"/>
  <c r="J492" i="3"/>
  <c r="M492" i="3"/>
  <c r="N492" i="3" s="1"/>
  <c r="K492" i="3"/>
  <c r="AE492" i="3" s="1"/>
  <c r="L492" i="3" l="1"/>
  <c r="V492" i="3"/>
  <c r="W492" i="3" s="1"/>
  <c r="A493" i="3"/>
  <c r="B493" i="3" s="1"/>
  <c r="U492" i="3" l="1"/>
  <c r="Y491" i="3"/>
  <c r="P493" i="3"/>
  <c r="Q493" i="3" s="1"/>
  <c r="R493" i="3" s="1"/>
  <c r="S493" i="3" s="1"/>
  <c r="AC493" i="3"/>
  <c r="AA493" i="3"/>
  <c r="Z493" i="3"/>
  <c r="AD493" i="3"/>
  <c r="T493" i="3" l="1"/>
  <c r="AH493" i="3" s="1"/>
  <c r="AG493" i="3" l="1"/>
  <c r="E493" i="3"/>
  <c r="H493" i="3" s="1"/>
  <c r="K493" i="3" s="1"/>
  <c r="AE493" i="3" s="1"/>
  <c r="D493" i="3"/>
  <c r="F493" i="3" l="1"/>
  <c r="G493" i="3"/>
  <c r="J493" i="3" s="1"/>
  <c r="V493" i="3"/>
  <c r="A494" i="3"/>
  <c r="B494" i="3" s="1"/>
  <c r="M493" i="3" l="1"/>
  <c r="N493" i="3" s="1"/>
  <c r="I493" i="3"/>
  <c r="W493" i="3" s="1"/>
  <c r="L493" i="3"/>
  <c r="P494" i="3"/>
  <c r="Q494" i="3" s="1"/>
  <c r="R494" i="3" s="1"/>
  <c r="S494" i="3" s="1"/>
  <c r="AC494" i="3"/>
  <c r="Z494" i="3"/>
  <c r="AA494" i="3"/>
  <c r="T494" i="3" l="1"/>
  <c r="AH494" i="3" s="1"/>
  <c r="U493" i="3"/>
  <c r="Y492" i="3"/>
  <c r="E494" i="3" l="1"/>
  <c r="H494" i="3" s="1"/>
  <c r="K494" i="3" s="1"/>
  <c r="AE494" i="3" s="1"/>
  <c r="D494" i="3"/>
  <c r="AG494" i="3"/>
  <c r="F494" i="3" l="1"/>
  <c r="G494" i="3"/>
  <c r="V494" i="3"/>
  <c r="A495" i="3"/>
  <c r="B495" i="3" s="1"/>
  <c r="Z495" i="3" l="1"/>
  <c r="P495" i="3"/>
  <c r="Q495" i="3" s="1"/>
  <c r="R495" i="3" s="1"/>
  <c r="S495" i="3" s="1"/>
  <c r="AA495" i="3"/>
  <c r="AD495" i="3"/>
  <c r="AC495" i="3"/>
  <c r="I494" i="3"/>
  <c r="W494" i="3" s="1"/>
  <c r="J494" i="3"/>
  <c r="AD494" i="3" s="1"/>
  <c r="M494" i="3"/>
  <c r="N494" i="3" s="1"/>
  <c r="L494" i="3" l="1"/>
  <c r="T495" i="3"/>
  <c r="AG495" i="3" l="1"/>
  <c r="U494" i="3"/>
  <c r="D495" i="3" s="1"/>
  <c r="AH495" i="3"/>
  <c r="Y493" i="3"/>
  <c r="E495" i="3" l="1"/>
  <c r="H495" i="3" s="1"/>
  <c r="K495" i="3" s="1"/>
  <c r="AE495" i="3" s="1"/>
  <c r="G495" i="3"/>
  <c r="F495" i="3" l="1"/>
  <c r="V495" i="3"/>
  <c r="A496" i="3"/>
  <c r="B496" i="3" s="1"/>
  <c r="I495" i="3"/>
  <c r="J495" i="3"/>
  <c r="M495" i="3"/>
  <c r="N495" i="3" s="1"/>
  <c r="W495" i="3" l="1"/>
  <c r="L495" i="3"/>
  <c r="AD496" i="3"/>
  <c r="AA496" i="3"/>
  <c r="P496" i="3"/>
  <c r="Q496" i="3" s="1"/>
  <c r="R496" i="3" s="1"/>
  <c r="S496" i="3" s="1"/>
  <c r="Z496" i="3"/>
  <c r="AC496" i="3"/>
  <c r="U495" i="3" l="1"/>
  <c r="Y494" i="3"/>
  <c r="T496" i="3"/>
  <c r="AH496" i="3" s="1"/>
  <c r="D496" i="3" l="1"/>
  <c r="G496" i="3" s="1"/>
  <c r="AG496" i="3"/>
  <c r="E496" i="3"/>
  <c r="H496" i="3" s="1"/>
  <c r="K496" i="3" s="1"/>
  <c r="AE496" i="3" s="1"/>
  <c r="F496" i="3" l="1"/>
  <c r="V496" i="3"/>
  <c r="A497" i="3"/>
  <c r="B497" i="3" s="1"/>
  <c r="I496" i="3"/>
  <c r="J496" i="3"/>
  <c r="M496" i="3"/>
  <c r="N496" i="3" s="1"/>
  <c r="W496" i="3" l="1"/>
  <c r="L496" i="3"/>
  <c r="P497" i="3"/>
  <c r="Q497" i="3" s="1"/>
  <c r="R497" i="3" s="1"/>
  <c r="S497" i="3" s="1"/>
  <c r="AC497" i="3"/>
  <c r="AA497" i="3"/>
  <c r="AD497" i="3"/>
  <c r="Z497" i="3"/>
  <c r="U496" i="3" l="1"/>
  <c r="Y495" i="3"/>
  <c r="T497" i="3"/>
  <c r="AG497" i="3" s="1"/>
  <c r="E497" i="3" l="1"/>
  <c r="H497" i="3" s="1"/>
  <c r="D497" i="3"/>
  <c r="AH497" i="3"/>
  <c r="F497" i="3" l="1"/>
  <c r="G497" i="3"/>
  <c r="K497" i="3"/>
  <c r="AE497" i="3" s="1"/>
  <c r="I497" i="3" l="1"/>
  <c r="J497" i="3"/>
  <c r="M497" i="3"/>
  <c r="N497" i="3" s="1"/>
  <c r="V497" i="3"/>
  <c r="A498" i="3"/>
  <c r="B498" i="3" s="1"/>
  <c r="W497" i="3" l="1"/>
  <c r="L497" i="3"/>
  <c r="Z498" i="3"/>
  <c r="AC498" i="3"/>
  <c r="AD498" i="3"/>
  <c r="AA498" i="3"/>
  <c r="P498" i="3"/>
  <c r="Q498" i="3" s="1"/>
  <c r="R498" i="3" s="1"/>
  <c r="S498" i="3" s="1"/>
  <c r="U497" i="3" l="1"/>
  <c r="Y496" i="3"/>
  <c r="T498" i="3"/>
  <c r="AH498" i="3" s="1"/>
  <c r="AG498" i="3" l="1"/>
  <c r="D498" i="3"/>
  <c r="E498" i="3"/>
  <c r="H498" i="3" s="1"/>
  <c r="F498" i="3" l="1"/>
  <c r="G498" i="3"/>
  <c r="K498" i="3"/>
  <c r="AE498" i="3" s="1"/>
  <c r="I498" i="3" l="1"/>
  <c r="J498" i="3"/>
  <c r="M498" i="3"/>
  <c r="N498" i="3" s="1"/>
  <c r="V498" i="3"/>
  <c r="A499" i="3"/>
  <c r="B499" i="3" s="1"/>
  <c r="W498" i="3" l="1"/>
  <c r="L498" i="3"/>
  <c r="AC499" i="3"/>
  <c r="P499" i="3"/>
  <c r="Q499" i="3" s="1"/>
  <c r="R499" i="3" s="1"/>
  <c r="S499" i="3" s="1"/>
  <c r="AD499" i="3"/>
  <c r="AA499" i="3"/>
  <c r="Z499" i="3"/>
  <c r="T499" i="3" l="1"/>
  <c r="U498" i="3"/>
  <c r="Y497" i="3"/>
  <c r="D499" i="3" l="1"/>
  <c r="G499" i="3" s="1"/>
  <c r="AH499" i="3"/>
  <c r="E499" i="3"/>
  <c r="H499" i="3" s="1"/>
  <c r="AG499" i="3"/>
  <c r="F499" i="3" l="1"/>
  <c r="I499" i="3"/>
  <c r="J499" i="3"/>
  <c r="M499" i="3"/>
  <c r="N499" i="3" s="1"/>
  <c r="K499" i="3"/>
  <c r="AE499" i="3" s="1"/>
  <c r="V499" i="3" l="1"/>
  <c r="W499" i="3" s="1"/>
  <c r="A500" i="3"/>
  <c r="B500" i="3" s="1"/>
  <c r="L499" i="3"/>
  <c r="U499" i="3" l="1"/>
  <c r="Y498" i="3"/>
  <c r="AD500" i="3"/>
  <c r="AA500" i="3"/>
  <c r="AC500" i="3"/>
  <c r="P500" i="3"/>
  <c r="Q500" i="3" s="1"/>
  <c r="R500" i="3" s="1"/>
  <c r="S500" i="3" s="1"/>
  <c r="Z500" i="3"/>
  <c r="T500" i="3" l="1"/>
  <c r="AH500" i="3" s="1"/>
  <c r="D500" i="3" l="1"/>
  <c r="AG500" i="3"/>
  <c r="E500" i="3"/>
  <c r="H500" i="3" s="1"/>
  <c r="F500" i="3" l="1"/>
  <c r="G500" i="3"/>
  <c r="K500" i="3"/>
  <c r="AE500" i="3" s="1"/>
  <c r="I500" i="3" l="1"/>
  <c r="J500" i="3"/>
  <c r="M500" i="3"/>
  <c r="N500" i="3" s="1"/>
  <c r="V500" i="3"/>
  <c r="A501" i="3"/>
  <c r="B501" i="3" s="1"/>
  <c r="W500" i="3" l="1"/>
  <c r="L500" i="3"/>
  <c r="P501" i="3"/>
  <c r="Q501" i="3" s="1"/>
  <c r="R501" i="3" s="1"/>
  <c r="S501" i="3" s="1"/>
  <c r="AC501" i="3"/>
  <c r="AD501" i="3"/>
  <c r="Z501" i="3"/>
  <c r="AA501" i="3"/>
  <c r="U500" i="3" l="1"/>
  <c r="Y499" i="3"/>
  <c r="T501" i="3"/>
  <c r="D501" i="3" l="1"/>
  <c r="G501" i="3" s="1"/>
  <c r="E501" i="3"/>
  <c r="H501" i="3" s="1"/>
  <c r="K501" i="3" s="1"/>
  <c r="AE501" i="3" s="1"/>
  <c r="AG501" i="3"/>
  <c r="AH501" i="3"/>
  <c r="F501" i="3" l="1"/>
  <c r="I501" i="3"/>
  <c r="J501" i="3"/>
  <c r="M501" i="3"/>
  <c r="N501" i="3" s="1"/>
  <c r="V501" i="3"/>
  <c r="A502" i="3"/>
  <c r="B502" i="3" s="1"/>
  <c r="L501" i="3" l="1"/>
  <c r="W501" i="3"/>
  <c r="Z502" i="3"/>
  <c r="AA502" i="3"/>
  <c r="AC502" i="3"/>
  <c r="AD502" i="3"/>
  <c r="P502" i="3"/>
  <c r="Q502" i="3" s="1"/>
  <c r="R502" i="3" s="1"/>
  <c r="S502" i="3" s="1"/>
  <c r="U501" i="3" l="1"/>
  <c r="Y500" i="3"/>
  <c r="T502" i="3"/>
  <c r="E502" i="3" l="1"/>
  <c r="H502" i="3" s="1"/>
  <c r="K502" i="3" s="1"/>
  <c r="AE502" i="3" s="1"/>
  <c r="AG502" i="3"/>
  <c r="D502" i="3"/>
  <c r="AH502" i="3"/>
  <c r="F502" i="3" l="1"/>
  <c r="G502" i="3"/>
  <c r="V502" i="3"/>
  <c r="A503" i="3"/>
  <c r="B503" i="3" s="1"/>
  <c r="I502" i="3" l="1"/>
  <c r="W502" i="3" s="1"/>
  <c r="J502" i="3"/>
  <c r="M502" i="3"/>
  <c r="N502" i="3" s="1"/>
  <c r="AA503" i="3"/>
  <c r="P503" i="3"/>
  <c r="Q503" i="3" s="1"/>
  <c r="R503" i="3" s="1"/>
  <c r="S503" i="3" s="1"/>
  <c r="AD503" i="3"/>
  <c r="AC503" i="3"/>
  <c r="Z503" i="3"/>
  <c r="T503" i="3" l="1"/>
  <c r="L502" i="3"/>
  <c r="AG503" i="3" l="1"/>
  <c r="AH503" i="3"/>
  <c r="U502" i="3"/>
  <c r="E503" i="3" s="1"/>
  <c r="H503" i="3" s="1"/>
  <c r="Y501" i="3"/>
  <c r="D503" i="3" l="1"/>
  <c r="G503" i="3" s="1"/>
  <c r="K503" i="3"/>
  <c r="AE503" i="3" s="1"/>
  <c r="F503" i="3" l="1"/>
  <c r="V503" i="3"/>
  <c r="A504" i="3"/>
  <c r="B504" i="3" s="1"/>
  <c r="I503" i="3"/>
  <c r="J503" i="3"/>
  <c r="M503" i="3"/>
  <c r="N503" i="3" s="1"/>
  <c r="W503" i="3" l="1"/>
  <c r="L503" i="3"/>
  <c r="P504" i="3"/>
  <c r="Q504" i="3" s="1"/>
  <c r="R504" i="3" s="1"/>
  <c r="S504" i="3" s="1"/>
  <c r="Z504" i="3"/>
  <c r="AA504" i="3"/>
  <c r="AC504" i="3"/>
  <c r="U503" i="3" l="1"/>
  <c r="Y502" i="3"/>
  <c r="T504" i="3"/>
  <c r="AG504" i="3" s="1"/>
  <c r="E504" i="3" l="1"/>
  <c r="H504" i="3" s="1"/>
  <c r="K504" i="3" s="1"/>
  <c r="AE504" i="3" s="1"/>
  <c r="D504" i="3"/>
  <c r="AH504" i="3"/>
  <c r="F504" i="3" l="1"/>
  <c r="G504" i="3"/>
  <c r="I504" i="3" s="1"/>
  <c r="V504" i="3"/>
  <c r="A505" i="3"/>
  <c r="B505" i="3" s="1"/>
  <c r="J504" i="3" l="1"/>
  <c r="W504" i="3"/>
  <c r="M504" i="3"/>
  <c r="N504" i="3" s="1"/>
  <c r="P505" i="3"/>
  <c r="Q505" i="3" s="1"/>
  <c r="R505" i="3" s="1"/>
  <c r="S505" i="3" s="1"/>
  <c r="AC505" i="3"/>
  <c r="Z505" i="3"/>
  <c r="AD505" i="3"/>
  <c r="AA505" i="3"/>
  <c r="L504" i="3" l="1"/>
  <c r="Y503" i="3" s="1"/>
  <c r="AD504" i="3"/>
  <c r="T505" i="3"/>
  <c r="AH505" i="3" l="1"/>
  <c r="U504" i="3"/>
  <c r="D505" i="3" s="1"/>
  <c r="G505" i="3" s="1"/>
  <c r="AG505" i="3"/>
  <c r="E505" i="3" l="1"/>
  <c r="H505" i="3" s="1"/>
  <c r="K505" i="3" s="1"/>
  <c r="AE505" i="3" s="1"/>
  <c r="J505" i="3"/>
  <c r="I505" i="3" l="1"/>
  <c r="F505" i="3"/>
  <c r="V505" i="3"/>
  <c r="M505" i="3"/>
  <c r="N505" i="3" s="1"/>
  <c r="A506" i="3"/>
  <c r="B506" i="3" s="1"/>
  <c r="P506" i="3" s="1"/>
  <c r="Q506" i="3" s="1"/>
  <c r="R506" i="3" s="1"/>
  <c r="S506" i="3" s="1"/>
  <c r="L505" i="3"/>
  <c r="W505" i="3" l="1"/>
  <c r="AA506" i="3"/>
  <c r="AD506" i="3"/>
  <c r="AC506" i="3"/>
  <c r="Z506" i="3"/>
  <c r="U505" i="3"/>
  <c r="Y504" i="3"/>
  <c r="T506" i="3"/>
  <c r="AG506" i="3" l="1"/>
  <c r="D506" i="3"/>
  <c r="G506" i="3" s="1"/>
  <c r="AH506" i="3"/>
  <c r="E506" i="3"/>
  <c r="H506" i="3" s="1"/>
  <c r="K506" i="3" s="1"/>
  <c r="AE506" i="3" s="1"/>
  <c r="F506" i="3" l="1"/>
  <c r="I506" i="3"/>
  <c r="J506" i="3"/>
  <c r="M506" i="3"/>
  <c r="N506" i="3" s="1"/>
  <c r="V506" i="3"/>
  <c r="A507" i="3"/>
  <c r="B507" i="3" s="1"/>
  <c r="W506" i="3" l="1"/>
  <c r="L506" i="3"/>
  <c r="AD507" i="3"/>
  <c r="AC507" i="3"/>
  <c r="P507" i="3"/>
  <c r="Q507" i="3" s="1"/>
  <c r="R507" i="3" s="1"/>
  <c r="S507" i="3" s="1"/>
  <c r="AA507" i="3"/>
  <c r="Z507" i="3"/>
  <c r="U506" i="3" l="1"/>
  <c r="Y505" i="3"/>
  <c r="T507" i="3"/>
  <c r="AH507" i="3" s="1"/>
  <c r="AG507" i="3" l="1"/>
  <c r="E507" i="3"/>
  <c r="H507" i="3" s="1"/>
  <c r="D507" i="3"/>
  <c r="K507" i="3" l="1"/>
  <c r="AE507" i="3" s="1"/>
  <c r="F507" i="3"/>
  <c r="G507" i="3"/>
  <c r="I507" i="3" l="1"/>
  <c r="J507" i="3"/>
  <c r="M507" i="3"/>
  <c r="N507" i="3" s="1"/>
  <c r="V507" i="3"/>
  <c r="A508" i="3"/>
  <c r="B508" i="3" s="1"/>
  <c r="W507" i="3" l="1"/>
  <c r="L507" i="3"/>
  <c r="P508" i="3"/>
  <c r="Q508" i="3" s="1"/>
  <c r="R508" i="3" s="1"/>
  <c r="S508" i="3" s="1"/>
  <c r="AD508" i="3"/>
  <c r="AA508" i="3"/>
  <c r="Z508" i="3"/>
  <c r="AC508" i="3"/>
  <c r="U507" i="3" l="1"/>
  <c r="Y506" i="3"/>
  <c r="T508" i="3"/>
  <c r="E508" i="3" l="1"/>
  <c r="H508" i="3" s="1"/>
  <c r="K508" i="3" s="1"/>
  <c r="AE508" i="3" s="1"/>
  <c r="AH508" i="3"/>
  <c r="D508" i="3"/>
  <c r="AG508" i="3"/>
  <c r="F508" i="3" l="1"/>
  <c r="G508" i="3"/>
  <c r="V508" i="3"/>
  <c r="A509" i="3"/>
  <c r="B509" i="3" s="1"/>
  <c r="AD509" i="3" l="1"/>
  <c r="AC509" i="3"/>
  <c r="Z509" i="3"/>
  <c r="AA509" i="3"/>
  <c r="P509" i="3"/>
  <c r="Q509" i="3" s="1"/>
  <c r="R509" i="3" s="1"/>
  <c r="S509" i="3" s="1"/>
  <c r="I508" i="3"/>
  <c r="W508" i="3" s="1"/>
  <c r="J508" i="3"/>
  <c r="M508" i="3"/>
  <c r="N508" i="3" s="1"/>
  <c r="L508" i="3" l="1"/>
  <c r="T509" i="3"/>
  <c r="AG509" i="3" l="1"/>
  <c r="AH509" i="3"/>
  <c r="U508" i="3"/>
  <c r="D509" i="3" s="1"/>
  <c r="Y507" i="3"/>
  <c r="G509" i="3" l="1"/>
  <c r="E509" i="3"/>
  <c r="H509" i="3" s="1"/>
  <c r="F509" i="3" l="1"/>
  <c r="I509" i="3"/>
  <c r="J509" i="3"/>
  <c r="M509" i="3"/>
  <c r="N509" i="3" s="1"/>
  <c r="K509" i="3"/>
  <c r="AE509" i="3" s="1"/>
  <c r="V509" i="3" l="1"/>
  <c r="W509" i="3" s="1"/>
  <c r="A510" i="3"/>
  <c r="B510" i="3" s="1"/>
  <c r="L509" i="3"/>
  <c r="U509" i="3" l="1"/>
  <c r="Y508" i="3"/>
  <c r="AC510" i="3"/>
  <c r="Z510" i="3"/>
  <c r="AA510" i="3"/>
  <c r="AD510" i="3"/>
  <c r="P510" i="3"/>
  <c r="Q510" i="3" s="1"/>
  <c r="R510" i="3" s="1"/>
  <c r="S510" i="3" s="1"/>
  <c r="T510" i="3" l="1"/>
  <c r="AH510" i="3" l="1"/>
  <c r="E510" i="3"/>
  <c r="H510" i="3" s="1"/>
  <c r="D510" i="3"/>
  <c r="AG510" i="3"/>
  <c r="F510" i="3" l="1"/>
  <c r="G510" i="3"/>
  <c r="K510" i="3"/>
  <c r="AE510" i="3" s="1"/>
  <c r="V510" i="3" l="1"/>
  <c r="A511" i="3"/>
  <c r="B511" i="3" s="1"/>
  <c r="I510" i="3"/>
  <c r="J510" i="3"/>
  <c r="M510" i="3"/>
  <c r="N510" i="3" s="1"/>
  <c r="L510" i="3" l="1"/>
  <c r="AA511" i="3"/>
  <c r="AC511" i="3"/>
  <c r="P511" i="3"/>
  <c r="Q511" i="3" s="1"/>
  <c r="R511" i="3" s="1"/>
  <c r="S511" i="3" s="1"/>
  <c r="Z511" i="3"/>
  <c r="AD511" i="3"/>
  <c r="W510" i="3"/>
  <c r="U510" i="3" l="1"/>
  <c r="Y509" i="3"/>
  <c r="T511" i="3"/>
  <c r="AG511" i="3" s="1"/>
  <c r="AH511" i="3" l="1"/>
  <c r="D511" i="3"/>
  <c r="E511" i="3"/>
  <c r="H511" i="3" s="1"/>
  <c r="F511" i="3" l="1"/>
  <c r="G511" i="3"/>
  <c r="K511" i="3"/>
  <c r="AE511" i="3" s="1"/>
  <c r="V511" i="3" l="1"/>
  <c r="A512" i="3"/>
  <c r="B512" i="3" s="1"/>
  <c r="I511" i="3"/>
  <c r="J511" i="3"/>
  <c r="M511" i="3"/>
  <c r="N511" i="3" s="1"/>
  <c r="W511" i="3" l="1"/>
  <c r="L511" i="3"/>
  <c r="AC512" i="3"/>
  <c r="Z512" i="3"/>
  <c r="AA512" i="3"/>
  <c r="P512" i="3"/>
  <c r="Q512" i="3" s="1"/>
  <c r="R512" i="3" s="1"/>
  <c r="S512" i="3" s="1"/>
  <c r="AD512" i="3"/>
  <c r="T512" i="3" l="1"/>
  <c r="U511" i="3"/>
  <c r="Y510" i="3"/>
  <c r="D512" i="3" l="1"/>
  <c r="G512" i="3" s="1"/>
  <c r="AH512" i="3"/>
  <c r="E512" i="3"/>
  <c r="H512" i="3" s="1"/>
  <c r="K512" i="3" s="1"/>
  <c r="AE512" i="3" s="1"/>
  <c r="AG512" i="3"/>
  <c r="F512" i="3" l="1"/>
  <c r="I512" i="3"/>
  <c r="J512" i="3"/>
  <c r="M512" i="3"/>
  <c r="N512" i="3" s="1"/>
  <c r="V512" i="3"/>
  <c r="A513" i="3"/>
  <c r="B513" i="3" s="1"/>
  <c r="W512" i="3" l="1"/>
  <c r="L512" i="3"/>
  <c r="AA513" i="3"/>
  <c r="P513" i="3"/>
  <c r="Q513" i="3" s="1"/>
  <c r="R513" i="3" s="1"/>
  <c r="S513" i="3" s="1"/>
  <c r="AC513" i="3"/>
  <c r="AD513" i="3"/>
  <c r="Z513" i="3"/>
  <c r="T513" i="3" l="1"/>
  <c r="AG513" i="3" s="1"/>
  <c r="U512" i="3"/>
  <c r="Y511" i="3"/>
  <c r="AH513" i="3" l="1"/>
  <c r="E513" i="3"/>
  <c r="H513" i="3" s="1"/>
  <c r="D513" i="3"/>
  <c r="F513" i="3" l="1"/>
  <c r="G513" i="3"/>
  <c r="K513" i="3"/>
  <c r="AE513" i="3" s="1"/>
  <c r="V513" i="3" l="1"/>
  <c r="A514" i="3"/>
  <c r="B514" i="3" s="1"/>
  <c r="I513" i="3"/>
  <c r="J513" i="3"/>
  <c r="M513" i="3"/>
  <c r="N513" i="3" s="1"/>
  <c r="L513" i="3" l="1"/>
  <c r="Z514" i="3"/>
  <c r="AA514" i="3"/>
  <c r="AC514" i="3"/>
  <c r="P514" i="3"/>
  <c r="Q514" i="3" s="1"/>
  <c r="R514" i="3" s="1"/>
  <c r="S514" i="3" s="1"/>
  <c r="W513" i="3"/>
  <c r="T514" i="3" l="1"/>
  <c r="AH514" i="3" s="1"/>
  <c r="U513" i="3"/>
  <c r="Y512" i="3"/>
  <c r="AG514" i="3" l="1"/>
  <c r="E514" i="3"/>
  <c r="H514" i="3" s="1"/>
  <c r="D514" i="3"/>
  <c r="K514" i="3" l="1"/>
  <c r="AE514" i="3" s="1"/>
  <c r="F514" i="3"/>
  <c r="G514" i="3"/>
  <c r="V514" i="3" l="1"/>
  <c r="A515" i="3"/>
  <c r="B515" i="3" s="1"/>
  <c r="I514" i="3"/>
  <c r="J514" i="3"/>
  <c r="AD514" i="3" s="1"/>
  <c r="M514" i="3"/>
  <c r="N514" i="3" s="1"/>
  <c r="W514" i="3" l="1"/>
  <c r="L514" i="3"/>
  <c r="AD515" i="3"/>
  <c r="P515" i="3"/>
  <c r="Q515" i="3" s="1"/>
  <c r="R515" i="3" s="1"/>
  <c r="S515" i="3" s="1"/>
  <c r="AC515" i="3"/>
  <c r="Z515" i="3"/>
  <c r="AA515" i="3"/>
  <c r="U514" i="3" l="1"/>
  <c r="Y513" i="3"/>
  <c r="T515" i="3"/>
  <c r="D515" i="3" l="1"/>
  <c r="G515" i="3" s="1"/>
  <c r="AG515" i="3"/>
  <c r="AH515" i="3"/>
  <c r="E515" i="3"/>
  <c r="H515" i="3" s="1"/>
  <c r="K515" i="3" l="1"/>
  <c r="AE515" i="3" s="1"/>
  <c r="I515" i="3"/>
  <c r="J515" i="3"/>
  <c r="M515" i="3"/>
  <c r="N515" i="3" s="1"/>
  <c r="F515" i="3"/>
  <c r="L515" i="3" l="1"/>
  <c r="V515" i="3"/>
  <c r="W515" i="3" s="1"/>
  <c r="A516" i="3"/>
  <c r="B516" i="3" s="1"/>
  <c r="U515" i="3" l="1"/>
  <c r="Y514" i="3"/>
  <c r="AA516" i="3"/>
  <c r="Z516" i="3"/>
  <c r="AC516" i="3"/>
  <c r="P516" i="3"/>
  <c r="Q516" i="3" s="1"/>
  <c r="R516" i="3" s="1"/>
  <c r="S516" i="3" s="1"/>
  <c r="AD516" i="3"/>
  <c r="T516" i="3" l="1"/>
  <c r="AG516" i="3" s="1"/>
  <c r="D516" i="3" l="1"/>
  <c r="AH516" i="3"/>
  <c r="E516" i="3"/>
  <c r="H516" i="3" s="1"/>
  <c r="F516" i="3" l="1"/>
  <c r="G516" i="3"/>
  <c r="K516" i="3"/>
  <c r="AE516" i="3" s="1"/>
  <c r="I516" i="3" l="1"/>
  <c r="J516" i="3"/>
  <c r="M516" i="3"/>
  <c r="N516" i="3" s="1"/>
  <c r="V516" i="3"/>
  <c r="A517" i="3"/>
  <c r="B517" i="3" s="1"/>
  <c r="W516" i="3" l="1"/>
  <c r="L516" i="3"/>
  <c r="AD517" i="3"/>
  <c r="AC517" i="3"/>
  <c r="P517" i="3"/>
  <c r="Q517" i="3" s="1"/>
  <c r="R517" i="3" s="1"/>
  <c r="S517" i="3" s="1"/>
  <c r="AA517" i="3"/>
  <c r="Z517" i="3"/>
  <c r="U516" i="3" l="1"/>
  <c r="Y515" i="3"/>
  <c r="T517" i="3"/>
  <c r="AG517" i="3" s="1"/>
  <c r="D517" i="3" l="1"/>
  <c r="G517" i="3" s="1"/>
  <c r="AH517" i="3"/>
  <c r="E517" i="3"/>
  <c r="H517" i="3" s="1"/>
  <c r="K517" i="3" s="1"/>
  <c r="AE517" i="3" s="1"/>
  <c r="F517" i="3" l="1"/>
  <c r="I517" i="3"/>
  <c r="J517" i="3"/>
  <c r="M517" i="3"/>
  <c r="N517" i="3" s="1"/>
  <c r="V517" i="3"/>
  <c r="A518" i="3"/>
  <c r="B518" i="3" s="1"/>
  <c r="W517" i="3" l="1"/>
  <c r="L517" i="3"/>
  <c r="AD518" i="3"/>
  <c r="AA518" i="3"/>
  <c r="AC518" i="3"/>
  <c r="Z518" i="3"/>
  <c r="P518" i="3"/>
  <c r="Q518" i="3" s="1"/>
  <c r="R518" i="3" s="1"/>
  <c r="S518" i="3" s="1"/>
  <c r="U517" i="3" l="1"/>
  <c r="Y516" i="3"/>
  <c r="T518" i="3"/>
  <c r="D518" i="3" l="1"/>
  <c r="G518" i="3" s="1"/>
  <c r="E518" i="3"/>
  <c r="H518" i="3" s="1"/>
  <c r="AH518" i="3"/>
  <c r="AG518" i="3"/>
  <c r="F518" i="3" l="1"/>
  <c r="I518" i="3"/>
  <c r="J518" i="3"/>
  <c r="M518" i="3"/>
  <c r="N518" i="3" s="1"/>
  <c r="K518" i="3"/>
  <c r="AE518" i="3" s="1"/>
  <c r="V518" i="3" l="1"/>
  <c r="W518" i="3" s="1"/>
  <c r="A519" i="3"/>
  <c r="B519" i="3" s="1"/>
  <c r="L518" i="3"/>
  <c r="U518" i="3" l="1"/>
  <c r="Y517" i="3"/>
  <c r="AD519" i="3"/>
  <c r="AA519" i="3"/>
  <c r="Z519" i="3"/>
  <c r="AC519" i="3"/>
  <c r="P519" i="3"/>
  <c r="Q519" i="3" s="1"/>
  <c r="R519" i="3" s="1"/>
  <c r="S519" i="3" s="1"/>
  <c r="T519" i="3" l="1"/>
  <c r="D519" i="3" s="1"/>
  <c r="AG519" i="3" l="1"/>
  <c r="G519" i="3"/>
  <c r="AH519" i="3"/>
  <c r="E519" i="3"/>
  <c r="H519" i="3" s="1"/>
  <c r="F519" i="3" l="1"/>
  <c r="I519" i="3"/>
  <c r="J519" i="3"/>
  <c r="M519" i="3"/>
  <c r="N519" i="3" s="1"/>
  <c r="K519" i="3"/>
  <c r="AE519" i="3" s="1"/>
  <c r="V519" i="3" l="1"/>
  <c r="W519" i="3" s="1"/>
  <c r="A520" i="3"/>
  <c r="B520" i="3" s="1"/>
  <c r="L519" i="3"/>
  <c r="U519" i="3" l="1"/>
  <c r="Y518" i="3"/>
  <c r="AA520" i="3"/>
  <c r="AC520" i="3"/>
  <c r="Z520" i="3"/>
  <c r="AD520" i="3"/>
  <c r="P520" i="3"/>
  <c r="Q520" i="3" s="1"/>
  <c r="R520" i="3" s="1"/>
  <c r="S520" i="3" s="1"/>
  <c r="T520" i="3" l="1"/>
  <c r="D520" i="3" s="1"/>
  <c r="AG520" i="3" l="1"/>
  <c r="E520" i="3"/>
  <c r="H520" i="3" s="1"/>
  <c r="K520" i="3" s="1"/>
  <c r="AE520" i="3" s="1"/>
  <c r="AH520" i="3"/>
  <c r="G520" i="3"/>
  <c r="F520" i="3" l="1"/>
  <c r="I520" i="3"/>
  <c r="J520" i="3"/>
  <c r="M520" i="3"/>
  <c r="N520" i="3" s="1"/>
  <c r="V520" i="3"/>
  <c r="A521" i="3"/>
  <c r="B521" i="3" s="1"/>
  <c r="W520" i="3" l="1"/>
  <c r="L520" i="3"/>
  <c r="P521" i="3"/>
  <c r="Q521" i="3" s="1"/>
  <c r="R521" i="3" s="1"/>
  <c r="S521" i="3" s="1"/>
  <c r="AC521" i="3"/>
  <c r="AA521" i="3"/>
  <c r="AD521" i="3"/>
  <c r="Z521" i="3"/>
  <c r="U520" i="3" l="1"/>
  <c r="Y519" i="3"/>
  <c r="T521" i="3"/>
  <c r="AH521" i="3" s="1"/>
  <c r="AG521" i="3" l="1"/>
  <c r="D521" i="3"/>
  <c r="E521" i="3"/>
  <c r="H521" i="3" s="1"/>
  <c r="K521" i="3" s="1"/>
  <c r="AE521" i="3" s="1"/>
  <c r="F521" i="3" l="1"/>
  <c r="G521" i="3"/>
  <c r="I521" i="3" s="1"/>
  <c r="V521" i="3"/>
  <c r="A522" i="3"/>
  <c r="B522" i="3" s="1"/>
  <c r="M521" i="3" l="1"/>
  <c r="N521" i="3" s="1"/>
  <c r="J521" i="3"/>
  <c r="L521" i="3" s="1"/>
  <c r="W521" i="3"/>
  <c r="AC522" i="3"/>
  <c r="P522" i="3"/>
  <c r="Q522" i="3" s="1"/>
  <c r="R522" i="3" s="1"/>
  <c r="S522" i="3" s="1"/>
  <c r="AA522" i="3"/>
  <c r="AD522" i="3"/>
  <c r="Z522" i="3"/>
  <c r="U521" i="3" l="1"/>
  <c r="Y520" i="3"/>
  <c r="T522" i="3"/>
  <c r="AG522" i="3" s="1"/>
  <c r="AH522" i="3" l="1"/>
  <c r="E522" i="3"/>
  <c r="H522" i="3" s="1"/>
  <c r="D522" i="3"/>
  <c r="K522" i="3" l="1"/>
  <c r="AE522" i="3" s="1"/>
  <c r="F522" i="3"/>
  <c r="G522" i="3"/>
  <c r="I522" i="3" l="1"/>
  <c r="J522" i="3"/>
  <c r="M522" i="3"/>
  <c r="N522" i="3" s="1"/>
  <c r="V522" i="3"/>
  <c r="A523" i="3"/>
  <c r="B523" i="3" s="1"/>
  <c r="W522" i="3" l="1"/>
  <c r="L522" i="3"/>
  <c r="AC523" i="3"/>
  <c r="Z523" i="3"/>
  <c r="AD523" i="3"/>
  <c r="AA523" i="3"/>
  <c r="P523" i="3"/>
  <c r="Q523" i="3" s="1"/>
  <c r="R523" i="3" s="1"/>
  <c r="S523" i="3" s="1"/>
  <c r="U522" i="3" l="1"/>
  <c r="Y521" i="3"/>
  <c r="T523" i="3"/>
  <c r="AG523" i="3" s="1"/>
  <c r="AH523" i="3" l="1"/>
  <c r="D523" i="3"/>
  <c r="G523" i="3" s="1"/>
  <c r="E523" i="3"/>
  <c r="H523" i="3" s="1"/>
  <c r="F523" i="3" l="1"/>
  <c r="I523" i="3"/>
  <c r="J523" i="3"/>
  <c r="M523" i="3"/>
  <c r="N523" i="3" s="1"/>
  <c r="K523" i="3"/>
  <c r="AE523" i="3" s="1"/>
  <c r="V523" i="3" l="1"/>
  <c r="W523" i="3" s="1"/>
  <c r="A524" i="3"/>
  <c r="B524" i="3" s="1"/>
  <c r="L523" i="3"/>
  <c r="U523" i="3" l="1"/>
  <c r="Y522" i="3"/>
  <c r="Z524" i="3"/>
  <c r="P524" i="3"/>
  <c r="Q524" i="3" s="1"/>
  <c r="R524" i="3" s="1"/>
  <c r="S524" i="3" s="1"/>
  <c r="AC524" i="3"/>
  <c r="AA524" i="3"/>
  <c r="T524" i="3" l="1"/>
  <c r="E524" i="3" s="1"/>
  <c r="H524" i="3" s="1"/>
  <c r="D524" i="3" l="1"/>
  <c r="G524" i="3" s="1"/>
  <c r="K524" i="3"/>
  <c r="AE524" i="3" s="1"/>
  <c r="AH524" i="3"/>
  <c r="AG524" i="3"/>
  <c r="F524" i="3" l="1"/>
  <c r="I524" i="3"/>
  <c r="J524" i="3"/>
  <c r="AD524" i="3" s="1"/>
  <c r="M524" i="3"/>
  <c r="N524" i="3" s="1"/>
  <c r="V524" i="3"/>
  <c r="A525" i="3"/>
  <c r="B525" i="3" s="1"/>
  <c r="W524" i="3" l="1"/>
  <c r="L524" i="3"/>
  <c r="AA525" i="3"/>
  <c r="AC525" i="3"/>
  <c r="AD525" i="3"/>
  <c r="Z525" i="3"/>
  <c r="P525" i="3"/>
  <c r="Q525" i="3" s="1"/>
  <c r="R525" i="3" s="1"/>
  <c r="S525" i="3" s="1"/>
  <c r="T525" i="3" l="1"/>
  <c r="AH525" i="3" s="1"/>
  <c r="U524" i="3"/>
  <c r="Y523" i="3"/>
  <c r="AG525" i="3" l="1"/>
  <c r="D525" i="3"/>
  <c r="E525" i="3"/>
  <c r="H525" i="3" s="1"/>
  <c r="F525" i="3" l="1"/>
  <c r="G525" i="3"/>
  <c r="K525" i="3"/>
  <c r="AE525" i="3" s="1"/>
  <c r="I525" i="3" l="1"/>
  <c r="J525" i="3"/>
  <c r="M525" i="3"/>
  <c r="N525" i="3" s="1"/>
  <c r="V525" i="3"/>
  <c r="A526" i="3"/>
  <c r="B526" i="3" s="1"/>
  <c r="L525" i="3" l="1"/>
  <c r="W525" i="3"/>
  <c r="AA526" i="3"/>
  <c r="P526" i="3"/>
  <c r="Q526" i="3" s="1"/>
  <c r="R526" i="3" s="1"/>
  <c r="S526" i="3" s="1"/>
  <c r="Z526" i="3"/>
  <c r="AD526" i="3"/>
  <c r="AC526" i="3"/>
  <c r="T526" i="3" l="1"/>
  <c r="U525" i="3"/>
  <c r="Y524" i="3"/>
  <c r="D526" i="3" l="1"/>
  <c r="G526" i="3" s="1"/>
  <c r="AH526" i="3"/>
  <c r="E526" i="3"/>
  <c r="H526" i="3" s="1"/>
  <c r="K526" i="3" s="1"/>
  <c r="AE526" i="3" s="1"/>
  <c r="AG526" i="3"/>
  <c r="F526" i="3" l="1"/>
  <c r="V526" i="3"/>
  <c r="A527" i="3"/>
  <c r="B527" i="3" s="1"/>
  <c r="I526" i="3"/>
  <c r="J526" i="3"/>
  <c r="M526" i="3"/>
  <c r="N526" i="3" s="1"/>
  <c r="W526" i="3" l="1"/>
  <c r="L526" i="3"/>
  <c r="AD527" i="3"/>
  <c r="Z527" i="3"/>
  <c r="AC527" i="3"/>
  <c r="P527" i="3"/>
  <c r="Q527" i="3" s="1"/>
  <c r="R527" i="3" s="1"/>
  <c r="S527" i="3" s="1"/>
  <c r="AA527" i="3"/>
  <c r="U526" i="3" l="1"/>
  <c r="Y525" i="3"/>
  <c r="T527" i="3"/>
  <c r="D527" i="3" l="1"/>
  <c r="G527" i="3" s="1"/>
  <c r="E527" i="3"/>
  <c r="H527" i="3" s="1"/>
  <c r="AG527" i="3"/>
  <c r="AH527" i="3"/>
  <c r="F527" i="3" l="1"/>
  <c r="I527" i="3"/>
  <c r="J527" i="3"/>
  <c r="M527" i="3"/>
  <c r="N527" i="3" s="1"/>
  <c r="K527" i="3"/>
  <c r="AE527" i="3" s="1"/>
  <c r="V527" i="3" l="1"/>
  <c r="W527" i="3" s="1"/>
  <c r="A528" i="3"/>
  <c r="B528" i="3" s="1"/>
  <c r="L527" i="3"/>
  <c r="U527" i="3" l="1"/>
  <c r="Y526" i="3"/>
  <c r="Z528" i="3"/>
  <c r="P528" i="3"/>
  <c r="Q528" i="3" s="1"/>
  <c r="R528" i="3" s="1"/>
  <c r="S528" i="3" s="1"/>
  <c r="AC528" i="3"/>
  <c r="AD528" i="3"/>
  <c r="AA528" i="3"/>
  <c r="T528" i="3" l="1"/>
  <c r="AH528" i="3" s="1"/>
  <c r="D528" i="3" l="1"/>
  <c r="E528" i="3"/>
  <c r="H528" i="3" s="1"/>
  <c r="K528" i="3" s="1"/>
  <c r="AE528" i="3" s="1"/>
  <c r="AG528" i="3"/>
  <c r="F528" i="3" l="1"/>
  <c r="G528" i="3"/>
  <c r="M528" i="3" s="1"/>
  <c r="N528" i="3" s="1"/>
  <c r="V528" i="3"/>
  <c r="A529" i="3"/>
  <c r="B529" i="3" s="1"/>
  <c r="I528" i="3" l="1"/>
  <c r="W528" i="3" s="1"/>
  <c r="J528" i="3"/>
  <c r="L528" i="3" s="1"/>
  <c r="Z529" i="3"/>
  <c r="AC529" i="3"/>
  <c r="AD529" i="3"/>
  <c r="P529" i="3"/>
  <c r="Q529" i="3" s="1"/>
  <c r="R529" i="3" s="1"/>
  <c r="S529" i="3" s="1"/>
  <c r="AA529" i="3"/>
  <c r="U528" i="3" l="1"/>
  <c r="Y527" i="3"/>
  <c r="T529" i="3"/>
  <c r="AG529" i="3" s="1"/>
  <c r="D529" i="3" l="1"/>
  <c r="G529" i="3" s="1"/>
  <c r="AH529" i="3"/>
  <c r="E529" i="3"/>
  <c r="H529" i="3" s="1"/>
  <c r="K529" i="3" s="1"/>
  <c r="AE529" i="3" s="1"/>
  <c r="F529" i="3" l="1"/>
  <c r="I529" i="3"/>
  <c r="J529" i="3"/>
  <c r="M529" i="3"/>
  <c r="N529" i="3" s="1"/>
  <c r="V529" i="3"/>
  <c r="A530" i="3"/>
  <c r="B530" i="3" s="1"/>
  <c r="W529" i="3" l="1"/>
  <c r="L529" i="3"/>
  <c r="Z530" i="3"/>
  <c r="AD530" i="3"/>
  <c r="P530" i="3"/>
  <c r="Q530" i="3" s="1"/>
  <c r="R530" i="3" s="1"/>
  <c r="S530" i="3" s="1"/>
  <c r="AC530" i="3"/>
  <c r="AA530" i="3"/>
  <c r="T530" i="3" l="1"/>
  <c r="AG530" i="3" s="1"/>
  <c r="U529" i="3"/>
  <c r="Y528" i="3"/>
  <c r="D530" i="3" l="1"/>
  <c r="G530" i="3" s="1"/>
  <c r="AH530" i="3"/>
  <c r="E530" i="3"/>
  <c r="H530" i="3" s="1"/>
  <c r="F530" i="3" l="1"/>
  <c r="I530" i="3"/>
  <c r="J530" i="3"/>
  <c r="M530" i="3"/>
  <c r="N530" i="3" s="1"/>
  <c r="K530" i="3"/>
  <c r="AE530" i="3" s="1"/>
  <c r="V530" i="3" l="1"/>
  <c r="W530" i="3" s="1"/>
  <c r="A531" i="3"/>
  <c r="B531" i="3" s="1"/>
  <c r="L530" i="3"/>
  <c r="U530" i="3" l="1"/>
  <c r="Y529" i="3"/>
  <c r="Z531" i="3"/>
  <c r="AD531" i="3"/>
  <c r="AC531" i="3"/>
  <c r="AA531" i="3"/>
  <c r="P531" i="3"/>
  <c r="Q531" i="3" s="1"/>
  <c r="R531" i="3" s="1"/>
  <c r="S531" i="3" s="1"/>
  <c r="T531" i="3" l="1"/>
  <c r="AG531" i="3" s="1"/>
  <c r="AH531" i="3" l="1"/>
  <c r="D531" i="3"/>
  <c r="E531" i="3"/>
  <c r="H531" i="3" s="1"/>
  <c r="K531" i="3" l="1"/>
  <c r="AE531" i="3" s="1"/>
  <c r="F531" i="3"/>
  <c r="G531" i="3"/>
  <c r="I531" i="3" l="1"/>
  <c r="J531" i="3"/>
  <c r="M531" i="3"/>
  <c r="N531" i="3" s="1"/>
  <c r="V531" i="3"/>
  <c r="A532" i="3"/>
  <c r="B532" i="3" s="1"/>
  <c r="W531" i="3" l="1"/>
  <c r="L531" i="3"/>
  <c r="AD532" i="3"/>
  <c r="AC532" i="3"/>
  <c r="Z532" i="3"/>
  <c r="P532" i="3"/>
  <c r="Q532" i="3" s="1"/>
  <c r="R532" i="3" s="1"/>
  <c r="S532" i="3" s="1"/>
  <c r="AA532" i="3"/>
  <c r="U531" i="3" l="1"/>
  <c r="Y530" i="3"/>
  <c r="T532" i="3"/>
  <c r="AH532" i="3" s="1"/>
  <c r="D532" i="3" l="1"/>
  <c r="G532" i="3" s="1"/>
  <c r="AG532" i="3"/>
  <c r="E532" i="3"/>
  <c r="H532" i="3" s="1"/>
  <c r="K532" i="3" s="1"/>
  <c r="AE532" i="3" s="1"/>
  <c r="F532" i="3" l="1"/>
  <c r="V532" i="3"/>
  <c r="A533" i="3"/>
  <c r="B533" i="3" s="1"/>
  <c r="I532" i="3"/>
  <c r="J532" i="3"/>
  <c r="M532" i="3"/>
  <c r="N532" i="3" s="1"/>
  <c r="W532" i="3" l="1"/>
  <c r="L532" i="3"/>
  <c r="P533" i="3"/>
  <c r="Q533" i="3" s="1"/>
  <c r="R533" i="3" s="1"/>
  <c r="S533" i="3" s="1"/>
  <c r="AD533" i="3"/>
  <c r="AA533" i="3"/>
  <c r="Z533" i="3"/>
  <c r="AC533" i="3"/>
  <c r="T533" i="3" l="1"/>
  <c r="U532" i="3"/>
  <c r="Y531" i="3"/>
  <c r="E533" i="3" l="1"/>
  <c r="H533" i="3" s="1"/>
  <c r="K533" i="3" s="1"/>
  <c r="AE533" i="3" s="1"/>
  <c r="AH533" i="3"/>
  <c r="AG533" i="3"/>
  <c r="D533" i="3"/>
  <c r="F533" i="3" l="1"/>
  <c r="G533" i="3"/>
  <c r="V533" i="3"/>
  <c r="A534" i="3"/>
  <c r="B534" i="3" s="1"/>
  <c r="Z534" i="3" l="1"/>
  <c r="AC534" i="3"/>
  <c r="AA534" i="3"/>
  <c r="P534" i="3"/>
  <c r="Q534" i="3" s="1"/>
  <c r="R534" i="3" s="1"/>
  <c r="S534" i="3" s="1"/>
  <c r="I533" i="3"/>
  <c r="W533" i="3" s="1"/>
  <c r="J533" i="3"/>
  <c r="M533" i="3"/>
  <c r="N533" i="3" s="1"/>
  <c r="L533" i="3" l="1"/>
  <c r="T534" i="3"/>
  <c r="U533" i="3" l="1"/>
  <c r="D534" i="3" s="1"/>
  <c r="AG534" i="3"/>
  <c r="AH534" i="3"/>
  <c r="Y532" i="3"/>
  <c r="E534" i="3" l="1"/>
  <c r="H534" i="3" s="1"/>
  <c r="K534" i="3" s="1"/>
  <c r="AE534" i="3" s="1"/>
  <c r="G534" i="3"/>
  <c r="F534" i="3" l="1"/>
  <c r="V534" i="3"/>
  <c r="A535" i="3"/>
  <c r="B535" i="3" s="1"/>
  <c r="I534" i="3"/>
  <c r="J534" i="3"/>
  <c r="AD534" i="3" s="1"/>
  <c r="M534" i="3"/>
  <c r="N534" i="3" s="1"/>
  <c r="W534" i="3" l="1"/>
  <c r="L534" i="3"/>
  <c r="AA535" i="3"/>
  <c r="AC535" i="3"/>
  <c r="AD535" i="3"/>
  <c r="Z535" i="3"/>
  <c r="P535" i="3"/>
  <c r="Q535" i="3" s="1"/>
  <c r="R535" i="3" s="1"/>
  <c r="S535" i="3" s="1"/>
  <c r="T535" i="3" l="1"/>
  <c r="U534" i="3"/>
  <c r="Y533" i="3"/>
  <c r="D535" i="3" l="1"/>
  <c r="G535" i="3" s="1"/>
  <c r="E535" i="3"/>
  <c r="H535" i="3" s="1"/>
  <c r="K535" i="3" s="1"/>
  <c r="AE535" i="3" s="1"/>
  <c r="AG535" i="3"/>
  <c r="AH535" i="3"/>
  <c r="F535" i="3" l="1"/>
  <c r="V535" i="3"/>
  <c r="A536" i="3"/>
  <c r="B536" i="3" s="1"/>
  <c r="I535" i="3"/>
  <c r="J535" i="3"/>
  <c r="M535" i="3"/>
  <c r="N535" i="3" s="1"/>
  <c r="W535" i="3" l="1"/>
  <c r="L535" i="3"/>
  <c r="AC536" i="3"/>
  <c r="AA536" i="3"/>
  <c r="Z536" i="3"/>
  <c r="P536" i="3"/>
  <c r="Q536" i="3" s="1"/>
  <c r="R536" i="3" s="1"/>
  <c r="S536" i="3" s="1"/>
  <c r="AD536" i="3"/>
  <c r="U535" i="3" l="1"/>
  <c r="Y534" i="3"/>
  <c r="T536" i="3"/>
  <c r="AH536" i="3" s="1"/>
  <c r="AG536" i="3" l="1"/>
  <c r="E536" i="3"/>
  <c r="H536" i="3" s="1"/>
  <c r="D536" i="3"/>
  <c r="K536" i="3" l="1"/>
  <c r="AE536" i="3" s="1"/>
  <c r="F536" i="3"/>
  <c r="G536" i="3"/>
  <c r="I536" i="3" l="1"/>
  <c r="J536" i="3"/>
  <c r="M536" i="3"/>
  <c r="N536" i="3" s="1"/>
  <c r="V536" i="3"/>
  <c r="A537" i="3"/>
  <c r="B537" i="3" s="1"/>
  <c r="W536" i="3" l="1"/>
  <c r="L536" i="3"/>
  <c r="AC537" i="3"/>
  <c r="P537" i="3"/>
  <c r="Q537" i="3" s="1"/>
  <c r="R537" i="3" s="1"/>
  <c r="S537" i="3" s="1"/>
  <c r="Z537" i="3"/>
  <c r="AD537" i="3"/>
  <c r="AA537" i="3"/>
  <c r="U536" i="3" l="1"/>
  <c r="Y535" i="3"/>
  <c r="T537" i="3"/>
  <c r="AH537" i="3" s="1"/>
  <c r="AG537" i="3" l="1"/>
  <c r="E537" i="3"/>
  <c r="H537" i="3" s="1"/>
  <c r="D537" i="3"/>
  <c r="K537" i="3" l="1"/>
  <c r="AE537" i="3" s="1"/>
  <c r="F537" i="3"/>
  <c r="G537" i="3"/>
  <c r="I537" i="3" l="1"/>
  <c r="J537" i="3"/>
  <c r="M537" i="3"/>
  <c r="N537" i="3" s="1"/>
  <c r="V537" i="3"/>
  <c r="A538" i="3"/>
  <c r="B538" i="3" s="1"/>
  <c r="W537" i="3" l="1"/>
  <c r="L537" i="3"/>
  <c r="AA538" i="3"/>
  <c r="AC538" i="3"/>
  <c r="AD538" i="3"/>
  <c r="Z538" i="3"/>
  <c r="P538" i="3"/>
  <c r="Q538" i="3" s="1"/>
  <c r="R538" i="3" s="1"/>
  <c r="S538" i="3" s="1"/>
  <c r="T538" i="3" l="1"/>
  <c r="U537" i="3"/>
  <c r="Y536" i="3"/>
  <c r="D538" i="3" l="1"/>
  <c r="G538" i="3" s="1"/>
  <c r="AH538" i="3"/>
  <c r="AG538" i="3"/>
  <c r="E538" i="3"/>
  <c r="H538" i="3" s="1"/>
  <c r="F538" i="3" l="1"/>
  <c r="I538" i="3"/>
  <c r="J538" i="3"/>
  <c r="M538" i="3"/>
  <c r="N538" i="3" s="1"/>
  <c r="K538" i="3"/>
  <c r="AE538" i="3" s="1"/>
  <c r="V538" i="3" l="1"/>
  <c r="W538" i="3" s="1"/>
  <c r="A539" i="3"/>
  <c r="B539" i="3" s="1"/>
  <c r="L538" i="3"/>
  <c r="U538" i="3" l="1"/>
  <c r="Y537" i="3"/>
  <c r="Z539" i="3"/>
  <c r="P539" i="3"/>
  <c r="Q539" i="3" s="1"/>
  <c r="R539" i="3" s="1"/>
  <c r="S539" i="3" s="1"/>
  <c r="AD539" i="3"/>
  <c r="AA539" i="3"/>
  <c r="AC539" i="3"/>
  <c r="T539" i="3" l="1"/>
  <c r="AH539" i="3" s="1"/>
  <c r="AG539" i="3" l="1"/>
  <c r="E539" i="3"/>
  <c r="H539" i="3" s="1"/>
  <c r="K539" i="3" s="1"/>
  <c r="AE539" i="3" s="1"/>
  <c r="D539" i="3"/>
  <c r="G539" i="3" s="1"/>
  <c r="F539" i="3" l="1"/>
  <c r="V539" i="3"/>
  <c r="A540" i="3"/>
  <c r="B540" i="3" s="1"/>
  <c r="I539" i="3"/>
  <c r="J539" i="3"/>
  <c r="M539" i="3"/>
  <c r="N539" i="3" s="1"/>
  <c r="W539" i="3" l="1"/>
  <c r="L539" i="3"/>
  <c r="AA540" i="3"/>
  <c r="AC540" i="3"/>
  <c r="Z540" i="3"/>
  <c r="AD540" i="3"/>
  <c r="P540" i="3"/>
  <c r="Q540" i="3" s="1"/>
  <c r="R540" i="3" s="1"/>
  <c r="S540" i="3" s="1"/>
  <c r="U539" i="3" l="1"/>
  <c r="Y538" i="3"/>
  <c r="T540" i="3"/>
  <c r="AG540" i="3" s="1"/>
  <c r="E540" i="3" l="1"/>
  <c r="H540" i="3" s="1"/>
  <c r="D540" i="3"/>
  <c r="AH540" i="3"/>
  <c r="K540" i="3" l="1"/>
  <c r="AE540" i="3" s="1"/>
  <c r="F540" i="3"/>
  <c r="G540" i="3"/>
  <c r="V540" i="3" l="1"/>
  <c r="A541" i="3"/>
  <c r="B541" i="3" s="1"/>
  <c r="I540" i="3"/>
  <c r="J540" i="3"/>
  <c r="M540" i="3"/>
  <c r="N540" i="3" s="1"/>
  <c r="W540" i="3" l="1"/>
  <c r="L540" i="3"/>
  <c r="P541" i="3"/>
  <c r="Q541" i="3" s="1"/>
  <c r="R541" i="3" s="1"/>
  <c r="S541" i="3" s="1"/>
  <c r="AA541" i="3"/>
  <c r="AD541" i="3"/>
  <c r="Z541" i="3"/>
  <c r="AC541" i="3"/>
  <c r="U540" i="3" l="1"/>
  <c r="Y539" i="3"/>
  <c r="T541" i="3"/>
  <c r="AG541" i="3" s="1"/>
  <c r="AH541" i="3" l="1"/>
  <c r="E541" i="3"/>
  <c r="H541" i="3" s="1"/>
  <c r="D541" i="3"/>
  <c r="K541" i="3" l="1"/>
  <c r="AE541" i="3" s="1"/>
  <c r="F541" i="3"/>
  <c r="G541" i="3"/>
  <c r="I541" i="3" l="1"/>
  <c r="J541" i="3"/>
  <c r="M541" i="3"/>
  <c r="N541" i="3" s="1"/>
  <c r="V541" i="3"/>
  <c r="A542" i="3"/>
  <c r="B542" i="3" s="1"/>
  <c r="W541" i="3" l="1"/>
  <c r="L541" i="3"/>
  <c r="AC542" i="3"/>
  <c r="P542" i="3"/>
  <c r="Q542" i="3" s="1"/>
  <c r="R542" i="3" s="1"/>
  <c r="S542" i="3" s="1"/>
  <c r="AA542" i="3"/>
  <c r="Z542" i="3"/>
  <c r="AD542" i="3"/>
  <c r="T542" i="3" l="1"/>
  <c r="AH542" i="3" s="1"/>
  <c r="U541" i="3"/>
  <c r="Y540" i="3"/>
  <c r="E542" i="3" l="1"/>
  <c r="H542" i="3" s="1"/>
  <c r="K542" i="3" s="1"/>
  <c r="AE542" i="3" s="1"/>
  <c r="AG542" i="3"/>
  <c r="D542" i="3"/>
  <c r="F542" i="3" l="1"/>
  <c r="G542" i="3"/>
  <c r="V542" i="3"/>
  <c r="A543" i="3"/>
  <c r="B543" i="3" s="1"/>
  <c r="P543" i="3" l="1"/>
  <c r="Q543" i="3" s="1"/>
  <c r="R543" i="3" s="1"/>
  <c r="S543" i="3" s="1"/>
  <c r="AD543" i="3"/>
  <c r="Z543" i="3"/>
  <c r="AA543" i="3"/>
  <c r="AC543" i="3"/>
  <c r="I542" i="3"/>
  <c r="W542" i="3" s="1"/>
  <c r="J542" i="3"/>
  <c r="M542" i="3"/>
  <c r="N542" i="3" s="1"/>
  <c r="T543" i="3" l="1"/>
  <c r="L542" i="3"/>
  <c r="AH543" i="3" l="1"/>
  <c r="U542" i="3"/>
  <c r="E543" i="3" s="1"/>
  <c r="H543" i="3" s="1"/>
  <c r="AG543" i="3"/>
  <c r="Y541" i="3"/>
  <c r="D543" i="3" l="1"/>
  <c r="G543" i="3" s="1"/>
  <c r="K543" i="3"/>
  <c r="AE543" i="3" s="1"/>
  <c r="F543" i="3" l="1"/>
  <c r="I543" i="3"/>
  <c r="J543" i="3"/>
  <c r="M543" i="3"/>
  <c r="N543" i="3" s="1"/>
  <c r="V543" i="3"/>
  <c r="A544" i="3"/>
  <c r="B544" i="3" s="1"/>
  <c r="W543" i="3" l="1"/>
  <c r="L543" i="3"/>
  <c r="P544" i="3"/>
  <c r="Q544" i="3" s="1"/>
  <c r="R544" i="3" s="1"/>
  <c r="S544" i="3" s="1"/>
  <c r="Z544" i="3"/>
  <c r="AC544" i="3"/>
  <c r="AA544" i="3"/>
  <c r="U543" i="3" l="1"/>
  <c r="Y542" i="3"/>
  <c r="T544" i="3"/>
  <c r="AG544" i="3" s="1"/>
  <c r="E544" i="3" l="1"/>
  <c r="H544" i="3" s="1"/>
  <c r="D544" i="3"/>
  <c r="AH544" i="3"/>
  <c r="K544" i="3" l="1"/>
  <c r="AE544" i="3" s="1"/>
  <c r="F544" i="3"/>
  <c r="G544" i="3"/>
  <c r="I544" i="3" l="1"/>
  <c r="J544" i="3"/>
  <c r="AD544" i="3" s="1"/>
  <c r="M544" i="3"/>
  <c r="N544" i="3" s="1"/>
  <c r="V544" i="3"/>
  <c r="A545" i="3"/>
  <c r="B545" i="3" s="1"/>
  <c r="W544" i="3" l="1"/>
  <c r="L544" i="3"/>
  <c r="Z545" i="3"/>
  <c r="AA545" i="3"/>
  <c r="AD545" i="3"/>
  <c r="AC545" i="3"/>
  <c r="P545" i="3"/>
  <c r="Q545" i="3" s="1"/>
  <c r="R545" i="3" s="1"/>
  <c r="S545" i="3" s="1"/>
  <c r="U544" i="3" l="1"/>
  <c r="Y543" i="3"/>
  <c r="T545" i="3"/>
  <c r="AH545" i="3" s="1"/>
  <c r="E545" i="3" l="1"/>
  <c r="H545" i="3" s="1"/>
  <c r="K545" i="3" s="1"/>
  <c r="AE545" i="3" s="1"/>
  <c r="D545" i="3"/>
  <c r="AG545" i="3"/>
  <c r="V545" i="3" l="1"/>
  <c r="A546" i="3"/>
  <c r="B546" i="3" s="1"/>
  <c r="F545" i="3"/>
  <c r="G545" i="3"/>
  <c r="I545" i="3" l="1"/>
  <c r="W545" i="3" s="1"/>
  <c r="J545" i="3"/>
  <c r="M545" i="3"/>
  <c r="N545" i="3" s="1"/>
  <c r="AC546" i="3"/>
  <c r="P546" i="3"/>
  <c r="Q546" i="3" s="1"/>
  <c r="R546" i="3" s="1"/>
  <c r="S546" i="3" s="1"/>
  <c r="Z546" i="3"/>
  <c r="AA546" i="3"/>
  <c r="AD546" i="3"/>
  <c r="T546" i="3" l="1"/>
  <c r="L545" i="3"/>
  <c r="U545" i="3" l="1"/>
  <c r="D546" i="3" s="1"/>
  <c r="AG546" i="3"/>
  <c r="AH546" i="3"/>
  <c r="Y544" i="3"/>
  <c r="E546" i="3" l="1"/>
  <c r="H546" i="3" s="1"/>
  <c r="K546" i="3" s="1"/>
  <c r="AE546" i="3" s="1"/>
  <c r="G546" i="3"/>
  <c r="F546" i="3" l="1"/>
  <c r="V546" i="3"/>
  <c r="A547" i="3"/>
  <c r="B547" i="3" s="1"/>
  <c r="I546" i="3"/>
  <c r="J546" i="3"/>
  <c r="M546" i="3"/>
  <c r="N546" i="3" s="1"/>
  <c r="W546" i="3" l="1"/>
  <c r="L546" i="3"/>
  <c r="AC547" i="3"/>
  <c r="AD547" i="3"/>
  <c r="P547" i="3"/>
  <c r="Q547" i="3" s="1"/>
  <c r="R547" i="3" s="1"/>
  <c r="S547" i="3" s="1"/>
  <c r="AA547" i="3"/>
  <c r="Z547" i="3"/>
  <c r="U546" i="3" l="1"/>
  <c r="Y545" i="3"/>
  <c r="T547" i="3"/>
  <c r="AG547" i="3" s="1"/>
  <c r="E547" i="3" l="1"/>
  <c r="H547" i="3" s="1"/>
  <c r="K547" i="3" s="1"/>
  <c r="AE547" i="3" s="1"/>
  <c r="D547" i="3"/>
  <c r="G547" i="3" s="1"/>
  <c r="AH547" i="3"/>
  <c r="F547" i="3" l="1"/>
  <c r="I547" i="3"/>
  <c r="J547" i="3"/>
  <c r="M547" i="3"/>
  <c r="N547" i="3" s="1"/>
  <c r="V547" i="3"/>
  <c r="A548" i="3"/>
  <c r="B548" i="3" s="1"/>
  <c r="W547" i="3" l="1"/>
  <c r="L547" i="3"/>
  <c r="Z548" i="3"/>
  <c r="AA548" i="3"/>
  <c r="P548" i="3"/>
  <c r="Q548" i="3" s="1"/>
  <c r="R548" i="3" s="1"/>
  <c r="S548" i="3" s="1"/>
  <c r="AC548" i="3"/>
  <c r="AD548" i="3"/>
  <c r="U547" i="3" l="1"/>
  <c r="Y546" i="3"/>
  <c r="T548" i="3"/>
  <c r="E548" i="3" l="1"/>
  <c r="H548" i="3" s="1"/>
  <c r="K548" i="3" s="1"/>
  <c r="AE548" i="3" s="1"/>
  <c r="D548" i="3"/>
  <c r="AG548" i="3"/>
  <c r="AH548" i="3"/>
  <c r="V548" i="3" l="1"/>
  <c r="A549" i="3"/>
  <c r="B549" i="3" s="1"/>
  <c r="F548" i="3"/>
  <c r="G548" i="3"/>
  <c r="I548" i="3" l="1"/>
  <c r="W548" i="3" s="1"/>
  <c r="J548" i="3"/>
  <c r="M548" i="3"/>
  <c r="N548" i="3" s="1"/>
  <c r="P549" i="3"/>
  <c r="Q549" i="3" s="1"/>
  <c r="R549" i="3" s="1"/>
  <c r="S549" i="3" s="1"/>
  <c r="AC549" i="3"/>
  <c r="AA549" i="3"/>
  <c r="Z549" i="3"/>
  <c r="AD549" i="3"/>
  <c r="T549" i="3" l="1"/>
  <c r="L548" i="3"/>
  <c r="AH549" i="3" l="1"/>
  <c r="U548" i="3"/>
  <c r="E549" i="3" s="1"/>
  <c r="H549" i="3" s="1"/>
  <c r="AG549" i="3"/>
  <c r="Y547" i="3"/>
  <c r="K549" i="3" l="1"/>
  <c r="AE549" i="3" s="1"/>
  <c r="D549" i="3"/>
  <c r="V549" i="3" l="1"/>
  <c r="A550" i="3"/>
  <c r="B550" i="3" s="1"/>
  <c r="F549" i="3"/>
  <c r="G549" i="3"/>
  <c r="I549" i="3" l="1"/>
  <c r="W549" i="3" s="1"/>
  <c r="J549" i="3"/>
  <c r="M549" i="3"/>
  <c r="N549" i="3" s="1"/>
  <c r="P550" i="3"/>
  <c r="Q550" i="3" s="1"/>
  <c r="R550" i="3" s="1"/>
  <c r="S550" i="3" s="1"/>
  <c r="AA550" i="3"/>
  <c r="AC550" i="3"/>
  <c r="Z550" i="3"/>
  <c r="AD550" i="3"/>
  <c r="T550" i="3" l="1"/>
  <c r="L549" i="3"/>
  <c r="U549" i="3" l="1"/>
  <c r="D550" i="3" s="1"/>
  <c r="AH550" i="3"/>
  <c r="AG550" i="3"/>
  <c r="Y548" i="3"/>
  <c r="E550" i="3" l="1"/>
  <c r="H550" i="3" s="1"/>
  <c r="K550" i="3" s="1"/>
  <c r="AE550" i="3" s="1"/>
  <c r="G550" i="3"/>
  <c r="F550" i="3" l="1"/>
  <c r="I550" i="3"/>
  <c r="J550" i="3"/>
  <c r="M550" i="3"/>
  <c r="N550" i="3" s="1"/>
  <c r="V550" i="3"/>
  <c r="A551" i="3"/>
  <c r="B551" i="3" s="1"/>
  <c r="W550" i="3" l="1"/>
  <c r="L550" i="3"/>
  <c r="AD551" i="3"/>
  <c r="P551" i="3"/>
  <c r="Q551" i="3" s="1"/>
  <c r="R551" i="3" s="1"/>
  <c r="S551" i="3" s="1"/>
  <c r="AC551" i="3"/>
  <c r="AA551" i="3"/>
  <c r="Z551" i="3"/>
  <c r="T551" i="3" l="1"/>
  <c r="AG551" i="3" s="1"/>
  <c r="U550" i="3"/>
  <c r="Y549" i="3"/>
  <c r="D551" i="3" l="1"/>
  <c r="G551" i="3" s="1"/>
  <c r="AH551" i="3"/>
  <c r="E551" i="3"/>
  <c r="H551" i="3" s="1"/>
  <c r="F551" i="3" l="1"/>
  <c r="I551" i="3"/>
  <c r="J551" i="3"/>
  <c r="M551" i="3"/>
  <c r="N551" i="3" s="1"/>
  <c r="K551" i="3"/>
  <c r="AE551" i="3" s="1"/>
  <c r="V551" i="3" l="1"/>
  <c r="W551" i="3" s="1"/>
  <c r="A552" i="3"/>
  <c r="B552" i="3" s="1"/>
  <c r="L551" i="3"/>
  <c r="U551" i="3" l="1"/>
  <c r="Y550" i="3"/>
  <c r="AA552" i="3"/>
  <c r="P552" i="3"/>
  <c r="Q552" i="3" s="1"/>
  <c r="R552" i="3" s="1"/>
  <c r="S552" i="3" s="1"/>
  <c r="AC552" i="3"/>
  <c r="Z552" i="3"/>
  <c r="AD552" i="3"/>
  <c r="T552" i="3" l="1"/>
  <c r="D552" i="3" s="1"/>
  <c r="AG552" i="3" l="1"/>
  <c r="AH552" i="3"/>
  <c r="E552" i="3"/>
  <c r="H552" i="3" s="1"/>
  <c r="K552" i="3" s="1"/>
  <c r="AE552" i="3" s="1"/>
  <c r="G552" i="3"/>
  <c r="F552" i="3" l="1"/>
  <c r="I552" i="3"/>
  <c r="J552" i="3"/>
  <c r="M552" i="3"/>
  <c r="N552" i="3" s="1"/>
  <c r="V552" i="3"/>
  <c r="A553" i="3"/>
  <c r="B553" i="3" s="1"/>
  <c r="W552" i="3" l="1"/>
  <c r="L552" i="3"/>
  <c r="P553" i="3"/>
  <c r="Q553" i="3" s="1"/>
  <c r="R553" i="3" s="1"/>
  <c r="S553" i="3" s="1"/>
  <c r="Z553" i="3"/>
  <c r="AC553" i="3"/>
  <c r="AA553" i="3"/>
  <c r="AD553" i="3"/>
  <c r="T553" i="3" l="1"/>
  <c r="U552" i="3"/>
  <c r="Y551" i="3"/>
  <c r="D553" i="3" l="1"/>
  <c r="G553" i="3" s="1"/>
  <c r="AH553" i="3"/>
  <c r="AG553" i="3"/>
  <c r="E553" i="3"/>
  <c r="H553" i="3" s="1"/>
  <c r="K553" i="3" l="1"/>
  <c r="AE553" i="3" s="1"/>
  <c r="F553" i="3"/>
  <c r="I553" i="3"/>
  <c r="J553" i="3"/>
  <c r="M553" i="3"/>
  <c r="N553" i="3" s="1"/>
  <c r="V553" i="3" l="1"/>
  <c r="W553" i="3" s="1"/>
  <c r="A554" i="3"/>
  <c r="B554" i="3" s="1"/>
  <c r="L553" i="3"/>
  <c r="U553" i="3" l="1"/>
  <c r="Y552" i="3"/>
  <c r="AA554" i="3"/>
  <c r="AC554" i="3"/>
  <c r="P554" i="3"/>
  <c r="Q554" i="3" s="1"/>
  <c r="R554" i="3" s="1"/>
  <c r="S554" i="3" s="1"/>
  <c r="Z554" i="3"/>
  <c r="T554" i="3" l="1"/>
  <c r="AH554" i="3" s="1"/>
  <c r="E554" i="3" l="1"/>
  <c r="H554" i="3" s="1"/>
  <c r="K554" i="3" s="1"/>
  <c r="AE554" i="3" s="1"/>
  <c r="AG554" i="3"/>
  <c r="D554" i="3"/>
  <c r="V554" i="3" l="1"/>
  <c r="A555" i="3"/>
  <c r="B555" i="3" s="1"/>
  <c r="F554" i="3"/>
  <c r="G554" i="3"/>
  <c r="I554" i="3" l="1"/>
  <c r="W554" i="3" s="1"/>
  <c r="J554" i="3"/>
  <c r="AD554" i="3" s="1"/>
  <c r="M554" i="3"/>
  <c r="N554" i="3" s="1"/>
  <c r="AA555" i="3"/>
  <c r="Z555" i="3"/>
  <c r="AC555" i="3"/>
  <c r="P555" i="3"/>
  <c r="Q555" i="3" s="1"/>
  <c r="R555" i="3" s="1"/>
  <c r="S555" i="3" s="1"/>
  <c r="AD555" i="3"/>
  <c r="L554" i="3" l="1"/>
  <c r="T555" i="3"/>
  <c r="U554" i="3" l="1"/>
  <c r="E555" i="3" s="1"/>
  <c r="H555" i="3" s="1"/>
  <c r="AG555" i="3"/>
  <c r="AH555" i="3"/>
  <c r="Y553" i="3"/>
  <c r="K555" i="3" l="1"/>
  <c r="AE555" i="3" s="1"/>
  <c r="D555" i="3"/>
  <c r="F555" i="3" l="1"/>
  <c r="G555" i="3"/>
  <c r="V555" i="3"/>
  <c r="A556" i="3"/>
  <c r="B556" i="3" s="1"/>
  <c r="P556" i="3" l="1"/>
  <c r="Q556" i="3" s="1"/>
  <c r="R556" i="3" s="1"/>
  <c r="S556" i="3" s="1"/>
  <c r="AA556" i="3"/>
  <c r="AD556" i="3"/>
  <c r="Z556" i="3"/>
  <c r="AC556" i="3"/>
  <c r="I555" i="3"/>
  <c r="W555" i="3" s="1"/>
  <c r="J555" i="3"/>
  <c r="M555" i="3"/>
  <c r="N555" i="3" s="1"/>
  <c r="T556" i="3" l="1"/>
  <c r="L555" i="3"/>
  <c r="AH556" i="3" l="1"/>
  <c r="U555" i="3"/>
  <c r="D556" i="3" s="1"/>
  <c r="AG556" i="3"/>
  <c r="Y554" i="3"/>
  <c r="E556" i="3" l="1"/>
  <c r="H556" i="3" s="1"/>
  <c r="K556" i="3" s="1"/>
  <c r="AE556" i="3" s="1"/>
  <c r="G556" i="3"/>
  <c r="F556" i="3" l="1"/>
  <c r="I556" i="3"/>
  <c r="J556" i="3"/>
  <c r="M556" i="3"/>
  <c r="N556" i="3" s="1"/>
  <c r="V556" i="3"/>
  <c r="A557" i="3"/>
  <c r="B557" i="3" s="1"/>
  <c r="W556" i="3" l="1"/>
  <c r="L556" i="3"/>
  <c r="AD557" i="3"/>
  <c r="P557" i="3"/>
  <c r="Q557" i="3" s="1"/>
  <c r="R557" i="3" s="1"/>
  <c r="S557" i="3" s="1"/>
  <c r="AA557" i="3"/>
  <c r="AC557" i="3"/>
  <c r="Z557" i="3"/>
  <c r="U556" i="3" l="1"/>
  <c r="Y555" i="3"/>
  <c r="T557" i="3"/>
  <c r="AH557" i="3" s="1"/>
  <c r="D557" i="3" l="1"/>
  <c r="G557" i="3" s="1"/>
  <c r="AG557" i="3"/>
  <c r="E557" i="3"/>
  <c r="H557" i="3" s="1"/>
  <c r="K557" i="3" s="1"/>
  <c r="AE557" i="3" s="1"/>
  <c r="F557" i="3" l="1"/>
  <c r="I557" i="3"/>
  <c r="J557" i="3"/>
  <c r="M557" i="3"/>
  <c r="N557" i="3" s="1"/>
  <c r="V557" i="3"/>
  <c r="A558" i="3"/>
  <c r="B558" i="3" s="1"/>
  <c r="W557" i="3" l="1"/>
  <c r="L557" i="3"/>
  <c r="AA558" i="3"/>
  <c r="AD558" i="3"/>
  <c r="P558" i="3"/>
  <c r="Q558" i="3" s="1"/>
  <c r="R558" i="3" s="1"/>
  <c r="S558" i="3" s="1"/>
  <c r="Z558" i="3"/>
  <c r="AC558" i="3"/>
  <c r="T558" i="3" l="1"/>
  <c r="AG558" i="3" s="1"/>
  <c r="U557" i="3"/>
  <c r="Y556" i="3"/>
  <c r="E558" i="3" l="1"/>
  <c r="H558" i="3" s="1"/>
  <c r="AH558" i="3"/>
  <c r="D558" i="3"/>
  <c r="F558" i="3" l="1"/>
  <c r="G558" i="3"/>
  <c r="K558" i="3"/>
  <c r="AE558" i="3" s="1"/>
  <c r="I558" i="3" l="1"/>
  <c r="J558" i="3"/>
  <c r="M558" i="3"/>
  <c r="N558" i="3" s="1"/>
  <c r="V558" i="3"/>
  <c r="A559" i="3"/>
  <c r="B559" i="3" s="1"/>
  <c r="W558" i="3" l="1"/>
  <c r="L558" i="3"/>
  <c r="AC559" i="3"/>
  <c r="P559" i="3"/>
  <c r="Q559" i="3" s="1"/>
  <c r="R559" i="3" s="1"/>
  <c r="S559" i="3" s="1"/>
  <c r="AA559" i="3"/>
  <c r="Z559" i="3"/>
  <c r="AD559" i="3"/>
  <c r="T559" i="3" l="1"/>
  <c r="U558" i="3"/>
  <c r="Y557" i="3"/>
  <c r="E559" i="3" l="1"/>
  <c r="H559" i="3" s="1"/>
  <c r="K559" i="3" s="1"/>
  <c r="AE559" i="3" s="1"/>
  <c r="AH559" i="3"/>
  <c r="AG559" i="3"/>
  <c r="D559" i="3"/>
  <c r="V559" i="3" l="1"/>
  <c r="A560" i="3"/>
  <c r="B560" i="3" s="1"/>
  <c r="F559" i="3"/>
  <c r="G559" i="3"/>
  <c r="I559" i="3" l="1"/>
  <c r="W559" i="3" s="1"/>
  <c r="J559" i="3"/>
  <c r="M559" i="3"/>
  <c r="N559" i="3" s="1"/>
  <c r="AD560" i="3"/>
  <c r="Z560" i="3"/>
  <c r="AC560" i="3"/>
  <c r="AA560" i="3"/>
  <c r="P560" i="3"/>
  <c r="Q560" i="3" s="1"/>
  <c r="R560" i="3" s="1"/>
  <c r="S560" i="3" s="1"/>
  <c r="T560" i="3" l="1"/>
  <c r="L559" i="3"/>
  <c r="AG560" i="3" l="1"/>
  <c r="U559" i="3"/>
  <c r="D560" i="3" s="1"/>
  <c r="AH560" i="3"/>
  <c r="Y558" i="3"/>
  <c r="E560" i="3" l="1"/>
  <c r="H560" i="3" s="1"/>
  <c r="K560" i="3" s="1"/>
  <c r="AE560" i="3" s="1"/>
  <c r="G560" i="3"/>
  <c r="F560" i="3" l="1"/>
  <c r="V560" i="3"/>
  <c r="A561" i="3"/>
  <c r="B561" i="3" s="1"/>
  <c r="I560" i="3"/>
  <c r="J560" i="3"/>
  <c r="M560" i="3"/>
  <c r="N560" i="3" s="1"/>
  <c r="W560" i="3" l="1"/>
  <c r="L560" i="3"/>
  <c r="AA561" i="3"/>
  <c r="P561" i="3"/>
  <c r="Q561" i="3" s="1"/>
  <c r="R561" i="3" s="1"/>
  <c r="S561" i="3" s="1"/>
  <c r="Z561" i="3"/>
  <c r="AD561" i="3"/>
  <c r="AC561" i="3"/>
  <c r="U560" i="3" l="1"/>
  <c r="Y559" i="3"/>
  <c r="T561" i="3"/>
  <c r="E561" i="3" l="1"/>
  <c r="H561" i="3" s="1"/>
  <c r="K561" i="3" s="1"/>
  <c r="AE561" i="3" s="1"/>
  <c r="D561" i="3"/>
  <c r="AH561" i="3"/>
  <c r="AG561" i="3"/>
  <c r="F561" i="3" l="1"/>
  <c r="G561" i="3"/>
  <c r="M561" i="3" s="1"/>
  <c r="N561" i="3" s="1"/>
  <c r="V561" i="3"/>
  <c r="A562" i="3"/>
  <c r="B562" i="3" s="1"/>
  <c r="I561" i="3" l="1"/>
  <c r="W561" i="3" s="1"/>
  <c r="J561" i="3"/>
  <c r="L561" i="3" s="1"/>
  <c r="Z562" i="3"/>
  <c r="AA562" i="3"/>
  <c r="AD562" i="3"/>
  <c r="P562" i="3"/>
  <c r="Q562" i="3" s="1"/>
  <c r="R562" i="3" s="1"/>
  <c r="S562" i="3" s="1"/>
  <c r="AC562" i="3"/>
  <c r="U561" i="3" l="1"/>
  <c r="Y560" i="3"/>
  <c r="T562" i="3"/>
  <c r="AH562" i="3" s="1"/>
  <c r="AG562" i="3" l="1"/>
  <c r="E562" i="3"/>
  <c r="H562" i="3" s="1"/>
  <c r="K562" i="3" s="1"/>
  <c r="AE562" i="3" s="1"/>
  <c r="D562" i="3"/>
  <c r="F562" i="3" l="1"/>
  <c r="G562" i="3"/>
  <c r="J562" i="3" s="1"/>
  <c r="V562" i="3"/>
  <c r="A563" i="3"/>
  <c r="B563" i="3" s="1"/>
  <c r="M562" i="3" l="1"/>
  <c r="N562" i="3" s="1"/>
  <c r="I562" i="3"/>
  <c r="W562" i="3" s="1"/>
  <c r="L562" i="3"/>
  <c r="Z563" i="3"/>
  <c r="P563" i="3"/>
  <c r="Q563" i="3" s="1"/>
  <c r="R563" i="3" s="1"/>
  <c r="S563" i="3" s="1"/>
  <c r="AC563" i="3"/>
  <c r="AA563" i="3"/>
  <c r="AD563" i="3"/>
  <c r="U562" i="3" l="1"/>
  <c r="Y561" i="3"/>
  <c r="T563" i="3"/>
  <c r="AH563" i="3" s="1"/>
  <c r="AG563" i="3" l="1"/>
  <c r="D563" i="3"/>
  <c r="E563" i="3"/>
  <c r="H563" i="3" s="1"/>
  <c r="K563" i="3" s="1"/>
  <c r="AE563" i="3" s="1"/>
  <c r="F563" i="3" l="1"/>
  <c r="G563" i="3"/>
  <c r="M563" i="3" s="1"/>
  <c r="N563" i="3" s="1"/>
  <c r="V563" i="3"/>
  <c r="A564" i="3"/>
  <c r="B564" i="3" s="1"/>
  <c r="I563" i="3" l="1"/>
  <c r="W563" i="3" s="1"/>
  <c r="J563" i="3"/>
  <c r="L563" i="3" s="1"/>
  <c r="Z564" i="3"/>
  <c r="P564" i="3"/>
  <c r="Q564" i="3" s="1"/>
  <c r="R564" i="3" s="1"/>
  <c r="S564" i="3" s="1"/>
  <c r="AC564" i="3"/>
  <c r="AA564" i="3"/>
  <c r="U563" i="3" l="1"/>
  <c r="Y562" i="3"/>
  <c r="T564" i="3"/>
  <c r="AH564" i="3" s="1"/>
  <c r="D564" i="3" l="1"/>
  <c r="E564" i="3"/>
  <c r="H564" i="3" s="1"/>
  <c r="AG564" i="3"/>
  <c r="K564" i="3" l="1"/>
  <c r="AE564" i="3" s="1"/>
  <c r="F564" i="3"/>
  <c r="G564" i="3"/>
  <c r="V564" i="3" l="1"/>
  <c r="A565" i="3"/>
  <c r="B565" i="3" s="1"/>
  <c r="I564" i="3"/>
  <c r="J564" i="3"/>
  <c r="AD564" i="3" s="1"/>
  <c r="M564" i="3"/>
  <c r="N564" i="3" s="1"/>
  <c r="W564" i="3" l="1"/>
  <c r="L564" i="3"/>
  <c r="Z565" i="3"/>
  <c r="AC565" i="3"/>
  <c r="P565" i="3"/>
  <c r="Q565" i="3" s="1"/>
  <c r="R565" i="3" s="1"/>
  <c r="S565" i="3" s="1"/>
  <c r="AA565" i="3"/>
  <c r="AD565" i="3"/>
  <c r="U564" i="3" l="1"/>
  <c r="Y563" i="3"/>
  <c r="T565" i="3"/>
  <c r="E565" i="3" l="1"/>
  <c r="H565" i="3" s="1"/>
  <c r="K565" i="3" s="1"/>
  <c r="AE565" i="3" s="1"/>
  <c r="D565" i="3"/>
  <c r="AG565" i="3"/>
  <c r="AH565" i="3"/>
  <c r="V565" i="3" l="1"/>
  <c r="A566" i="3"/>
  <c r="B566" i="3" s="1"/>
  <c r="F565" i="3"/>
  <c r="G565" i="3"/>
  <c r="I565" i="3" l="1"/>
  <c r="W565" i="3" s="1"/>
  <c r="J565" i="3"/>
  <c r="M565" i="3"/>
  <c r="N565" i="3" s="1"/>
  <c r="AD566" i="3"/>
  <c r="Z566" i="3"/>
  <c r="AA566" i="3"/>
  <c r="P566" i="3"/>
  <c r="Q566" i="3" s="1"/>
  <c r="R566" i="3" s="1"/>
  <c r="S566" i="3" s="1"/>
  <c r="AC566" i="3"/>
  <c r="L565" i="3" l="1"/>
  <c r="T566" i="3"/>
  <c r="AG566" i="3" l="1"/>
  <c r="AH566" i="3"/>
  <c r="U565" i="3"/>
  <c r="D566" i="3" s="1"/>
  <c r="Y564" i="3"/>
  <c r="G566" i="3" l="1"/>
  <c r="E566" i="3"/>
  <c r="H566" i="3" s="1"/>
  <c r="F566" i="3" l="1"/>
  <c r="I566" i="3"/>
  <c r="J566" i="3"/>
  <c r="M566" i="3"/>
  <c r="N566" i="3" s="1"/>
  <c r="K566" i="3"/>
  <c r="AE566" i="3" s="1"/>
  <c r="V566" i="3" l="1"/>
  <c r="W566" i="3" s="1"/>
  <c r="A567" i="3"/>
  <c r="B567" i="3" s="1"/>
  <c r="L566" i="3"/>
  <c r="U566" i="3" l="1"/>
  <c r="Y565" i="3"/>
  <c r="P567" i="3"/>
  <c r="Q567" i="3" s="1"/>
  <c r="R567" i="3" s="1"/>
  <c r="S567" i="3" s="1"/>
  <c r="AA567" i="3"/>
  <c r="AD567" i="3"/>
  <c r="Z567" i="3"/>
  <c r="AC567" i="3"/>
  <c r="T567" i="3" l="1"/>
  <c r="AG567" i="3" s="1"/>
  <c r="AH567" i="3" l="1"/>
  <c r="E567" i="3"/>
  <c r="H567" i="3" s="1"/>
  <c r="K567" i="3" s="1"/>
  <c r="AE567" i="3" s="1"/>
  <c r="D567" i="3"/>
  <c r="G567" i="3" s="1"/>
  <c r="F567" i="3" l="1"/>
  <c r="I567" i="3"/>
  <c r="J567" i="3"/>
  <c r="M567" i="3"/>
  <c r="N567" i="3" s="1"/>
  <c r="V567" i="3"/>
  <c r="A568" i="3"/>
  <c r="B568" i="3" s="1"/>
  <c r="W567" i="3" l="1"/>
  <c r="L567" i="3"/>
  <c r="AC568" i="3"/>
  <c r="AD568" i="3"/>
  <c r="P568" i="3"/>
  <c r="Q568" i="3" s="1"/>
  <c r="R568" i="3" s="1"/>
  <c r="S568" i="3" s="1"/>
  <c r="AA568" i="3"/>
  <c r="Z568" i="3"/>
  <c r="U567" i="3" l="1"/>
  <c r="Y566" i="3"/>
  <c r="T568" i="3"/>
  <c r="AG568" i="3" s="1"/>
  <c r="D568" i="3" l="1"/>
  <c r="G568" i="3" s="1"/>
  <c r="E568" i="3"/>
  <c r="H568" i="3" s="1"/>
  <c r="K568" i="3" s="1"/>
  <c r="AE568" i="3" s="1"/>
  <c r="AH568" i="3"/>
  <c r="F568" i="3" l="1"/>
  <c r="V568" i="3"/>
  <c r="A569" i="3"/>
  <c r="B569" i="3" s="1"/>
  <c r="I568" i="3"/>
  <c r="J568" i="3"/>
  <c r="M568" i="3"/>
  <c r="N568" i="3" s="1"/>
  <c r="L568" i="3" l="1"/>
  <c r="W568" i="3"/>
  <c r="AA569" i="3"/>
  <c r="AD569" i="3"/>
  <c r="P569" i="3"/>
  <c r="Q569" i="3" s="1"/>
  <c r="R569" i="3" s="1"/>
  <c r="S569" i="3" s="1"/>
  <c r="AC569" i="3"/>
  <c r="Z569" i="3"/>
  <c r="T569" i="3" l="1"/>
  <c r="AH569" i="3" s="1"/>
  <c r="U568" i="3"/>
  <c r="Y567" i="3"/>
  <c r="D569" i="3" l="1"/>
  <c r="G569" i="3" s="1"/>
  <c r="AG569" i="3"/>
  <c r="E569" i="3"/>
  <c r="H569" i="3" s="1"/>
  <c r="F569" i="3" l="1"/>
  <c r="I569" i="3"/>
  <c r="J569" i="3"/>
  <c r="M569" i="3"/>
  <c r="N569" i="3" s="1"/>
  <c r="K569" i="3"/>
  <c r="AE569" i="3" s="1"/>
  <c r="L569" i="3" l="1"/>
  <c r="V569" i="3"/>
  <c r="W569" i="3" s="1"/>
  <c r="A570" i="3"/>
  <c r="B570" i="3" s="1"/>
  <c r="AC570" i="3" l="1"/>
  <c r="P570" i="3"/>
  <c r="Q570" i="3" s="1"/>
  <c r="R570" i="3" s="1"/>
  <c r="S570" i="3" s="1"/>
  <c r="AD570" i="3"/>
  <c r="Z570" i="3"/>
  <c r="AA570" i="3"/>
  <c r="U569" i="3"/>
  <c r="Y568" i="3"/>
  <c r="T570" i="3" l="1"/>
  <c r="D570" i="3" l="1"/>
  <c r="E570" i="3"/>
  <c r="H570" i="3" s="1"/>
  <c r="AG570" i="3"/>
  <c r="AH570" i="3"/>
  <c r="F570" i="3" l="1"/>
  <c r="G570" i="3"/>
  <c r="K570" i="3"/>
  <c r="AE570" i="3" s="1"/>
  <c r="V570" i="3" l="1"/>
  <c r="A571" i="3"/>
  <c r="B571" i="3" s="1"/>
  <c r="I570" i="3"/>
  <c r="J570" i="3"/>
  <c r="M570" i="3"/>
  <c r="N570" i="3" s="1"/>
  <c r="W570" i="3" l="1"/>
  <c r="L570" i="3"/>
  <c r="P571" i="3"/>
  <c r="Q571" i="3" s="1"/>
  <c r="R571" i="3" s="1"/>
  <c r="S571" i="3" s="1"/>
  <c r="AD571" i="3"/>
  <c r="AA571" i="3"/>
  <c r="Z571" i="3"/>
  <c r="AC571" i="3"/>
  <c r="U570" i="3" l="1"/>
  <c r="Y569" i="3"/>
  <c r="T571" i="3"/>
  <c r="D571" i="3" l="1"/>
  <c r="G571" i="3" s="1"/>
  <c r="AG571" i="3"/>
  <c r="AH571" i="3"/>
  <c r="E571" i="3"/>
  <c r="H571" i="3" s="1"/>
  <c r="K571" i="3" s="1"/>
  <c r="AE571" i="3" s="1"/>
  <c r="F571" i="3" l="1"/>
  <c r="V571" i="3"/>
  <c r="A572" i="3"/>
  <c r="B572" i="3" s="1"/>
  <c r="I571" i="3"/>
  <c r="J571" i="3"/>
  <c r="M571" i="3"/>
  <c r="N571" i="3" s="1"/>
  <c r="W571" i="3" l="1"/>
  <c r="L571" i="3"/>
  <c r="AC572" i="3"/>
  <c r="AD572" i="3"/>
  <c r="P572" i="3"/>
  <c r="Q572" i="3" s="1"/>
  <c r="R572" i="3" s="1"/>
  <c r="S572" i="3" s="1"/>
  <c r="AA572" i="3"/>
  <c r="Z572" i="3"/>
  <c r="T572" i="3" l="1"/>
  <c r="AH572" i="3" s="1"/>
  <c r="U571" i="3"/>
  <c r="Y570" i="3"/>
  <c r="E572" i="3" l="1"/>
  <c r="H572" i="3" s="1"/>
  <c r="AG572" i="3"/>
  <c r="D572" i="3"/>
  <c r="F572" i="3" l="1"/>
  <c r="G572" i="3"/>
  <c r="K572" i="3"/>
  <c r="AE572" i="3" s="1"/>
  <c r="V572" i="3" l="1"/>
  <c r="A573" i="3"/>
  <c r="B573" i="3" s="1"/>
  <c r="I572" i="3"/>
  <c r="J572" i="3"/>
  <c r="M572" i="3"/>
  <c r="N572" i="3" s="1"/>
  <c r="W572" i="3" l="1"/>
  <c r="L572" i="3"/>
  <c r="P573" i="3"/>
  <c r="Q573" i="3" s="1"/>
  <c r="R573" i="3" s="1"/>
  <c r="S573" i="3" s="1"/>
  <c r="Z573" i="3"/>
  <c r="AC573" i="3"/>
  <c r="AA573" i="3"/>
  <c r="AD573" i="3"/>
  <c r="U572" i="3" l="1"/>
  <c r="Y571" i="3"/>
  <c r="T573" i="3"/>
  <c r="E573" i="3" l="1"/>
  <c r="H573" i="3" s="1"/>
  <c r="K573" i="3" s="1"/>
  <c r="AE573" i="3" s="1"/>
  <c r="D573" i="3"/>
  <c r="AH573" i="3"/>
  <c r="AG573" i="3"/>
  <c r="F573" i="3" l="1"/>
  <c r="G573" i="3"/>
  <c r="I573" i="3" s="1"/>
  <c r="V573" i="3"/>
  <c r="A574" i="3"/>
  <c r="B574" i="3" s="1"/>
  <c r="J573" i="3" l="1"/>
  <c r="L573" i="3" s="1"/>
  <c r="M573" i="3"/>
  <c r="N573" i="3" s="1"/>
  <c r="W573" i="3"/>
  <c r="AA574" i="3"/>
  <c r="Z574" i="3"/>
  <c r="P574" i="3"/>
  <c r="Q574" i="3" s="1"/>
  <c r="R574" i="3" s="1"/>
  <c r="S574" i="3" s="1"/>
  <c r="AC574" i="3"/>
  <c r="U573" i="3" l="1"/>
  <c r="Y572" i="3"/>
  <c r="T574" i="3"/>
  <c r="AH574" i="3" s="1"/>
  <c r="D574" i="3" l="1"/>
  <c r="G574" i="3" s="1"/>
  <c r="AG574" i="3"/>
  <c r="E574" i="3"/>
  <c r="H574" i="3" s="1"/>
  <c r="K574" i="3" l="1"/>
  <c r="AE574" i="3" s="1"/>
  <c r="I574" i="3"/>
  <c r="J574" i="3"/>
  <c r="AD574" i="3" s="1"/>
  <c r="M574" i="3"/>
  <c r="N574" i="3" s="1"/>
  <c r="F574" i="3"/>
  <c r="V574" i="3" l="1"/>
  <c r="W574" i="3" s="1"/>
  <c r="A575" i="3"/>
  <c r="B575" i="3" s="1"/>
  <c r="L574" i="3"/>
  <c r="U574" i="3" l="1"/>
  <c r="Y573" i="3"/>
  <c r="P575" i="3"/>
  <c r="Q575" i="3" s="1"/>
  <c r="R575" i="3" s="1"/>
  <c r="S575" i="3" s="1"/>
  <c r="Z575" i="3"/>
  <c r="AC575" i="3"/>
  <c r="AA575" i="3"/>
  <c r="AD575" i="3"/>
  <c r="T575" i="3" l="1"/>
  <c r="AH575" i="3" s="1"/>
  <c r="AG575" i="3" l="1"/>
  <c r="E575" i="3"/>
  <c r="H575" i="3" s="1"/>
  <c r="D575" i="3"/>
  <c r="K575" i="3" l="1"/>
  <c r="AE575" i="3" s="1"/>
  <c r="F575" i="3"/>
  <c r="G575" i="3"/>
  <c r="V575" i="3" l="1"/>
  <c r="A576" i="3"/>
  <c r="B576" i="3" s="1"/>
  <c r="I575" i="3"/>
  <c r="J575" i="3"/>
  <c r="M575" i="3"/>
  <c r="N575" i="3" s="1"/>
  <c r="W575" i="3" l="1"/>
  <c r="L575" i="3"/>
  <c r="AA576" i="3"/>
  <c r="P576" i="3"/>
  <c r="Q576" i="3" s="1"/>
  <c r="R576" i="3" s="1"/>
  <c r="S576" i="3" s="1"/>
  <c r="AD576" i="3"/>
  <c r="Z576" i="3"/>
  <c r="AC576" i="3"/>
  <c r="U575" i="3" l="1"/>
  <c r="Y574" i="3"/>
  <c r="T576" i="3"/>
  <c r="E576" i="3" l="1"/>
  <c r="H576" i="3" s="1"/>
  <c r="K576" i="3" s="1"/>
  <c r="AE576" i="3" s="1"/>
  <c r="AH576" i="3"/>
  <c r="D576" i="3"/>
  <c r="G576" i="3" s="1"/>
  <c r="AG576" i="3"/>
  <c r="F576" i="3" l="1"/>
  <c r="V576" i="3"/>
  <c r="A577" i="3"/>
  <c r="B577" i="3" s="1"/>
  <c r="I576" i="3"/>
  <c r="J576" i="3"/>
  <c r="M576" i="3"/>
  <c r="N576" i="3" s="1"/>
  <c r="W576" i="3" l="1"/>
  <c r="L576" i="3"/>
  <c r="P577" i="3"/>
  <c r="Q577" i="3" s="1"/>
  <c r="R577" i="3" s="1"/>
  <c r="S577" i="3" s="1"/>
  <c r="AD577" i="3"/>
  <c r="AC577" i="3"/>
  <c r="AA577" i="3"/>
  <c r="Z577" i="3"/>
  <c r="U576" i="3" l="1"/>
  <c r="Y575" i="3"/>
  <c r="T577" i="3"/>
  <c r="AH577" i="3" s="1"/>
  <c r="E577" i="3" l="1"/>
  <c r="H577" i="3" s="1"/>
  <c r="K577" i="3" s="1"/>
  <c r="AE577" i="3" s="1"/>
  <c r="AG577" i="3"/>
  <c r="D577" i="3"/>
  <c r="F577" i="3" l="1"/>
  <c r="G577" i="3"/>
  <c r="J577" i="3" s="1"/>
  <c r="V577" i="3"/>
  <c r="A578" i="3"/>
  <c r="B578" i="3" s="1"/>
  <c r="M577" i="3" l="1"/>
  <c r="N577" i="3" s="1"/>
  <c r="I577" i="3"/>
  <c r="W577" i="3" s="1"/>
  <c r="L577" i="3"/>
  <c r="AC578" i="3"/>
  <c r="AD578" i="3"/>
  <c r="P578" i="3"/>
  <c r="Q578" i="3" s="1"/>
  <c r="R578" i="3" s="1"/>
  <c r="S578" i="3" s="1"/>
  <c r="Z578" i="3"/>
  <c r="AA578" i="3"/>
  <c r="U577" i="3" l="1"/>
  <c r="Y576" i="3"/>
  <c r="T578" i="3"/>
  <c r="AG578" i="3" s="1"/>
  <c r="D578" i="3" l="1"/>
  <c r="G578" i="3" s="1"/>
  <c r="AH578" i="3"/>
  <c r="E578" i="3"/>
  <c r="H578" i="3" s="1"/>
  <c r="K578" i="3" s="1"/>
  <c r="AE578" i="3" s="1"/>
  <c r="F578" i="3" l="1"/>
  <c r="I578" i="3"/>
  <c r="J578" i="3"/>
  <c r="M578" i="3"/>
  <c r="N578" i="3" s="1"/>
  <c r="V578" i="3"/>
  <c r="A579" i="3"/>
  <c r="B579" i="3" s="1"/>
  <c r="W578" i="3" l="1"/>
  <c r="L578" i="3"/>
  <c r="AC579" i="3"/>
  <c r="Z579" i="3"/>
  <c r="P579" i="3"/>
  <c r="Q579" i="3" s="1"/>
  <c r="R579" i="3" s="1"/>
  <c r="S579" i="3" s="1"/>
  <c r="AD579" i="3"/>
  <c r="AA579" i="3"/>
  <c r="U578" i="3" l="1"/>
  <c r="Y577" i="3"/>
  <c r="T579" i="3"/>
  <c r="AG579" i="3" s="1"/>
  <c r="E579" i="3" l="1"/>
  <c r="H579" i="3" s="1"/>
  <c r="K579" i="3" s="1"/>
  <c r="AE579" i="3" s="1"/>
  <c r="AH579" i="3"/>
  <c r="D579" i="3"/>
  <c r="F579" i="3" l="1"/>
  <c r="G579" i="3"/>
  <c r="M579" i="3" s="1"/>
  <c r="N579" i="3" s="1"/>
  <c r="V579" i="3"/>
  <c r="A580" i="3"/>
  <c r="B580" i="3" s="1"/>
  <c r="I579" i="3" l="1"/>
  <c r="W579" i="3" s="1"/>
  <c r="J579" i="3"/>
  <c r="L579" i="3" s="1"/>
  <c r="AD580" i="3"/>
  <c r="P580" i="3"/>
  <c r="Q580" i="3" s="1"/>
  <c r="R580" i="3" s="1"/>
  <c r="S580" i="3" s="1"/>
  <c r="AA580" i="3"/>
  <c r="AC580" i="3"/>
  <c r="Z580" i="3"/>
  <c r="U579" i="3" l="1"/>
  <c r="Y578" i="3"/>
  <c r="T580" i="3"/>
  <c r="AH580" i="3" s="1"/>
  <c r="E580" i="3" l="1"/>
  <c r="H580" i="3" s="1"/>
  <c r="D580" i="3"/>
  <c r="AG580" i="3"/>
  <c r="K580" i="3" l="1"/>
  <c r="AE580" i="3" s="1"/>
  <c r="F580" i="3"/>
  <c r="G580" i="3"/>
  <c r="I580" i="3" l="1"/>
  <c r="J580" i="3"/>
  <c r="M580" i="3"/>
  <c r="N580" i="3" s="1"/>
  <c r="V580" i="3"/>
  <c r="A581" i="3"/>
  <c r="B581" i="3" s="1"/>
  <c r="W580" i="3" l="1"/>
  <c r="P581" i="3"/>
  <c r="Q581" i="3" s="1"/>
  <c r="R581" i="3" s="1"/>
  <c r="S581" i="3" s="1"/>
  <c r="Z581" i="3"/>
  <c r="AA581" i="3"/>
  <c r="AC581" i="3"/>
  <c r="AD581" i="3"/>
  <c r="L580" i="3"/>
  <c r="T581" i="3" l="1"/>
  <c r="AH581" i="3" s="1"/>
  <c r="U580" i="3"/>
  <c r="Y579" i="3"/>
  <c r="D581" i="3" l="1"/>
  <c r="G581" i="3" s="1"/>
  <c r="AG581" i="3"/>
  <c r="E581" i="3"/>
  <c r="H581" i="3" s="1"/>
  <c r="I581" i="3" l="1"/>
  <c r="J581" i="3"/>
  <c r="M581" i="3"/>
  <c r="N581" i="3" s="1"/>
  <c r="F581" i="3"/>
  <c r="K581" i="3"/>
  <c r="AE581" i="3" s="1"/>
  <c r="L581" i="3" l="1"/>
  <c r="V581" i="3"/>
  <c r="W581" i="3" s="1"/>
  <c r="A582" i="3"/>
  <c r="B582" i="3" s="1"/>
  <c r="P582" i="3" l="1"/>
  <c r="Q582" i="3" s="1"/>
  <c r="R582" i="3" s="1"/>
  <c r="S582" i="3" s="1"/>
  <c r="Z582" i="3"/>
  <c r="AD582" i="3"/>
  <c r="AC582" i="3"/>
  <c r="AA582" i="3"/>
  <c r="U581" i="3"/>
  <c r="Y580" i="3"/>
  <c r="T582" i="3" l="1"/>
  <c r="AH582" i="3" s="1"/>
  <c r="E582" i="3" l="1"/>
  <c r="H582" i="3" s="1"/>
  <c r="K582" i="3" s="1"/>
  <c r="AE582" i="3" s="1"/>
  <c r="AG582" i="3"/>
  <c r="D582" i="3"/>
  <c r="V582" i="3" l="1"/>
  <c r="A583" i="3"/>
  <c r="B583" i="3" s="1"/>
  <c r="F582" i="3"/>
  <c r="G582" i="3"/>
  <c r="I582" i="3" l="1"/>
  <c r="W582" i="3" s="1"/>
  <c r="J582" i="3"/>
  <c r="M582" i="3"/>
  <c r="N582" i="3" s="1"/>
  <c r="AD583" i="3"/>
  <c r="AA583" i="3"/>
  <c r="Z583" i="3"/>
  <c r="P583" i="3"/>
  <c r="Q583" i="3" s="1"/>
  <c r="R583" i="3" s="1"/>
  <c r="S583" i="3" s="1"/>
  <c r="AC583" i="3"/>
  <c r="T583" i="3" l="1"/>
  <c r="L582" i="3"/>
  <c r="U582" i="3" l="1"/>
  <c r="E583" i="3" s="1"/>
  <c r="H583" i="3" s="1"/>
  <c r="AG583" i="3"/>
  <c r="AH583" i="3"/>
  <c r="Y581" i="3"/>
  <c r="D583" i="3" l="1"/>
  <c r="G583" i="3" s="1"/>
  <c r="K583" i="3"/>
  <c r="AE583" i="3" s="1"/>
  <c r="F583" i="3" l="1"/>
  <c r="V583" i="3"/>
  <c r="A584" i="3"/>
  <c r="B584" i="3" s="1"/>
  <c r="I583" i="3"/>
  <c r="J583" i="3"/>
  <c r="M583" i="3"/>
  <c r="N583" i="3" s="1"/>
  <c r="W583" i="3" l="1"/>
  <c r="L583" i="3"/>
  <c r="AC584" i="3"/>
  <c r="P584" i="3"/>
  <c r="Q584" i="3" s="1"/>
  <c r="R584" i="3" s="1"/>
  <c r="S584" i="3" s="1"/>
  <c r="AA584" i="3"/>
  <c r="Z584" i="3"/>
  <c r="U583" i="3" l="1"/>
  <c r="Y582" i="3"/>
  <c r="T584" i="3"/>
  <c r="AG584" i="3" s="1"/>
  <c r="E584" i="3" l="1"/>
  <c r="H584" i="3" s="1"/>
  <c r="K584" i="3" s="1"/>
  <c r="AE584" i="3" s="1"/>
  <c r="AH584" i="3"/>
  <c r="D584" i="3"/>
  <c r="V584" i="3" l="1"/>
  <c r="A585" i="3"/>
  <c r="B585" i="3" s="1"/>
  <c r="F584" i="3"/>
  <c r="G584" i="3"/>
  <c r="Z585" i="3" l="1"/>
  <c r="AA585" i="3"/>
  <c r="P585" i="3"/>
  <c r="Q585" i="3" s="1"/>
  <c r="R585" i="3" s="1"/>
  <c r="S585" i="3" s="1"/>
  <c r="AD585" i="3"/>
  <c r="AC585" i="3"/>
  <c r="I584" i="3"/>
  <c r="W584" i="3" s="1"/>
  <c r="J584" i="3"/>
  <c r="AD584" i="3" s="1"/>
  <c r="M584" i="3"/>
  <c r="N584" i="3" s="1"/>
  <c r="T585" i="3" l="1"/>
  <c r="L584" i="3"/>
  <c r="AG585" i="3" l="1"/>
  <c r="U584" i="3"/>
  <c r="D585" i="3" s="1"/>
  <c r="AH585" i="3"/>
  <c r="Y583" i="3"/>
  <c r="G585" i="3" l="1"/>
  <c r="E585" i="3"/>
  <c r="H585" i="3" s="1"/>
  <c r="F585" i="3" l="1"/>
  <c r="I585" i="3"/>
  <c r="J585" i="3"/>
  <c r="M585" i="3"/>
  <c r="N585" i="3" s="1"/>
  <c r="K585" i="3"/>
  <c r="AE585" i="3" s="1"/>
  <c r="V585" i="3" l="1"/>
  <c r="W585" i="3" s="1"/>
  <c r="A586" i="3"/>
  <c r="B586" i="3" s="1"/>
  <c r="L585" i="3"/>
  <c r="U585" i="3" l="1"/>
  <c r="Y584" i="3"/>
  <c r="P586" i="3"/>
  <c r="Q586" i="3" s="1"/>
  <c r="R586" i="3" s="1"/>
  <c r="S586" i="3" s="1"/>
  <c r="AA586" i="3"/>
  <c r="Z586" i="3"/>
  <c r="AD586" i="3"/>
  <c r="AC586" i="3"/>
  <c r="T586" i="3" l="1"/>
  <c r="E586" i="3" s="1"/>
  <c r="H586" i="3" s="1"/>
  <c r="AH586" i="3" l="1"/>
  <c r="K586" i="3"/>
  <c r="AE586" i="3" s="1"/>
  <c r="AG586" i="3"/>
  <c r="D586" i="3"/>
  <c r="F586" i="3" l="1"/>
  <c r="G586" i="3"/>
  <c r="V586" i="3"/>
  <c r="A587" i="3"/>
  <c r="B587" i="3" s="1"/>
  <c r="AA587" i="3" l="1"/>
  <c r="AD587" i="3"/>
  <c r="Z587" i="3"/>
  <c r="AC587" i="3"/>
  <c r="P587" i="3"/>
  <c r="Q587" i="3" s="1"/>
  <c r="R587" i="3" s="1"/>
  <c r="S587" i="3" s="1"/>
  <c r="I586" i="3"/>
  <c r="W586" i="3" s="1"/>
  <c r="J586" i="3"/>
  <c r="M586" i="3"/>
  <c r="N586" i="3" s="1"/>
  <c r="T587" i="3" l="1"/>
  <c r="L586" i="3"/>
  <c r="AH587" i="3" l="1"/>
  <c r="U586" i="3"/>
  <c r="D587" i="3" s="1"/>
  <c r="AG587" i="3"/>
  <c r="Y585" i="3"/>
  <c r="G587" i="3" l="1"/>
  <c r="E587" i="3"/>
  <c r="H587" i="3" s="1"/>
  <c r="F587" i="3" l="1"/>
  <c r="K587" i="3"/>
  <c r="AE587" i="3" s="1"/>
  <c r="I587" i="3"/>
  <c r="J587" i="3"/>
  <c r="M587" i="3"/>
  <c r="N587" i="3" s="1"/>
  <c r="L587" i="3" l="1"/>
  <c r="V587" i="3"/>
  <c r="W587" i="3" s="1"/>
  <c r="A588" i="3"/>
  <c r="B588" i="3" s="1"/>
  <c r="U587" i="3" l="1"/>
  <c r="Y586" i="3"/>
  <c r="P588" i="3"/>
  <c r="Q588" i="3" s="1"/>
  <c r="R588" i="3" s="1"/>
  <c r="S588" i="3" s="1"/>
  <c r="AD588" i="3"/>
  <c r="Z588" i="3"/>
  <c r="AC588" i="3"/>
  <c r="AA588" i="3"/>
  <c r="T588" i="3" l="1"/>
  <c r="AH588" i="3" s="1"/>
  <c r="E588" i="3" l="1"/>
  <c r="H588" i="3" s="1"/>
  <c r="K588" i="3" s="1"/>
  <c r="AE588" i="3" s="1"/>
  <c r="AG588" i="3"/>
  <c r="D588" i="3"/>
  <c r="G588" i="3" s="1"/>
  <c r="F588" i="3" l="1"/>
  <c r="I588" i="3"/>
  <c r="J588" i="3"/>
  <c r="M588" i="3"/>
  <c r="N588" i="3" s="1"/>
  <c r="V588" i="3"/>
  <c r="A589" i="3"/>
  <c r="B589" i="3" s="1"/>
  <c r="W588" i="3" l="1"/>
  <c r="L588" i="3"/>
  <c r="AA589" i="3"/>
  <c r="Z589" i="3"/>
  <c r="AC589" i="3"/>
  <c r="P589" i="3"/>
  <c r="Q589" i="3" s="1"/>
  <c r="R589" i="3" s="1"/>
  <c r="S589" i="3" s="1"/>
  <c r="AD589" i="3"/>
  <c r="T589" i="3" l="1"/>
  <c r="AG589" i="3" s="1"/>
  <c r="U588" i="3"/>
  <c r="Y587" i="3"/>
  <c r="AH589" i="3" l="1"/>
  <c r="D589" i="3"/>
  <c r="E589" i="3"/>
  <c r="H589" i="3" s="1"/>
  <c r="F589" i="3" l="1"/>
  <c r="G589" i="3"/>
  <c r="K589" i="3"/>
  <c r="AE589" i="3" s="1"/>
  <c r="I589" i="3" l="1"/>
  <c r="J589" i="3"/>
  <c r="M589" i="3"/>
  <c r="N589" i="3" s="1"/>
  <c r="V589" i="3"/>
  <c r="A590" i="3"/>
  <c r="B590" i="3" s="1"/>
  <c r="W589" i="3" l="1"/>
  <c r="L589" i="3"/>
  <c r="P590" i="3"/>
  <c r="Q590" i="3" s="1"/>
  <c r="R590" i="3" s="1"/>
  <c r="S590" i="3" s="1"/>
  <c r="AC590" i="3"/>
  <c r="AA590" i="3"/>
  <c r="Z590" i="3"/>
  <c r="AD590" i="3"/>
  <c r="U589" i="3" l="1"/>
  <c r="Y588" i="3"/>
  <c r="T590" i="3"/>
  <c r="AH590" i="3" s="1"/>
  <c r="D590" i="3" l="1"/>
  <c r="G590" i="3" s="1"/>
  <c r="E590" i="3"/>
  <c r="H590" i="3" s="1"/>
  <c r="K590" i="3" s="1"/>
  <c r="AE590" i="3" s="1"/>
  <c r="AG590" i="3"/>
  <c r="F590" i="3" l="1"/>
  <c r="V590" i="3"/>
  <c r="A591" i="3"/>
  <c r="B591" i="3" s="1"/>
  <c r="I590" i="3"/>
  <c r="J590" i="3"/>
  <c r="M590" i="3"/>
  <c r="N590" i="3" s="1"/>
  <c r="W590" i="3" l="1"/>
  <c r="L590" i="3"/>
  <c r="AC591" i="3"/>
  <c r="P591" i="3"/>
  <c r="Q591" i="3" s="1"/>
  <c r="R591" i="3" s="1"/>
  <c r="S591" i="3" s="1"/>
  <c r="Z591" i="3"/>
  <c r="AA591" i="3"/>
  <c r="AD591" i="3"/>
  <c r="U590" i="3" l="1"/>
  <c r="Y589" i="3"/>
  <c r="T591" i="3"/>
  <c r="AG591" i="3" s="1"/>
  <c r="D591" i="3" l="1"/>
  <c r="G591" i="3" s="1"/>
  <c r="E591" i="3"/>
  <c r="H591" i="3" s="1"/>
  <c r="K591" i="3" s="1"/>
  <c r="AE591" i="3" s="1"/>
  <c r="AH591" i="3"/>
  <c r="F591" i="3" l="1"/>
  <c r="I591" i="3"/>
  <c r="J591" i="3"/>
  <c r="M591" i="3"/>
  <c r="N591" i="3" s="1"/>
  <c r="V591" i="3"/>
  <c r="A592" i="3"/>
  <c r="B592" i="3" s="1"/>
  <c r="W591" i="3" l="1"/>
  <c r="L591" i="3"/>
  <c r="AA592" i="3"/>
  <c r="AC592" i="3"/>
  <c r="Z592" i="3"/>
  <c r="AD592" i="3"/>
  <c r="P592" i="3"/>
  <c r="Q592" i="3" s="1"/>
  <c r="R592" i="3" s="1"/>
  <c r="S592" i="3" s="1"/>
  <c r="U591" i="3" l="1"/>
  <c r="Y590" i="3"/>
  <c r="T592" i="3"/>
  <c r="D592" i="3" l="1"/>
  <c r="G592" i="3" s="1"/>
  <c r="AH592" i="3"/>
  <c r="AG592" i="3"/>
  <c r="E592" i="3"/>
  <c r="H592" i="3" s="1"/>
  <c r="K592" i="3" s="1"/>
  <c r="AE592" i="3" s="1"/>
  <c r="F592" i="3" l="1"/>
  <c r="I592" i="3"/>
  <c r="J592" i="3"/>
  <c r="M592" i="3"/>
  <c r="N592" i="3" s="1"/>
  <c r="V592" i="3"/>
  <c r="A593" i="3"/>
  <c r="B593" i="3" s="1"/>
  <c r="W592" i="3" l="1"/>
  <c r="L592" i="3"/>
  <c r="Z593" i="3"/>
  <c r="P593" i="3"/>
  <c r="Q593" i="3" s="1"/>
  <c r="R593" i="3" s="1"/>
  <c r="S593" i="3" s="1"/>
  <c r="AD593" i="3"/>
  <c r="AA593" i="3"/>
  <c r="AC593" i="3"/>
  <c r="U592" i="3" l="1"/>
  <c r="Y591" i="3"/>
  <c r="T593" i="3"/>
  <c r="E593" i="3" l="1"/>
  <c r="H593" i="3" s="1"/>
  <c r="K593" i="3" s="1"/>
  <c r="AE593" i="3" s="1"/>
  <c r="D593" i="3"/>
  <c r="G593" i="3" s="1"/>
  <c r="AH593" i="3"/>
  <c r="AG593" i="3"/>
  <c r="F593" i="3" l="1"/>
  <c r="I593" i="3"/>
  <c r="J593" i="3"/>
  <c r="M593" i="3"/>
  <c r="N593" i="3" s="1"/>
  <c r="V593" i="3"/>
  <c r="A594" i="3"/>
  <c r="B594" i="3" s="1"/>
  <c r="W593" i="3" l="1"/>
  <c r="L593" i="3"/>
  <c r="Z594" i="3"/>
  <c r="AA594" i="3"/>
  <c r="P594" i="3"/>
  <c r="Q594" i="3" s="1"/>
  <c r="R594" i="3" s="1"/>
  <c r="S594" i="3" s="1"/>
  <c r="AC594" i="3"/>
  <c r="U593" i="3" l="1"/>
  <c r="Y592" i="3"/>
  <c r="T594" i="3"/>
  <c r="AG594" i="3" s="1"/>
  <c r="AH594" i="3" l="1"/>
  <c r="E594" i="3"/>
  <c r="H594" i="3" s="1"/>
  <c r="K594" i="3" s="1"/>
  <c r="AE594" i="3" s="1"/>
  <c r="D594" i="3"/>
  <c r="V594" i="3" l="1"/>
  <c r="A595" i="3"/>
  <c r="B595" i="3" s="1"/>
  <c r="F594" i="3"/>
  <c r="G594" i="3"/>
  <c r="I594" i="3" l="1"/>
  <c r="W594" i="3" s="1"/>
  <c r="J594" i="3"/>
  <c r="AD594" i="3" s="1"/>
  <c r="M594" i="3"/>
  <c r="N594" i="3" s="1"/>
  <c r="AC595" i="3"/>
  <c r="AA595" i="3"/>
  <c r="P595" i="3"/>
  <c r="Q595" i="3" s="1"/>
  <c r="R595" i="3" s="1"/>
  <c r="S595" i="3" s="1"/>
  <c r="Z595" i="3"/>
  <c r="AD595" i="3"/>
  <c r="T595" i="3" l="1"/>
  <c r="L594" i="3"/>
  <c r="AH595" i="3" l="1"/>
  <c r="U594" i="3"/>
  <c r="E595" i="3" s="1"/>
  <c r="H595" i="3" s="1"/>
  <c r="AG595" i="3"/>
  <c r="Y593" i="3"/>
  <c r="D595" i="3" l="1"/>
  <c r="G595" i="3" s="1"/>
  <c r="K595" i="3"/>
  <c r="AE595" i="3" s="1"/>
  <c r="F595" i="3" l="1"/>
  <c r="V595" i="3"/>
  <c r="A596" i="3"/>
  <c r="B596" i="3" s="1"/>
  <c r="I595" i="3"/>
  <c r="J595" i="3"/>
  <c r="M595" i="3"/>
  <c r="N595" i="3" s="1"/>
  <c r="W595" i="3" l="1"/>
  <c r="L595" i="3"/>
  <c r="P596" i="3"/>
  <c r="Q596" i="3" s="1"/>
  <c r="R596" i="3" s="1"/>
  <c r="S596" i="3" s="1"/>
  <c r="AA596" i="3"/>
  <c r="AC596" i="3"/>
  <c r="AD596" i="3"/>
  <c r="Z596" i="3"/>
  <c r="T596" i="3" l="1"/>
  <c r="AG596" i="3" s="1"/>
  <c r="U595" i="3"/>
  <c r="Y594" i="3"/>
  <c r="D596" i="3" l="1"/>
  <c r="E596" i="3"/>
  <c r="H596" i="3" s="1"/>
  <c r="AH596" i="3"/>
  <c r="F596" i="3" l="1"/>
  <c r="G596" i="3"/>
  <c r="K596" i="3"/>
  <c r="AE596" i="3" s="1"/>
  <c r="V596" i="3" l="1"/>
  <c r="A597" i="3"/>
  <c r="B597" i="3" s="1"/>
  <c r="I596" i="3"/>
  <c r="J596" i="3"/>
  <c r="M596" i="3"/>
  <c r="N596" i="3" s="1"/>
  <c r="W596" i="3" l="1"/>
  <c r="L596" i="3"/>
  <c r="Z597" i="3"/>
  <c r="P597" i="3"/>
  <c r="Q597" i="3" s="1"/>
  <c r="R597" i="3" s="1"/>
  <c r="S597" i="3" s="1"/>
  <c r="AA597" i="3"/>
  <c r="AC597" i="3"/>
  <c r="AD597" i="3"/>
  <c r="U596" i="3" l="1"/>
  <c r="Y595" i="3"/>
  <c r="T597" i="3"/>
  <c r="E597" i="3" l="1"/>
  <c r="H597" i="3" s="1"/>
  <c r="K597" i="3" s="1"/>
  <c r="AE597" i="3" s="1"/>
  <c r="AH597" i="3"/>
  <c r="AG597" i="3"/>
  <c r="D597" i="3"/>
  <c r="G597" i="3" s="1"/>
  <c r="F597" i="3" l="1"/>
  <c r="I597" i="3"/>
  <c r="J597" i="3"/>
  <c r="M597" i="3"/>
  <c r="N597" i="3" s="1"/>
  <c r="V597" i="3"/>
  <c r="A598" i="3"/>
  <c r="B598" i="3" s="1"/>
  <c r="W597" i="3" l="1"/>
  <c r="L597" i="3"/>
  <c r="AC598" i="3"/>
  <c r="P598" i="3"/>
  <c r="Q598" i="3" s="1"/>
  <c r="R598" i="3" s="1"/>
  <c r="S598" i="3" s="1"/>
  <c r="Z598" i="3"/>
  <c r="AA598" i="3"/>
  <c r="AD598" i="3"/>
  <c r="U597" i="3" l="1"/>
  <c r="Y596" i="3"/>
  <c r="T598" i="3"/>
  <c r="AG598" i="3" s="1"/>
  <c r="AH598" i="3" l="1"/>
  <c r="E598" i="3"/>
  <c r="H598" i="3" s="1"/>
  <c r="K598" i="3" s="1"/>
  <c r="AE598" i="3" s="1"/>
  <c r="D598" i="3"/>
  <c r="V598" i="3" l="1"/>
  <c r="A599" i="3"/>
  <c r="B599" i="3" s="1"/>
  <c r="F598" i="3"/>
  <c r="G598" i="3"/>
  <c r="I598" i="3" l="1"/>
  <c r="W598" i="3" s="1"/>
  <c r="J598" i="3"/>
  <c r="M598" i="3"/>
  <c r="N598" i="3" s="1"/>
  <c r="AC599" i="3"/>
  <c r="AA599" i="3"/>
  <c r="P599" i="3"/>
  <c r="Q599" i="3" s="1"/>
  <c r="R599" i="3" s="1"/>
  <c r="S599" i="3" s="1"/>
  <c r="AD599" i="3"/>
  <c r="Z599" i="3"/>
  <c r="T599" i="3" l="1"/>
  <c r="L598" i="3"/>
  <c r="U598" i="3" l="1"/>
  <c r="D599" i="3" s="1"/>
  <c r="AG599" i="3"/>
  <c r="AH599" i="3"/>
  <c r="Y597" i="3"/>
  <c r="G599" i="3" l="1"/>
  <c r="E599" i="3"/>
  <c r="H599" i="3" s="1"/>
  <c r="I599" i="3" l="1"/>
  <c r="J599" i="3"/>
  <c r="M599" i="3"/>
  <c r="N599" i="3" s="1"/>
  <c r="K599" i="3"/>
  <c r="AE599" i="3" s="1"/>
  <c r="F599" i="3"/>
  <c r="V599" i="3" l="1"/>
  <c r="W599" i="3" s="1"/>
  <c r="A600" i="3"/>
  <c r="B600" i="3" s="1"/>
  <c r="L599" i="3"/>
  <c r="U599" i="3" l="1"/>
  <c r="Y598" i="3"/>
  <c r="AC600" i="3"/>
  <c r="P600" i="3"/>
  <c r="Q600" i="3" s="1"/>
  <c r="R600" i="3" s="1"/>
  <c r="S600" i="3" s="1"/>
  <c r="Z600" i="3"/>
  <c r="AA600" i="3"/>
  <c r="AD600" i="3"/>
  <c r="T600" i="3" l="1"/>
  <c r="E600" i="3" s="1"/>
  <c r="H600" i="3" s="1"/>
  <c r="AH600" i="3" l="1"/>
  <c r="K600" i="3"/>
  <c r="AE600" i="3" s="1"/>
  <c r="AG600" i="3"/>
  <c r="D600" i="3"/>
  <c r="V600" i="3" l="1"/>
  <c r="A601" i="3"/>
  <c r="B601" i="3" s="1"/>
  <c r="F600" i="3"/>
  <c r="G600" i="3"/>
  <c r="I600" i="3" l="1"/>
  <c r="W600" i="3" s="1"/>
  <c r="J600" i="3"/>
  <c r="M600" i="3"/>
  <c r="N600" i="3" s="1"/>
  <c r="P601" i="3"/>
  <c r="Q601" i="3" s="1"/>
  <c r="R601" i="3" s="1"/>
  <c r="S601" i="3" s="1"/>
  <c r="AA601" i="3"/>
  <c r="AC601" i="3"/>
  <c r="Z601" i="3"/>
  <c r="AD601" i="3"/>
  <c r="T601" i="3" l="1"/>
  <c r="L600" i="3"/>
  <c r="AH601" i="3" l="1"/>
  <c r="U600" i="3"/>
  <c r="D601" i="3" s="1"/>
  <c r="AG601" i="3"/>
  <c r="Y599" i="3"/>
  <c r="E601" i="3" l="1"/>
  <c r="H601" i="3" s="1"/>
  <c r="K601" i="3" s="1"/>
  <c r="AE601" i="3" s="1"/>
  <c r="G601" i="3"/>
  <c r="F601" i="3" l="1"/>
  <c r="I601" i="3"/>
  <c r="J601" i="3"/>
  <c r="M601" i="3"/>
  <c r="N601" i="3" s="1"/>
  <c r="V601" i="3"/>
  <c r="A602" i="3"/>
  <c r="B602" i="3" s="1"/>
  <c r="W601" i="3" l="1"/>
  <c r="L601" i="3"/>
  <c r="P602" i="3"/>
  <c r="Q602" i="3" s="1"/>
  <c r="R602" i="3" s="1"/>
  <c r="S602" i="3" s="1"/>
  <c r="Z602" i="3"/>
  <c r="AC602" i="3"/>
  <c r="AD602" i="3"/>
  <c r="AA602" i="3"/>
  <c r="U601" i="3" l="1"/>
  <c r="Y600" i="3"/>
  <c r="T602" i="3"/>
  <c r="AG602" i="3" s="1"/>
  <c r="D602" i="3" l="1"/>
  <c r="E602" i="3"/>
  <c r="H602" i="3" s="1"/>
  <c r="AH602" i="3"/>
  <c r="K602" i="3" l="1"/>
  <c r="AE602" i="3" s="1"/>
  <c r="F602" i="3"/>
  <c r="G602" i="3"/>
  <c r="I602" i="3" l="1"/>
  <c r="J602" i="3"/>
  <c r="M602" i="3"/>
  <c r="N602" i="3" s="1"/>
  <c r="V602" i="3"/>
  <c r="A603" i="3"/>
  <c r="B603" i="3" s="1"/>
  <c r="W602" i="3" l="1"/>
  <c r="L602" i="3"/>
  <c r="AA603" i="3"/>
  <c r="AC603" i="3"/>
  <c r="AD603" i="3"/>
  <c r="Z603" i="3"/>
  <c r="P603" i="3"/>
  <c r="Q603" i="3" s="1"/>
  <c r="R603" i="3" s="1"/>
  <c r="S603" i="3" s="1"/>
  <c r="U602" i="3" l="1"/>
  <c r="Y601" i="3"/>
  <c r="T603" i="3"/>
  <c r="AG603" i="3" s="1"/>
  <c r="AH603" i="3" l="1"/>
  <c r="D603" i="3"/>
  <c r="G603" i="3" s="1"/>
  <c r="E603" i="3"/>
  <c r="H603" i="3" s="1"/>
  <c r="K603" i="3" s="1"/>
  <c r="AE603" i="3" s="1"/>
  <c r="F603" i="3" l="1"/>
  <c r="I603" i="3"/>
  <c r="J603" i="3"/>
  <c r="M603" i="3"/>
  <c r="N603" i="3" s="1"/>
  <c r="V603" i="3"/>
  <c r="A604" i="3"/>
  <c r="B604" i="3" s="1"/>
  <c r="W603" i="3" l="1"/>
  <c r="L603" i="3"/>
  <c r="AC604" i="3"/>
  <c r="Z604" i="3"/>
  <c r="AA604" i="3"/>
  <c r="P604" i="3"/>
  <c r="Q604" i="3" s="1"/>
  <c r="R604" i="3" s="1"/>
  <c r="S604" i="3" s="1"/>
  <c r="U603" i="3" l="1"/>
  <c r="Y602" i="3"/>
  <c r="T604" i="3"/>
  <c r="AH604" i="3" s="1"/>
  <c r="D604" i="3" l="1"/>
  <c r="E604" i="3"/>
  <c r="H604" i="3" s="1"/>
  <c r="AG604" i="3"/>
  <c r="F604" i="3" l="1"/>
  <c r="G604" i="3"/>
  <c r="K604" i="3"/>
  <c r="AE604" i="3" s="1"/>
  <c r="V604" i="3" l="1"/>
  <c r="A605" i="3"/>
  <c r="B605" i="3" s="1"/>
  <c r="I604" i="3"/>
  <c r="J604" i="3"/>
  <c r="AD604" i="3" s="1"/>
  <c r="M604" i="3"/>
  <c r="N604" i="3" s="1"/>
  <c r="W604" i="3" l="1"/>
  <c r="L604" i="3"/>
  <c r="P605" i="3"/>
  <c r="Q605" i="3" s="1"/>
  <c r="R605" i="3" s="1"/>
  <c r="S605" i="3" s="1"/>
  <c r="Z605" i="3"/>
  <c r="AA605" i="3"/>
  <c r="AD605" i="3"/>
  <c r="AC605" i="3"/>
  <c r="U604" i="3" l="1"/>
  <c r="Y603" i="3"/>
  <c r="T605" i="3"/>
  <c r="AG605" i="3" s="1"/>
  <c r="AH605" i="3" l="1"/>
  <c r="D605" i="3"/>
  <c r="E605" i="3"/>
  <c r="H605" i="3" s="1"/>
  <c r="K605" i="3" s="1"/>
  <c r="AE605" i="3" s="1"/>
  <c r="F605" i="3" l="1"/>
  <c r="G605" i="3"/>
  <c r="M605" i="3" s="1"/>
  <c r="N605" i="3" s="1"/>
  <c r="V605" i="3"/>
  <c r="A606" i="3"/>
  <c r="B606" i="3" s="1"/>
  <c r="I605" i="3" l="1"/>
  <c r="W605" i="3" s="1"/>
  <c r="J605" i="3"/>
  <c r="L605" i="3" s="1"/>
  <c r="P606" i="3"/>
  <c r="Q606" i="3" s="1"/>
  <c r="R606" i="3" s="1"/>
  <c r="S606" i="3" s="1"/>
  <c r="AC606" i="3"/>
  <c r="AD606" i="3"/>
  <c r="AA606" i="3"/>
  <c r="Z606" i="3"/>
  <c r="U605" i="3" l="1"/>
  <c r="Y604" i="3"/>
  <c r="T606" i="3"/>
  <c r="AG606" i="3" s="1"/>
  <c r="E606" i="3" l="1"/>
  <c r="H606" i="3" s="1"/>
  <c r="AH606" i="3"/>
  <c r="D606" i="3"/>
  <c r="F606" i="3" l="1"/>
  <c r="G606" i="3"/>
  <c r="K606" i="3"/>
  <c r="AE606" i="3" s="1"/>
  <c r="I606" i="3" l="1"/>
  <c r="J606" i="3"/>
  <c r="M606" i="3"/>
  <c r="N606" i="3" s="1"/>
  <c r="V606" i="3"/>
  <c r="A607" i="3"/>
  <c r="B607" i="3" s="1"/>
  <c r="W606" i="3" l="1"/>
  <c r="L606" i="3"/>
  <c r="Z607" i="3"/>
  <c r="AD607" i="3"/>
  <c r="AC607" i="3"/>
  <c r="P607" i="3"/>
  <c r="Q607" i="3" s="1"/>
  <c r="R607" i="3" s="1"/>
  <c r="S607" i="3" s="1"/>
  <c r="AA607" i="3"/>
  <c r="U606" i="3" l="1"/>
  <c r="Y605" i="3"/>
  <c r="T607" i="3"/>
  <c r="AH607" i="3" s="1"/>
  <c r="E607" i="3" l="1"/>
  <c r="H607" i="3" s="1"/>
  <c r="K607" i="3" s="1"/>
  <c r="AE607" i="3" s="1"/>
  <c r="D607" i="3"/>
  <c r="AG607" i="3"/>
  <c r="V607" i="3" l="1"/>
  <c r="A608" i="3"/>
  <c r="B608" i="3" s="1"/>
  <c r="F607" i="3"/>
  <c r="G607" i="3"/>
  <c r="I607" i="3" l="1"/>
  <c r="W607" i="3" s="1"/>
  <c r="J607" i="3"/>
  <c r="M607" i="3"/>
  <c r="N607" i="3" s="1"/>
  <c r="AD608" i="3"/>
  <c r="AA608" i="3"/>
  <c r="P608" i="3"/>
  <c r="Q608" i="3" s="1"/>
  <c r="R608" i="3" s="1"/>
  <c r="S608" i="3" s="1"/>
  <c r="Z608" i="3"/>
  <c r="AC608" i="3"/>
  <c r="T608" i="3" l="1"/>
  <c r="L607" i="3"/>
  <c r="AH608" i="3" l="1"/>
  <c r="AG608" i="3"/>
  <c r="U607" i="3"/>
  <c r="E608" i="3" s="1"/>
  <c r="H608" i="3" s="1"/>
  <c r="Y606" i="3"/>
  <c r="D608" i="3" l="1"/>
  <c r="G608" i="3" s="1"/>
  <c r="K608" i="3"/>
  <c r="AE608" i="3" s="1"/>
  <c r="F608" i="3" l="1"/>
  <c r="I608" i="3"/>
  <c r="J608" i="3"/>
  <c r="M608" i="3"/>
  <c r="N608" i="3" s="1"/>
  <c r="V608" i="3"/>
  <c r="A609" i="3"/>
  <c r="B609" i="3" s="1"/>
  <c r="L608" i="3" l="1"/>
  <c r="W608" i="3"/>
  <c r="Z609" i="3"/>
  <c r="P609" i="3"/>
  <c r="Q609" i="3" s="1"/>
  <c r="R609" i="3" s="1"/>
  <c r="S609" i="3" s="1"/>
  <c r="AC609" i="3"/>
  <c r="AA609" i="3"/>
  <c r="AD609" i="3"/>
  <c r="U608" i="3" l="1"/>
  <c r="Y607" i="3"/>
  <c r="T609" i="3"/>
  <c r="AG609" i="3" s="1"/>
  <c r="E609" i="3" l="1"/>
  <c r="H609" i="3" s="1"/>
  <c r="D609" i="3"/>
  <c r="AH609" i="3"/>
  <c r="K609" i="3" l="1"/>
  <c r="AE609" i="3" s="1"/>
  <c r="F609" i="3"/>
  <c r="G609" i="3"/>
  <c r="I609" i="3" l="1"/>
  <c r="J609" i="3"/>
  <c r="M609" i="3"/>
  <c r="N609" i="3" s="1"/>
  <c r="V609" i="3"/>
  <c r="A610" i="3"/>
  <c r="B610" i="3" s="1"/>
  <c r="L609" i="3" l="1"/>
  <c r="W609" i="3"/>
  <c r="AA610" i="3"/>
  <c r="P610" i="3"/>
  <c r="Q610" i="3" s="1"/>
  <c r="R610" i="3" s="1"/>
  <c r="S610" i="3" s="1"/>
  <c r="Z610" i="3"/>
  <c r="AC610" i="3"/>
  <c r="AD610" i="3"/>
  <c r="U609" i="3" l="1"/>
  <c r="Y608" i="3"/>
  <c r="T610" i="3"/>
  <c r="AG610" i="3" s="1"/>
  <c r="AH610" i="3" l="1"/>
  <c r="D610" i="3"/>
  <c r="G610" i="3" s="1"/>
  <c r="E610" i="3"/>
  <c r="H610" i="3" s="1"/>
  <c r="K610" i="3" s="1"/>
  <c r="AE610" i="3" s="1"/>
  <c r="F610" i="3" l="1"/>
  <c r="I610" i="3"/>
  <c r="J610" i="3"/>
  <c r="M610" i="3"/>
  <c r="N610" i="3" s="1"/>
  <c r="V610" i="3"/>
  <c r="A611" i="3"/>
  <c r="B611" i="3" s="1"/>
  <c r="W610" i="3" l="1"/>
  <c r="L610" i="3"/>
  <c r="AA611" i="3"/>
  <c r="P611" i="3"/>
  <c r="Q611" i="3" s="1"/>
  <c r="R611" i="3" s="1"/>
  <c r="S611" i="3" s="1"/>
  <c r="AC611" i="3"/>
  <c r="AD611" i="3"/>
  <c r="Z611" i="3"/>
  <c r="T611" i="3" l="1"/>
  <c r="U610" i="3"/>
  <c r="Y609" i="3"/>
  <c r="E611" i="3" l="1"/>
  <c r="H611" i="3" s="1"/>
  <c r="K611" i="3" s="1"/>
  <c r="AE611" i="3" s="1"/>
  <c r="AH611" i="3"/>
  <c r="AG611" i="3"/>
  <c r="D611" i="3"/>
  <c r="V611" i="3" l="1"/>
  <c r="A612" i="3"/>
  <c r="B612" i="3" s="1"/>
  <c r="F611" i="3"/>
  <c r="G611" i="3"/>
  <c r="I611" i="3" l="1"/>
  <c r="W611" i="3" s="1"/>
  <c r="J611" i="3"/>
  <c r="M611" i="3"/>
  <c r="N611" i="3" s="1"/>
  <c r="Z612" i="3"/>
  <c r="P612" i="3"/>
  <c r="Q612" i="3" s="1"/>
  <c r="R612" i="3" s="1"/>
  <c r="S612" i="3" s="1"/>
  <c r="AD612" i="3"/>
  <c r="AC612" i="3"/>
  <c r="AA612" i="3"/>
  <c r="T612" i="3" l="1"/>
  <c r="L611" i="3"/>
  <c r="U611" i="3" l="1"/>
  <c r="E612" i="3" s="1"/>
  <c r="H612" i="3" s="1"/>
  <c r="AH612" i="3"/>
  <c r="AG612" i="3"/>
  <c r="Y610" i="3"/>
  <c r="D612" i="3" l="1"/>
  <c r="G612" i="3" s="1"/>
  <c r="K612" i="3"/>
  <c r="AE612" i="3" s="1"/>
  <c r="F612" i="3" l="1"/>
  <c r="V612" i="3"/>
  <c r="A613" i="3"/>
  <c r="B613" i="3" s="1"/>
  <c r="I612" i="3"/>
  <c r="J612" i="3"/>
  <c r="M612" i="3"/>
  <c r="N612" i="3" s="1"/>
  <c r="W612" i="3" l="1"/>
  <c r="L612" i="3"/>
  <c r="P613" i="3"/>
  <c r="Q613" i="3" s="1"/>
  <c r="R613" i="3" s="1"/>
  <c r="S613" i="3" s="1"/>
  <c r="AD613" i="3"/>
  <c r="AA613" i="3"/>
  <c r="Z613" i="3"/>
  <c r="AC613" i="3"/>
  <c r="U612" i="3" l="1"/>
  <c r="Y611" i="3"/>
  <c r="T613" i="3"/>
  <c r="AG613" i="3" s="1"/>
  <c r="D613" i="3" l="1"/>
  <c r="AH613" i="3"/>
  <c r="E613" i="3"/>
  <c r="H613" i="3" s="1"/>
  <c r="F613" i="3" l="1"/>
  <c r="G613" i="3"/>
  <c r="K613" i="3"/>
  <c r="AE613" i="3" s="1"/>
  <c r="V613" i="3" l="1"/>
  <c r="A614" i="3"/>
  <c r="B614" i="3" s="1"/>
  <c r="I613" i="3"/>
  <c r="J613" i="3"/>
  <c r="M613" i="3"/>
  <c r="N613" i="3" s="1"/>
  <c r="W613" i="3" l="1"/>
  <c r="L613" i="3"/>
  <c r="AC614" i="3"/>
  <c r="AA614" i="3"/>
  <c r="Z614" i="3"/>
  <c r="P614" i="3"/>
  <c r="Q614" i="3" s="1"/>
  <c r="R614" i="3" s="1"/>
  <c r="S614" i="3" s="1"/>
  <c r="U613" i="3" l="1"/>
  <c r="Y612" i="3"/>
  <c r="T614" i="3"/>
  <c r="AG614" i="3" s="1"/>
  <c r="D614" i="3" l="1"/>
  <c r="G614" i="3" s="1"/>
  <c r="E614" i="3"/>
  <c r="H614" i="3" s="1"/>
  <c r="K614" i="3" s="1"/>
  <c r="AE614" i="3" s="1"/>
  <c r="AH614" i="3"/>
  <c r="F614" i="3" l="1"/>
  <c r="I614" i="3"/>
  <c r="J614" i="3"/>
  <c r="AD614" i="3" s="1"/>
  <c r="M614" i="3"/>
  <c r="N614" i="3" s="1"/>
  <c r="V614" i="3"/>
  <c r="A615" i="3"/>
  <c r="B615" i="3" s="1"/>
  <c r="L614" i="3" l="1"/>
  <c r="W614" i="3"/>
  <c r="P615" i="3"/>
  <c r="Q615" i="3" s="1"/>
  <c r="R615" i="3" s="1"/>
  <c r="S615" i="3" s="1"/>
  <c r="AC615" i="3"/>
  <c r="Z615" i="3"/>
  <c r="AA615" i="3"/>
  <c r="AD615" i="3"/>
  <c r="U614" i="3" l="1"/>
  <c r="Y613" i="3"/>
  <c r="T615" i="3"/>
  <c r="AH615" i="3" s="1"/>
  <c r="E615" i="3" l="1"/>
  <c r="H615" i="3" s="1"/>
  <c r="K615" i="3" s="1"/>
  <c r="AE615" i="3" s="1"/>
  <c r="AG615" i="3"/>
  <c r="D615" i="3"/>
  <c r="F615" i="3" l="1"/>
  <c r="G615" i="3"/>
  <c r="V615" i="3"/>
  <c r="A616" i="3"/>
  <c r="B616" i="3" s="1"/>
  <c r="AD616" i="3" l="1"/>
  <c r="P616" i="3"/>
  <c r="Q616" i="3" s="1"/>
  <c r="R616" i="3" s="1"/>
  <c r="S616" i="3" s="1"/>
  <c r="Z616" i="3"/>
  <c r="AC616" i="3"/>
  <c r="AA616" i="3"/>
  <c r="I615" i="3"/>
  <c r="W615" i="3" s="1"/>
  <c r="J615" i="3"/>
  <c r="M615" i="3"/>
  <c r="N615" i="3" s="1"/>
  <c r="L615" i="3" l="1"/>
  <c r="T616" i="3"/>
  <c r="U615" i="3" l="1"/>
  <c r="D616" i="3" s="1"/>
  <c r="AH616" i="3"/>
  <c r="AG616" i="3"/>
  <c r="Y614" i="3"/>
  <c r="E616" i="3" l="1"/>
  <c r="H616" i="3" s="1"/>
  <c r="K616" i="3" s="1"/>
  <c r="AE616" i="3" s="1"/>
  <c r="G616" i="3"/>
  <c r="F616" i="3" l="1"/>
  <c r="I616" i="3"/>
  <c r="J616" i="3"/>
  <c r="M616" i="3"/>
  <c r="N616" i="3" s="1"/>
  <c r="V616" i="3"/>
  <c r="A617" i="3"/>
  <c r="B617" i="3" s="1"/>
  <c r="W616" i="3" l="1"/>
  <c r="L616" i="3"/>
  <c r="Z617" i="3"/>
  <c r="AC617" i="3"/>
  <c r="AD617" i="3"/>
  <c r="P617" i="3"/>
  <c r="Q617" i="3" s="1"/>
  <c r="R617" i="3" s="1"/>
  <c r="S617" i="3" s="1"/>
  <c r="AA617" i="3"/>
  <c r="U616" i="3" l="1"/>
  <c r="Y615" i="3"/>
  <c r="T617" i="3"/>
  <c r="AG617" i="3" s="1"/>
  <c r="D617" i="3" l="1"/>
  <c r="G617" i="3" s="1"/>
  <c r="E617" i="3"/>
  <c r="H617" i="3" s="1"/>
  <c r="K617" i="3" s="1"/>
  <c r="AE617" i="3" s="1"/>
  <c r="AH617" i="3"/>
  <c r="F617" i="3" l="1"/>
  <c r="I617" i="3"/>
  <c r="J617" i="3"/>
  <c r="M617" i="3"/>
  <c r="N617" i="3" s="1"/>
  <c r="V617" i="3"/>
  <c r="A618" i="3"/>
  <c r="B618" i="3" s="1"/>
  <c r="W617" i="3" l="1"/>
  <c r="L617" i="3"/>
  <c r="P618" i="3"/>
  <c r="Q618" i="3" s="1"/>
  <c r="R618" i="3" s="1"/>
  <c r="S618" i="3" s="1"/>
  <c r="AD618" i="3"/>
  <c r="Z618" i="3"/>
  <c r="AC618" i="3"/>
  <c r="AA618" i="3"/>
  <c r="U617" i="3" l="1"/>
  <c r="Y616" i="3"/>
  <c r="T618" i="3"/>
  <c r="E618" i="3" l="1"/>
  <c r="H618" i="3" s="1"/>
  <c r="K618" i="3" s="1"/>
  <c r="AE618" i="3" s="1"/>
  <c r="AG618" i="3"/>
  <c r="D618" i="3"/>
  <c r="AH618" i="3"/>
  <c r="F618" i="3" l="1"/>
  <c r="G618" i="3"/>
  <c r="V618" i="3"/>
  <c r="A619" i="3"/>
  <c r="B619" i="3" s="1"/>
  <c r="P619" i="3" l="1"/>
  <c r="Q619" i="3" s="1"/>
  <c r="R619" i="3" s="1"/>
  <c r="S619" i="3" s="1"/>
  <c r="AD619" i="3"/>
  <c r="AA619" i="3"/>
  <c r="AC619" i="3"/>
  <c r="Z619" i="3"/>
  <c r="I618" i="3"/>
  <c r="W618" i="3" s="1"/>
  <c r="J618" i="3"/>
  <c r="M618" i="3"/>
  <c r="N618" i="3" s="1"/>
  <c r="T619" i="3" l="1"/>
  <c r="L618" i="3"/>
  <c r="AH619" i="3" l="1"/>
  <c r="AG619" i="3"/>
  <c r="U618" i="3"/>
  <c r="D619" i="3" s="1"/>
  <c r="Y617" i="3"/>
  <c r="E619" i="3" l="1"/>
  <c r="H619" i="3" s="1"/>
  <c r="K619" i="3" s="1"/>
  <c r="AE619" i="3" s="1"/>
  <c r="G619" i="3"/>
  <c r="F619" i="3" l="1"/>
  <c r="I619" i="3"/>
  <c r="J619" i="3"/>
  <c r="M619" i="3"/>
  <c r="N619" i="3" s="1"/>
  <c r="V619" i="3"/>
  <c r="A620" i="3"/>
  <c r="B620" i="3" s="1"/>
  <c r="W619" i="3" l="1"/>
  <c r="L619" i="3"/>
  <c r="AC620" i="3"/>
  <c r="AD620" i="3"/>
  <c r="P620" i="3"/>
  <c r="Q620" i="3" s="1"/>
  <c r="R620" i="3" s="1"/>
  <c r="S620" i="3" s="1"/>
  <c r="AA620" i="3"/>
  <c r="Z620" i="3"/>
  <c r="T620" i="3" l="1"/>
  <c r="AH620" i="3" s="1"/>
  <c r="U619" i="3"/>
  <c r="Y618" i="3"/>
  <c r="E620" i="3" l="1"/>
  <c r="H620" i="3" s="1"/>
  <c r="K620" i="3" s="1"/>
  <c r="AE620" i="3" s="1"/>
  <c r="D620" i="3"/>
  <c r="G620" i="3" s="1"/>
  <c r="AG620" i="3"/>
  <c r="F620" i="3" l="1"/>
  <c r="I620" i="3"/>
  <c r="J620" i="3"/>
  <c r="M620" i="3"/>
  <c r="N620" i="3" s="1"/>
  <c r="V620" i="3"/>
  <c r="A621" i="3"/>
  <c r="B621" i="3" s="1"/>
  <c r="W620" i="3" l="1"/>
  <c r="L620" i="3"/>
  <c r="AD621" i="3"/>
  <c r="AC621" i="3"/>
  <c r="AA621" i="3"/>
  <c r="P621" i="3"/>
  <c r="Q621" i="3" s="1"/>
  <c r="R621" i="3" s="1"/>
  <c r="S621" i="3" s="1"/>
  <c r="Z621" i="3"/>
  <c r="U620" i="3" l="1"/>
  <c r="Y619" i="3"/>
  <c r="T621" i="3"/>
  <c r="D621" i="3" l="1"/>
  <c r="G621" i="3" s="1"/>
  <c r="AH621" i="3"/>
  <c r="E621" i="3"/>
  <c r="H621" i="3" s="1"/>
  <c r="AG621" i="3"/>
  <c r="F621" i="3" l="1"/>
  <c r="I621" i="3"/>
  <c r="J621" i="3"/>
  <c r="M621" i="3"/>
  <c r="N621" i="3" s="1"/>
  <c r="K621" i="3"/>
  <c r="AE621" i="3" s="1"/>
  <c r="V621" i="3" l="1"/>
  <c r="W621" i="3" s="1"/>
  <c r="A622" i="3"/>
  <c r="B622" i="3" s="1"/>
  <c r="L621" i="3"/>
  <c r="U621" i="3" l="1"/>
  <c r="Y620" i="3"/>
  <c r="AA622" i="3"/>
  <c r="AC622" i="3"/>
  <c r="P622" i="3"/>
  <c r="Q622" i="3" s="1"/>
  <c r="R622" i="3" s="1"/>
  <c r="S622" i="3" s="1"/>
  <c r="Z622" i="3"/>
  <c r="AD622" i="3"/>
  <c r="T622" i="3" l="1"/>
  <c r="AG622" i="3" s="1"/>
  <c r="D622" i="3" l="1"/>
  <c r="E622" i="3"/>
  <c r="H622" i="3" s="1"/>
  <c r="K622" i="3" s="1"/>
  <c r="AE622" i="3" s="1"/>
  <c r="AH622" i="3"/>
  <c r="F622" i="3" l="1"/>
  <c r="G622" i="3"/>
  <c r="I622" i="3" s="1"/>
  <c r="V622" i="3"/>
  <c r="A623" i="3"/>
  <c r="B623" i="3" s="1"/>
  <c r="M622" i="3" l="1"/>
  <c r="N622" i="3" s="1"/>
  <c r="J622" i="3"/>
  <c r="L622" i="3" s="1"/>
  <c r="W622" i="3"/>
  <c r="P623" i="3"/>
  <c r="Q623" i="3" s="1"/>
  <c r="R623" i="3" s="1"/>
  <c r="S623" i="3" s="1"/>
  <c r="Z623" i="3"/>
  <c r="AD623" i="3"/>
  <c r="AA623" i="3"/>
  <c r="AC623" i="3"/>
  <c r="U622" i="3" l="1"/>
  <c r="Y621" i="3"/>
  <c r="T623" i="3"/>
  <c r="D623" i="3" l="1"/>
  <c r="G623" i="3" s="1"/>
  <c r="AH623" i="3"/>
  <c r="AG623" i="3"/>
  <c r="E623" i="3"/>
  <c r="H623" i="3" s="1"/>
  <c r="K623" i="3" l="1"/>
  <c r="AE623" i="3" s="1"/>
  <c r="I623" i="3"/>
  <c r="J623" i="3"/>
  <c r="M623" i="3"/>
  <c r="N623" i="3" s="1"/>
  <c r="F623" i="3"/>
  <c r="L623" i="3" l="1"/>
  <c r="V623" i="3"/>
  <c r="W623" i="3" s="1"/>
  <c r="A624" i="3"/>
  <c r="B624" i="3" s="1"/>
  <c r="U623" i="3" l="1"/>
  <c r="Y622" i="3"/>
  <c r="AA624" i="3"/>
  <c r="Z624" i="3"/>
  <c r="AC624" i="3"/>
  <c r="P624" i="3"/>
  <c r="Q624" i="3" s="1"/>
  <c r="R624" i="3" s="1"/>
  <c r="S624" i="3" s="1"/>
  <c r="T624" i="3" l="1"/>
  <c r="D624" i="3" s="1"/>
  <c r="AG624" i="3" l="1"/>
  <c r="AH624" i="3"/>
  <c r="E624" i="3"/>
  <c r="H624" i="3" s="1"/>
  <c r="K624" i="3" s="1"/>
  <c r="AE624" i="3" s="1"/>
  <c r="G624" i="3"/>
  <c r="F624" i="3" l="1"/>
  <c r="I624" i="3"/>
  <c r="J624" i="3"/>
  <c r="AD624" i="3" s="1"/>
  <c r="M624" i="3"/>
  <c r="N624" i="3" s="1"/>
  <c r="V624" i="3"/>
  <c r="A625" i="3"/>
  <c r="B625" i="3" s="1"/>
  <c r="W624" i="3" l="1"/>
  <c r="L624" i="3"/>
  <c r="P625" i="3"/>
  <c r="Q625" i="3" s="1"/>
  <c r="R625" i="3" s="1"/>
  <c r="S625" i="3" s="1"/>
  <c r="AD625" i="3"/>
  <c r="AA625" i="3"/>
  <c r="Z625" i="3"/>
  <c r="AC625" i="3"/>
  <c r="U624" i="3" l="1"/>
  <c r="Y623" i="3"/>
  <c r="T625" i="3"/>
  <c r="D625" i="3" l="1"/>
  <c r="G625" i="3" s="1"/>
  <c r="E625" i="3"/>
  <c r="H625" i="3" s="1"/>
  <c r="AH625" i="3"/>
  <c r="AG625" i="3"/>
  <c r="F625" i="3" l="1"/>
  <c r="I625" i="3"/>
  <c r="J625" i="3"/>
  <c r="M625" i="3"/>
  <c r="N625" i="3" s="1"/>
  <c r="K625" i="3"/>
  <c r="AE625" i="3" s="1"/>
  <c r="V625" i="3" l="1"/>
  <c r="W625" i="3" s="1"/>
  <c r="A626" i="3"/>
  <c r="B626" i="3" s="1"/>
  <c r="L625" i="3"/>
  <c r="U625" i="3" l="1"/>
  <c r="Y624" i="3"/>
  <c r="AD626" i="3"/>
  <c r="Z626" i="3"/>
  <c r="AC626" i="3"/>
  <c r="P626" i="3"/>
  <c r="Q626" i="3" s="1"/>
  <c r="R626" i="3" s="1"/>
  <c r="S626" i="3" s="1"/>
  <c r="AA626" i="3"/>
  <c r="T626" i="3" l="1"/>
  <c r="E626" i="3" s="1"/>
  <c r="H626" i="3" s="1"/>
  <c r="AG626" i="3" l="1"/>
  <c r="K626" i="3"/>
  <c r="AE626" i="3" s="1"/>
  <c r="D626" i="3"/>
  <c r="AH626" i="3"/>
  <c r="V626" i="3" l="1"/>
  <c r="A627" i="3"/>
  <c r="B627" i="3" s="1"/>
  <c r="F626" i="3"/>
  <c r="G626" i="3"/>
  <c r="I626" i="3" l="1"/>
  <c r="W626" i="3" s="1"/>
  <c r="J626" i="3"/>
  <c r="M626" i="3"/>
  <c r="N626" i="3" s="1"/>
  <c r="Z627" i="3"/>
  <c r="AD627" i="3"/>
  <c r="P627" i="3"/>
  <c r="Q627" i="3" s="1"/>
  <c r="R627" i="3" s="1"/>
  <c r="S627" i="3" s="1"/>
  <c r="AC627" i="3"/>
  <c r="AA627" i="3"/>
  <c r="L626" i="3" l="1"/>
  <c r="T627" i="3"/>
  <c r="AG627" i="3" l="1"/>
  <c r="U626" i="3"/>
  <c r="D627" i="3" s="1"/>
  <c r="AH627" i="3"/>
  <c r="Y625" i="3"/>
  <c r="G627" i="3" l="1"/>
  <c r="E627" i="3"/>
  <c r="H627" i="3" s="1"/>
  <c r="K627" i="3" l="1"/>
  <c r="AE627" i="3" s="1"/>
  <c r="I627" i="3"/>
  <c r="J627" i="3"/>
  <c r="M627" i="3"/>
  <c r="N627" i="3" s="1"/>
  <c r="F627" i="3"/>
  <c r="L627" i="3" l="1"/>
  <c r="V627" i="3"/>
  <c r="W627" i="3" s="1"/>
  <c r="A628" i="3"/>
  <c r="B628" i="3" s="1"/>
  <c r="Z628" i="3" l="1"/>
  <c r="AA628" i="3"/>
  <c r="P628" i="3"/>
  <c r="Q628" i="3" s="1"/>
  <c r="R628" i="3" s="1"/>
  <c r="S628" i="3" s="1"/>
  <c r="AC628" i="3"/>
  <c r="AD628" i="3"/>
  <c r="U627" i="3"/>
  <c r="Y626" i="3"/>
  <c r="T628" i="3" l="1"/>
  <c r="D628" i="3" l="1"/>
  <c r="E628" i="3"/>
  <c r="H628" i="3" s="1"/>
  <c r="AG628" i="3"/>
  <c r="AH628" i="3"/>
  <c r="F628" i="3" l="1"/>
  <c r="G628" i="3"/>
  <c r="K628" i="3"/>
  <c r="AE628" i="3" s="1"/>
  <c r="I628" i="3" l="1"/>
  <c r="J628" i="3"/>
  <c r="M628" i="3"/>
  <c r="N628" i="3" s="1"/>
  <c r="V628" i="3"/>
  <c r="A629" i="3"/>
  <c r="B629" i="3" s="1"/>
  <c r="W628" i="3" l="1"/>
  <c r="L628" i="3"/>
  <c r="AC629" i="3"/>
  <c r="AA629" i="3"/>
  <c r="P629" i="3"/>
  <c r="Q629" i="3" s="1"/>
  <c r="R629" i="3" s="1"/>
  <c r="S629" i="3" s="1"/>
  <c r="AD629" i="3"/>
  <c r="Z629" i="3"/>
  <c r="T629" i="3" l="1"/>
  <c r="U628" i="3"/>
  <c r="Y627" i="3"/>
  <c r="E629" i="3" l="1"/>
  <c r="H629" i="3" s="1"/>
  <c r="K629" i="3" s="1"/>
  <c r="AE629" i="3" s="1"/>
  <c r="AH629" i="3"/>
  <c r="AG629" i="3"/>
  <c r="D629" i="3"/>
  <c r="F629" i="3" l="1"/>
  <c r="G629" i="3"/>
  <c r="V629" i="3"/>
  <c r="A630" i="3"/>
  <c r="B630" i="3" s="1"/>
  <c r="I629" i="3" l="1"/>
  <c r="W629" i="3" s="1"/>
  <c r="J629" i="3"/>
  <c r="M629" i="3"/>
  <c r="N629" i="3" s="1"/>
  <c r="AD630" i="3"/>
  <c r="P630" i="3"/>
  <c r="Q630" i="3" s="1"/>
  <c r="R630" i="3" s="1"/>
  <c r="S630" i="3" s="1"/>
  <c r="AC630" i="3"/>
  <c r="AA630" i="3"/>
  <c r="Z630" i="3"/>
  <c r="T630" i="3" l="1"/>
  <c r="L629" i="3"/>
  <c r="U629" i="3" l="1"/>
  <c r="D630" i="3" s="1"/>
  <c r="AH630" i="3"/>
  <c r="AG630" i="3"/>
  <c r="Y628" i="3"/>
  <c r="G630" i="3" l="1"/>
  <c r="E630" i="3"/>
  <c r="H630" i="3" s="1"/>
  <c r="F630" i="3" l="1"/>
  <c r="K630" i="3"/>
  <c r="AE630" i="3" s="1"/>
  <c r="I630" i="3"/>
  <c r="J630" i="3"/>
  <c r="M630" i="3"/>
  <c r="N630" i="3" s="1"/>
  <c r="V630" i="3" l="1"/>
  <c r="W630" i="3" s="1"/>
  <c r="A631" i="3"/>
  <c r="B631" i="3" s="1"/>
  <c r="L630" i="3"/>
  <c r="U630" i="3" l="1"/>
  <c r="Y629" i="3"/>
  <c r="AD631" i="3"/>
  <c r="P631" i="3"/>
  <c r="Q631" i="3" s="1"/>
  <c r="R631" i="3" s="1"/>
  <c r="S631" i="3" s="1"/>
  <c r="AC631" i="3"/>
  <c r="AA631" i="3"/>
  <c r="Z631" i="3"/>
  <c r="T631" i="3" l="1"/>
  <c r="D631" i="3" s="1"/>
  <c r="AH631" i="3" l="1"/>
  <c r="E631" i="3"/>
  <c r="H631" i="3" s="1"/>
  <c r="K631" i="3" s="1"/>
  <c r="AE631" i="3" s="1"/>
  <c r="G631" i="3"/>
  <c r="AG631" i="3"/>
  <c r="F631" i="3" l="1"/>
  <c r="I631" i="3"/>
  <c r="J631" i="3"/>
  <c r="M631" i="3"/>
  <c r="N631" i="3" s="1"/>
  <c r="V631" i="3"/>
  <c r="A632" i="3"/>
  <c r="B632" i="3" s="1"/>
  <c r="L631" i="3" l="1"/>
  <c r="W631" i="3"/>
  <c r="AC632" i="3"/>
  <c r="AA632" i="3"/>
  <c r="Z632" i="3"/>
  <c r="P632" i="3"/>
  <c r="Q632" i="3" s="1"/>
  <c r="R632" i="3" s="1"/>
  <c r="S632" i="3" s="1"/>
  <c r="AD632" i="3"/>
  <c r="T632" i="3" l="1"/>
  <c r="U631" i="3"/>
  <c r="Y630" i="3"/>
  <c r="D632" i="3" l="1"/>
  <c r="G632" i="3" s="1"/>
  <c r="E632" i="3"/>
  <c r="H632" i="3" s="1"/>
  <c r="K632" i="3" s="1"/>
  <c r="AE632" i="3" s="1"/>
  <c r="AG632" i="3"/>
  <c r="AH632" i="3"/>
  <c r="F632" i="3" l="1"/>
  <c r="I632" i="3"/>
  <c r="J632" i="3"/>
  <c r="M632" i="3"/>
  <c r="N632" i="3" s="1"/>
  <c r="V632" i="3"/>
  <c r="A633" i="3"/>
  <c r="B633" i="3" s="1"/>
  <c r="W632" i="3" l="1"/>
  <c r="L632" i="3"/>
  <c r="AD633" i="3"/>
  <c r="Z633" i="3"/>
  <c r="AC633" i="3"/>
  <c r="P633" i="3"/>
  <c r="Q633" i="3" s="1"/>
  <c r="R633" i="3" s="1"/>
  <c r="S633" i="3" s="1"/>
  <c r="AA633" i="3"/>
  <c r="U632" i="3" l="1"/>
  <c r="Y631" i="3"/>
  <c r="T633" i="3"/>
  <c r="AG633" i="3" s="1"/>
  <c r="D633" i="3" l="1"/>
  <c r="G633" i="3" s="1"/>
  <c r="E633" i="3"/>
  <c r="H633" i="3" s="1"/>
  <c r="K633" i="3" s="1"/>
  <c r="AE633" i="3" s="1"/>
  <c r="AH633" i="3"/>
  <c r="F633" i="3" l="1"/>
  <c r="V633" i="3"/>
  <c r="A634" i="3"/>
  <c r="B634" i="3" s="1"/>
  <c r="I633" i="3"/>
  <c r="J633" i="3"/>
  <c r="M633" i="3"/>
  <c r="N633" i="3" s="1"/>
  <c r="L633" i="3" l="1"/>
  <c r="W633" i="3"/>
  <c r="P634" i="3"/>
  <c r="Q634" i="3" s="1"/>
  <c r="R634" i="3" s="1"/>
  <c r="S634" i="3" s="1"/>
  <c r="AA634" i="3"/>
  <c r="AC634" i="3"/>
  <c r="Z634" i="3"/>
  <c r="U633" i="3" l="1"/>
  <c r="Y632" i="3"/>
  <c r="T634" i="3"/>
  <c r="AH634" i="3" s="1"/>
  <c r="E634" i="3" l="1"/>
  <c r="H634" i="3" s="1"/>
  <c r="K634" i="3" s="1"/>
  <c r="AE634" i="3" s="1"/>
  <c r="AG634" i="3"/>
  <c r="D634" i="3"/>
  <c r="F634" i="3" l="1"/>
  <c r="G634" i="3"/>
  <c r="V634" i="3"/>
  <c r="A635" i="3"/>
  <c r="B635" i="3" s="1"/>
  <c r="Z635" i="3" l="1"/>
  <c r="AA635" i="3"/>
  <c r="P635" i="3"/>
  <c r="Q635" i="3" s="1"/>
  <c r="R635" i="3" s="1"/>
  <c r="S635" i="3" s="1"/>
  <c r="AD635" i="3"/>
  <c r="AC635" i="3"/>
  <c r="I634" i="3"/>
  <c r="W634" i="3" s="1"/>
  <c r="J634" i="3"/>
  <c r="AD634" i="3" s="1"/>
  <c r="M634" i="3"/>
  <c r="N634" i="3" s="1"/>
  <c r="T635" i="3" l="1"/>
  <c r="L634" i="3"/>
  <c r="AH635" i="3" l="1"/>
  <c r="U634" i="3"/>
  <c r="D635" i="3" s="1"/>
  <c r="AG635" i="3"/>
  <c r="Y633" i="3"/>
  <c r="E635" i="3" l="1"/>
  <c r="H635" i="3" s="1"/>
  <c r="K635" i="3" s="1"/>
  <c r="AE635" i="3" s="1"/>
  <c r="G635" i="3"/>
  <c r="F635" i="3" l="1"/>
  <c r="I635" i="3"/>
  <c r="J635" i="3"/>
  <c r="M635" i="3"/>
  <c r="N635" i="3" s="1"/>
  <c r="V635" i="3"/>
  <c r="A636" i="3"/>
  <c r="B636" i="3" s="1"/>
  <c r="W635" i="3" l="1"/>
  <c r="L635" i="3"/>
  <c r="AC636" i="3"/>
  <c r="AD636" i="3"/>
  <c r="AA636" i="3"/>
  <c r="P636" i="3"/>
  <c r="Q636" i="3" s="1"/>
  <c r="R636" i="3" s="1"/>
  <c r="S636" i="3" s="1"/>
  <c r="Z636" i="3"/>
  <c r="U635" i="3" l="1"/>
  <c r="Y634" i="3"/>
  <c r="T636" i="3"/>
  <c r="AG636" i="3" s="1"/>
  <c r="AH636" i="3" l="1"/>
  <c r="D636" i="3"/>
  <c r="E636" i="3"/>
  <c r="H636" i="3" s="1"/>
  <c r="F636" i="3" l="1"/>
  <c r="G636" i="3"/>
  <c r="K636" i="3"/>
  <c r="AE636" i="3" s="1"/>
  <c r="I636" i="3" l="1"/>
  <c r="J636" i="3"/>
  <c r="M636" i="3"/>
  <c r="N636" i="3" s="1"/>
  <c r="V636" i="3"/>
  <c r="A637" i="3"/>
  <c r="B637" i="3" s="1"/>
  <c r="W636" i="3" l="1"/>
  <c r="L636" i="3"/>
  <c r="Z637" i="3"/>
  <c r="P637" i="3"/>
  <c r="Q637" i="3" s="1"/>
  <c r="R637" i="3" s="1"/>
  <c r="S637" i="3" s="1"/>
  <c r="AC637" i="3"/>
  <c r="AD637" i="3"/>
  <c r="AA637" i="3"/>
  <c r="U636" i="3" l="1"/>
  <c r="Y635" i="3"/>
  <c r="T637" i="3"/>
  <c r="AG637" i="3" s="1"/>
  <c r="D637" i="3" l="1"/>
  <c r="AH637" i="3"/>
  <c r="E637" i="3"/>
  <c r="H637" i="3" s="1"/>
  <c r="F637" i="3" l="1"/>
  <c r="G637" i="3"/>
  <c r="K637" i="3"/>
  <c r="AE637" i="3" s="1"/>
  <c r="I637" i="3" l="1"/>
  <c r="J637" i="3"/>
  <c r="M637" i="3"/>
  <c r="N637" i="3" s="1"/>
  <c r="V637" i="3"/>
  <c r="A638" i="3"/>
  <c r="B638" i="3" s="1"/>
  <c r="W637" i="3" l="1"/>
  <c r="L637" i="3"/>
  <c r="P638" i="3"/>
  <c r="Q638" i="3" s="1"/>
  <c r="R638" i="3" s="1"/>
  <c r="S638" i="3" s="1"/>
  <c r="AD638" i="3"/>
  <c r="AC638" i="3"/>
  <c r="AA638" i="3"/>
  <c r="Z638" i="3"/>
  <c r="T638" i="3" l="1"/>
  <c r="AG638" i="3" s="1"/>
  <c r="U637" i="3"/>
  <c r="Y636" i="3"/>
  <c r="D638" i="3" l="1"/>
  <c r="G638" i="3" s="1"/>
  <c r="E638" i="3"/>
  <c r="H638" i="3" s="1"/>
  <c r="AH638" i="3"/>
  <c r="F638" i="3" l="1"/>
  <c r="I638" i="3"/>
  <c r="J638" i="3"/>
  <c r="M638" i="3"/>
  <c r="N638" i="3" s="1"/>
  <c r="K638" i="3"/>
  <c r="AE638" i="3" s="1"/>
  <c r="V638" i="3" l="1"/>
  <c r="W638" i="3" s="1"/>
  <c r="A639" i="3"/>
  <c r="B639" i="3" s="1"/>
  <c r="L638" i="3"/>
  <c r="U638" i="3" l="1"/>
  <c r="Y637" i="3"/>
  <c r="AC639" i="3"/>
  <c r="P639" i="3"/>
  <c r="Q639" i="3" s="1"/>
  <c r="R639" i="3" s="1"/>
  <c r="S639" i="3" s="1"/>
  <c r="AA639" i="3"/>
  <c r="AD639" i="3"/>
  <c r="Z639" i="3"/>
  <c r="T639" i="3" l="1"/>
  <c r="D639" i="3" s="1"/>
  <c r="AG639" i="3" l="1"/>
  <c r="E639" i="3"/>
  <c r="H639" i="3" s="1"/>
  <c r="K639" i="3" s="1"/>
  <c r="AE639" i="3" s="1"/>
  <c r="AH639" i="3"/>
  <c r="G639" i="3"/>
  <c r="F639" i="3" l="1"/>
  <c r="V639" i="3"/>
  <c r="A640" i="3"/>
  <c r="B640" i="3" s="1"/>
  <c r="I639" i="3"/>
  <c r="J639" i="3"/>
  <c r="M639" i="3"/>
  <c r="N639" i="3" s="1"/>
  <c r="W639" i="3" l="1"/>
  <c r="L639" i="3"/>
  <c r="AD640" i="3"/>
  <c r="P640" i="3"/>
  <c r="Q640" i="3" s="1"/>
  <c r="R640" i="3" s="1"/>
  <c r="S640" i="3" s="1"/>
  <c r="AA640" i="3"/>
  <c r="AC640" i="3"/>
  <c r="Z640" i="3"/>
  <c r="U639" i="3" l="1"/>
  <c r="Y638" i="3"/>
  <c r="T640" i="3"/>
  <c r="E640" i="3" l="1"/>
  <c r="H640" i="3" s="1"/>
  <c r="K640" i="3" s="1"/>
  <c r="AE640" i="3" s="1"/>
  <c r="D640" i="3"/>
  <c r="AG640" i="3"/>
  <c r="AH640" i="3"/>
  <c r="F640" i="3" l="1"/>
  <c r="G640" i="3"/>
  <c r="V640" i="3"/>
  <c r="A641" i="3"/>
  <c r="B641" i="3" s="1"/>
  <c r="AC641" i="3" l="1"/>
  <c r="AA641" i="3"/>
  <c r="AD641" i="3"/>
  <c r="Z641" i="3"/>
  <c r="P641" i="3"/>
  <c r="Q641" i="3" s="1"/>
  <c r="R641" i="3" s="1"/>
  <c r="S641" i="3" s="1"/>
  <c r="I640" i="3"/>
  <c r="W640" i="3" s="1"/>
  <c r="J640" i="3"/>
  <c r="M640" i="3"/>
  <c r="N640" i="3" s="1"/>
  <c r="L640" i="3" l="1"/>
  <c r="T641" i="3"/>
  <c r="U640" i="3" l="1"/>
  <c r="E641" i="3" s="1"/>
  <c r="H641" i="3" s="1"/>
  <c r="AG641" i="3"/>
  <c r="AH641" i="3"/>
  <c r="Y639" i="3"/>
  <c r="K641" i="3" l="1"/>
  <c r="AE641" i="3" s="1"/>
  <c r="D641" i="3"/>
  <c r="V641" i="3" l="1"/>
  <c r="A642" i="3"/>
  <c r="B642" i="3" s="1"/>
  <c r="F641" i="3"/>
  <c r="G641" i="3"/>
  <c r="I641" i="3" l="1"/>
  <c r="W641" i="3" s="1"/>
  <c r="J641" i="3"/>
  <c r="M641" i="3"/>
  <c r="N641" i="3" s="1"/>
  <c r="Z642" i="3"/>
  <c r="AD642" i="3"/>
  <c r="P642" i="3"/>
  <c r="Q642" i="3" s="1"/>
  <c r="R642" i="3" s="1"/>
  <c r="S642" i="3" s="1"/>
  <c r="AC642" i="3"/>
  <c r="AA642" i="3"/>
  <c r="T642" i="3" l="1"/>
  <c r="L641" i="3"/>
  <c r="U641" i="3" l="1"/>
  <c r="D642" i="3" s="1"/>
  <c r="AG642" i="3"/>
  <c r="AH642" i="3"/>
  <c r="Y640" i="3"/>
  <c r="E642" i="3" l="1"/>
  <c r="H642" i="3" s="1"/>
  <c r="K642" i="3" s="1"/>
  <c r="AE642" i="3" s="1"/>
  <c r="G642" i="3"/>
  <c r="F642" i="3" l="1"/>
  <c r="I642" i="3"/>
  <c r="J642" i="3"/>
  <c r="M642" i="3"/>
  <c r="N642" i="3" s="1"/>
  <c r="V642" i="3"/>
  <c r="A643" i="3"/>
  <c r="B643" i="3" s="1"/>
  <c r="W642" i="3" l="1"/>
  <c r="L642" i="3"/>
  <c r="AA643" i="3"/>
  <c r="AD643" i="3"/>
  <c r="AC643" i="3"/>
  <c r="P643" i="3"/>
  <c r="Q643" i="3" s="1"/>
  <c r="R643" i="3" s="1"/>
  <c r="S643" i="3" s="1"/>
  <c r="Z643" i="3"/>
  <c r="U642" i="3" l="1"/>
  <c r="Y641" i="3"/>
  <c r="T643" i="3"/>
  <c r="AH643" i="3" s="1"/>
  <c r="AG643" i="3" l="1"/>
  <c r="E643" i="3"/>
  <c r="H643" i="3" s="1"/>
  <c r="K643" i="3" s="1"/>
  <c r="AE643" i="3" s="1"/>
  <c r="D643" i="3"/>
  <c r="F643" i="3" l="1"/>
  <c r="G643" i="3"/>
  <c r="M643" i="3" s="1"/>
  <c r="N643" i="3" s="1"/>
  <c r="V643" i="3"/>
  <c r="A644" i="3"/>
  <c r="B644" i="3" s="1"/>
  <c r="I643" i="3" l="1"/>
  <c r="W643" i="3" s="1"/>
  <c r="J643" i="3"/>
  <c r="L643" i="3" s="1"/>
  <c r="P644" i="3"/>
  <c r="Q644" i="3" s="1"/>
  <c r="R644" i="3" s="1"/>
  <c r="S644" i="3" s="1"/>
  <c r="AA644" i="3"/>
  <c r="AC644" i="3"/>
  <c r="Z644" i="3"/>
  <c r="U643" i="3" l="1"/>
  <c r="Y642" i="3"/>
  <c r="T644" i="3"/>
  <c r="AG644" i="3" s="1"/>
  <c r="AH644" i="3" l="1"/>
  <c r="D644" i="3"/>
  <c r="E644" i="3"/>
  <c r="H644" i="3" s="1"/>
  <c r="K644" i="3" l="1"/>
  <c r="AE644" i="3" s="1"/>
  <c r="F644" i="3"/>
  <c r="G644" i="3"/>
  <c r="I644" i="3" l="1"/>
  <c r="J644" i="3"/>
  <c r="AD644" i="3" s="1"/>
  <c r="M644" i="3"/>
  <c r="N644" i="3" s="1"/>
  <c r="V644" i="3"/>
  <c r="A645" i="3"/>
  <c r="B645" i="3" s="1"/>
  <c r="L644" i="3" l="1"/>
  <c r="W644" i="3"/>
  <c r="Z645" i="3"/>
  <c r="P645" i="3"/>
  <c r="Q645" i="3" s="1"/>
  <c r="R645" i="3" s="1"/>
  <c r="S645" i="3" s="1"/>
  <c r="AD645" i="3"/>
  <c r="AA645" i="3"/>
  <c r="AC645" i="3"/>
  <c r="U644" i="3" l="1"/>
  <c r="Y643" i="3"/>
  <c r="T645" i="3"/>
  <c r="AG645" i="3" s="1"/>
  <c r="D645" i="3" l="1"/>
  <c r="AH645" i="3"/>
  <c r="E645" i="3"/>
  <c r="H645" i="3" s="1"/>
  <c r="F645" i="3" l="1"/>
  <c r="G645" i="3"/>
  <c r="K645" i="3"/>
  <c r="AE645" i="3" s="1"/>
  <c r="I645" i="3" l="1"/>
  <c r="J645" i="3"/>
  <c r="M645" i="3"/>
  <c r="N645" i="3" s="1"/>
  <c r="V645" i="3"/>
  <c r="A646" i="3"/>
  <c r="B646" i="3" s="1"/>
  <c r="W645" i="3" l="1"/>
  <c r="L645" i="3"/>
  <c r="AA646" i="3"/>
  <c r="Z646" i="3"/>
  <c r="AC646" i="3"/>
  <c r="AD646" i="3"/>
  <c r="P646" i="3"/>
  <c r="Q646" i="3" s="1"/>
  <c r="R646" i="3" s="1"/>
  <c r="S646" i="3" s="1"/>
  <c r="U645" i="3" l="1"/>
  <c r="Y644" i="3"/>
  <c r="T646" i="3"/>
  <c r="AG646" i="3" s="1"/>
  <c r="E646" i="3" l="1"/>
  <c r="H646" i="3" s="1"/>
  <c r="D646" i="3"/>
  <c r="AH646" i="3"/>
  <c r="F646" i="3" l="1"/>
  <c r="G646" i="3"/>
  <c r="K646" i="3"/>
  <c r="AE646" i="3" s="1"/>
  <c r="I646" i="3" l="1"/>
  <c r="J646" i="3"/>
  <c r="M646" i="3"/>
  <c r="N646" i="3" s="1"/>
  <c r="V646" i="3"/>
  <c r="A647" i="3"/>
  <c r="B647" i="3" s="1"/>
  <c r="L646" i="3" l="1"/>
  <c r="W646" i="3"/>
  <c r="P647" i="3"/>
  <c r="Q647" i="3" s="1"/>
  <c r="R647" i="3" s="1"/>
  <c r="S647" i="3" s="1"/>
  <c r="AC647" i="3"/>
  <c r="AA647" i="3"/>
  <c r="AD647" i="3"/>
  <c r="Z647" i="3"/>
  <c r="U646" i="3" l="1"/>
  <c r="Y645" i="3"/>
  <c r="T647" i="3"/>
  <c r="AG647" i="3" s="1"/>
  <c r="E647" i="3" l="1"/>
  <c r="H647" i="3" s="1"/>
  <c r="D647" i="3"/>
  <c r="AH647" i="3"/>
  <c r="F647" i="3" l="1"/>
  <c r="G647" i="3"/>
  <c r="K647" i="3"/>
  <c r="AE647" i="3" s="1"/>
  <c r="V647" i="3" l="1"/>
  <c r="A648" i="3"/>
  <c r="B648" i="3" s="1"/>
  <c r="I647" i="3"/>
  <c r="J647" i="3"/>
  <c r="M647" i="3"/>
  <c r="N647" i="3" s="1"/>
  <c r="W647" i="3" l="1"/>
  <c r="L647" i="3"/>
  <c r="AC648" i="3"/>
  <c r="AA648" i="3"/>
  <c r="P648" i="3"/>
  <c r="Q648" i="3" s="1"/>
  <c r="R648" i="3" s="1"/>
  <c r="S648" i="3" s="1"/>
  <c r="Z648" i="3"/>
  <c r="AD648" i="3"/>
  <c r="T648" i="3" l="1"/>
  <c r="AH648" i="3" s="1"/>
  <c r="U647" i="3"/>
  <c r="Y646" i="3"/>
  <c r="D648" i="3" l="1"/>
  <c r="AG648" i="3"/>
  <c r="E648" i="3"/>
  <c r="H648" i="3" s="1"/>
  <c r="F648" i="3" l="1"/>
  <c r="G648" i="3"/>
  <c r="K648" i="3"/>
  <c r="AE648" i="3" s="1"/>
  <c r="I648" i="3" l="1"/>
  <c r="J648" i="3"/>
  <c r="M648" i="3"/>
  <c r="N648" i="3" s="1"/>
  <c r="V648" i="3"/>
  <c r="A649" i="3"/>
  <c r="B649" i="3" s="1"/>
  <c r="W648" i="3" l="1"/>
  <c r="L648" i="3"/>
  <c r="AC649" i="3"/>
  <c r="AA649" i="3"/>
  <c r="AD649" i="3"/>
  <c r="P649" i="3"/>
  <c r="Q649" i="3" s="1"/>
  <c r="R649" i="3" s="1"/>
  <c r="S649" i="3" s="1"/>
  <c r="Z649" i="3"/>
  <c r="U648" i="3" l="1"/>
  <c r="Y647" i="3"/>
  <c r="T649" i="3"/>
  <c r="E649" i="3" l="1"/>
  <c r="H649" i="3" s="1"/>
  <c r="K649" i="3" s="1"/>
  <c r="AE649" i="3" s="1"/>
  <c r="D649" i="3"/>
  <c r="AH649" i="3"/>
  <c r="AG649" i="3"/>
  <c r="V649" i="3" l="1"/>
  <c r="A650" i="3"/>
  <c r="B650" i="3" s="1"/>
  <c r="F649" i="3"/>
  <c r="G649" i="3"/>
  <c r="I649" i="3" l="1"/>
  <c r="W649" i="3" s="1"/>
  <c r="J649" i="3"/>
  <c r="M649" i="3"/>
  <c r="N649" i="3" s="1"/>
  <c r="AA650" i="3"/>
  <c r="P650" i="3"/>
  <c r="Q650" i="3" s="1"/>
  <c r="R650" i="3" s="1"/>
  <c r="S650" i="3" s="1"/>
  <c r="Z650" i="3"/>
  <c r="AD650" i="3"/>
  <c r="AC650" i="3"/>
  <c r="L649" i="3" l="1"/>
  <c r="T650" i="3"/>
  <c r="U649" i="3" l="1"/>
  <c r="E650" i="3" s="1"/>
  <c r="H650" i="3" s="1"/>
  <c r="AG650" i="3"/>
  <c r="AH650" i="3"/>
  <c r="Y648" i="3"/>
  <c r="K650" i="3" l="1"/>
  <c r="AE650" i="3" s="1"/>
  <c r="D650" i="3"/>
  <c r="V650" i="3" l="1"/>
  <c r="A651" i="3"/>
  <c r="B651" i="3" s="1"/>
  <c r="F650" i="3"/>
  <c r="G650" i="3"/>
  <c r="I650" i="3" l="1"/>
  <c r="W650" i="3" s="1"/>
  <c r="J650" i="3"/>
  <c r="M650" i="3"/>
  <c r="N650" i="3" s="1"/>
  <c r="Z651" i="3"/>
  <c r="AC651" i="3"/>
  <c r="P651" i="3"/>
  <c r="Q651" i="3" s="1"/>
  <c r="R651" i="3" s="1"/>
  <c r="S651" i="3" s="1"/>
  <c r="AA651" i="3"/>
  <c r="AD651" i="3"/>
  <c r="T651" i="3" l="1"/>
  <c r="L650" i="3"/>
  <c r="AH651" i="3" l="1"/>
  <c r="U650" i="3"/>
  <c r="E651" i="3" s="1"/>
  <c r="H651" i="3" s="1"/>
  <c r="AG651" i="3"/>
  <c r="Y649" i="3"/>
  <c r="D651" i="3" l="1"/>
  <c r="G651" i="3" s="1"/>
  <c r="K651" i="3"/>
  <c r="AE651" i="3" s="1"/>
  <c r="F651" i="3" l="1"/>
  <c r="I651" i="3"/>
  <c r="J651" i="3"/>
  <c r="M651" i="3"/>
  <c r="N651" i="3" s="1"/>
  <c r="V651" i="3"/>
  <c r="A652" i="3"/>
  <c r="B652" i="3" s="1"/>
  <c r="W651" i="3" l="1"/>
  <c r="L651" i="3"/>
  <c r="P652" i="3"/>
  <c r="Q652" i="3" s="1"/>
  <c r="R652" i="3" s="1"/>
  <c r="S652" i="3" s="1"/>
  <c r="AC652" i="3"/>
  <c r="AA652" i="3"/>
  <c r="Z652" i="3"/>
  <c r="AD652" i="3"/>
  <c r="U651" i="3" l="1"/>
  <c r="Y650" i="3"/>
  <c r="T652" i="3"/>
  <c r="E652" i="3" l="1"/>
  <c r="H652" i="3" s="1"/>
  <c r="K652" i="3" s="1"/>
  <c r="AE652" i="3" s="1"/>
  <c r="AH652" i="3"/>
  <c r="AG652" i="3"/>
  <c r="D652" i="3"/>
  <c r="G652" i="3" s="1"/>
  <c r="F652" i="3" l="1"/>
  <c r="V652" i="3"/>
  <c r="A653" i="3"/>
  <c r="B653" i="3" s="1"/>
  <c r="I652" i="3"/>
  <c r="J652" i="3"/>
  <c r="M652" i="3"/>
  <c r="N652" i="3" s="1"/>
  <c r="W652" i="3" l="1"/>
  <c r="L652" i="3"/>
  <c r="Z653" i="3"/>
  <c r="AA653" i="3"/>
  <c r="P653" i="3"/>
  <c r="Q653" i="3" s="1"/>
  <c r="R653" i="3" s="1"/>
  <c r="S653" i="3" s="1"/>
  <c r="AD653" i="3"/>
  <c r="AC653" i="3"/>
  <c r="T653" i="3" l="1"/>
  <c r="AG653" i="3" s="1"/>
  <c r="U652" i="3"/>
  <c r="Y651" i="3"/>
  <c r="AH653" i="3" l="1"/>
  <c r="E653" i="3"/>
  <c r="H653" i="3" s="1"/>
  <c r="D653" i="3"/>
  <c r="K653" i="3" l="1"/>
  <c r="AE653" i="3" s="1"/>
  <c r="F653" i="3"/>
  <c r="G653" i="3"/>
  <c r="V653" i="3" l="1"/>
  <c r="A654" i="3"/>
  <c r="B654" i="3" s="1"/>
  <c r="I653" i="3"/>
  <c r="J653" i="3"/>
  <c r="M653" i="3"/>
  <c r="N653" i="3" s="1"/>
  <c r="W653" i="3" l="1"/>
  <c r="L653" i="3"/>
  <c r="Z654" i="3"/>
  <c r="P654" i="3"/>
  <c r="Q654" i="3" s="1"/>
  <c r="R654" i="3" s="1"/>
  <c r="S654" i="3" s="1"/>
  <c r="AC654" i="3"/>
  <c r="AA654" i="3"/>
  <c r="T654" i="3" l="1"/>
  <c r="AG654" i="3" s="1"/>
  <c r="U653" i="3"/>
  <c r="Y652" i="3"/>
  <c r="AH654" i="3" l="1"/>
  <c r="E654" i="3"/>
  <c r="H654" i="3" s="1"/>
  <c r="D654" i="3"/>
  <c r="K654" i="3" l="1"/>
  <c r="AE654" i="3" s="1"/>
  <c r="F654" i="3"/>
  <c r="G654" i="3"/>
  <c r="V654" i="3" l="1"/>
  <c r="A655" i="3"/>
  <c r="B655" i="3" s="1"/>
  <c r="I654" i="3"/>
  <c r="J654" i="3"/>
  <c r="AD654" i="3" s="1"/>
  <c r="M654" i="3"/>
  <c r="N654" i="3" s="1"/>
  <c r="L654" i="3" l="1"/>
  <c r="AD655" i="3"/>
  <c r="AC655" i="3"/>
  <c r="P655" i="3"/>
  <c r="Q655" i="3" s="1"/>
  <c r="R655" i="3" s="1"/>
  <c r="S655" i="3" s="1"/>
  <c r="Z655" i="3"/>
  <c r="AA655" i="3"/>
  <c r="W654" i="3"/>
  <c r="U654" i="3" l="1"/>
  <c r="Y653" i="3"/>
  <c r="T655" i="3"/>
  <c r="AH655" i="3" s="1"/>
  <c r="AG655" i="3" l="1"/>
  <c r="D655" i="3"/>
  <c r="E655" i="3"/>
  <c r="H655" i="3" s="1"/>
  <c r="K655" i="3" l="1"/>
  <c r="AE655" i="3" s="1"/>
  <c r="F655" i="3"/>
  <c r="G655" i="3"/>
  <c r="V655" i="3" l="1"/>
  <c r="A656" i="3"/>
  <c r="B656" i="3" s="1"/>
  <c r="I655" i="3"/>
  <c r="J655" i="3"/>
  <c r="M655" i="3"/>
  <c r="N655" i="3" s="1"/>
  <c r="W655" i="3" l="1"/>
  <c r="L655" i="3"/>
  <c r="Z656" i="3"/>
  <c r="AA656" i="3"/>
  <c r="AD656" i="3"/>
  <c r="AC656" i="3"/>
  <c r="P656" i="3"/>
  <c r="Q656" i="3" s="1"/>
  <c r="R656" i="3" s="1"/>
  <c r="S656" i="3" s="1"/>
  <c r="T656" i="3" l="1"/>
  <c r="U655" i="3"/>
  <c r="Y654" i="3"/>
  <c r="E656" i="3" l="1"/>
  <c r="H656" i="3" s="1"/>
  <c r="K656" i="3" s="1"/>
  <c r="AE656" i="3" s="1"/>
  <c r="AH656" i="3"/>
  <c r="D656" i="3"/>
  <c r="AG656" i="3"/>
  <c r="F656" i="3" l="1"/>
  <c r="G656" i="3"/>
  <c r="V656" i="3"/>
  <c r="A657" i="3"/>
  <c r="B657" i="3" s="1"/>
  <c r="I656" i="3" l="1"/>
  <c r="W656" i="3" s="1"/>
  <c r="J656" i="3"/>
  <c r="M656" i="3"/>
  <c r="N656" i="3" s="1"/>
  <c r="AC657" i="3"/>
  <c r="AD657" i="3"/>
  <c r="P657" i="3"/>
  <c r="Q657" i="3" s="1"/>
  <c r="R657" i="3" s="1"/>
  <c r="S657" i="3" s="1"/>
  <c r="AA657" i="3"/>
  <c r="Z657" i="3"/>
  <c r="L656" i="3" l="1"/>
  <c r="T657" i="3"/>
  <c r="AH657" i="3" l="1"/>
  <c r="U656" i="3"/>
  <c r="E657" i="3" s="1"/>
  <c r="H657" i="3" s="1"/>
  <c r="AG657" i="3"/>
  <c r="Y655" i="3"/>
  <c r="D657" i="3" l="1"/>
  <c r="G657" i="3" s="1"/>
  <c r="K657" i="3"/>
  <c r="AE657" i="3" s="1"/>
  <c r="F657" i="3" l="1"/>
  <c r="I657" i="3"/>
  <c r="J657" i="3"/>
  <c r="M657" i="3"/>
  <c r="N657" i="3" s="1"/>
  <c r="V657" i="3"/>
  <c r="A658" i="3"/>
  <c r="B658" i="3" s="1"/>
  <c r="W657" i="3" l="1"/>
  <c r="L657" i="3"/>
  <c r="AC658" i="3"/>
  <c r="Z658" i="3"/>
  <c r="AD658" i="3"/>
  <c r="AA658" i="3"/>
  <c r="P658" i="3"/>
  <c r="Q658" i="3" s="1"/>
  <c r="R658" i="3" s="1"/>
  <c r="S658" i="3" s="1"/>
  <c r="U657" i="3" l="1"/>
  <c r="Y656" i="3"/>
  <c r="T658" i="3"/>
  <c r="AG658" i="3" s="1"/>
  <c r="E658" i="3" l="1"/>
  <c r="H658" i="3" s="1"/>
  <c r="D658" i="3"/>
  <c r="AH658" i="3"/>
  <c r="K658" i="3" l="1"/>
  <c r="AE658" i="3" s="1"/>
  <c r="F658" i="3"/>
  <c r="G658" i="3"/>
  <c r="I658" i="3" l="1"/>
  <c r="J658" i="3"/>
  <c r="M658" i="3"/>
  <c r="N658" i="3" s="1"/>
  <c r="V658" i="3"/>
  <c r="A659" i="3"/>
  <c r="B659" i="3" s="1"/>
  <c r="W658" i="3" l="1"/>
  <c r="L658" i="3"/>
  <c r="AA659" i="3"/>
  <c r="P659" i="3"/>
  <c r="Q659" i="3" s="1"/>
  <c r="R659" i="3" s="1"/>
  <c r="S659" i="3" s="1"/>
  <c r="Z659" i="3"/>
  <c r="AD659" i="3"/>
  <c r="AC659" i="3"/>
  <c r="U658" i="3" l="1"/>
  <c r="Y657" i="3"/>
  <c r="T659" i="3"/>
  <c r="AH659" i="3" s="1"/>
  <c r="E659" i="3" l="1"/>
  <c r="H659" i="3" s="1"/>
  <c r="K659" i="3" s="1"/>
  <c r="AE659" i="3" s="1"/>
  <c r="AG659" i="3"/>
  <c r="D659" i="3"/>
  <c r="G659" i="3" s="1"/>
  <c r="F659" i="3" l="1"/>
  <c r="I659" i="3"/>
  <c r="J659" i="3"/>
  <c r="M659" i="3"/>
  <c r="N659" i="3" s="1"/>
  <c r="V659" i="3"/>
  <c r="A660" i="3"/>
  <c r="B660" i="3" s="1"/>
  <c r="W659" i="3" l="1"/>
  <c r="L659" i="3"/>
  <c r="AA660" i="3"/>
  <c r="P660" i="3"/>
  <c r="Q660" i="3" s="1"/>
  <c r="R660" i="3" s="1"/>
  <c r="S660" i="3" s="1"/>
  <c r="AC660" i="3"/>
  <c r="AD660" i="3"/>
  <c r="Z660" i="3"/>
  <c r="T660" i="3" l="1"/>
  <c r="AH660" i="3" s="1"/>
  <c r="U659" i="3"/>
  <c r="Y658" i="3"/>
  <c r="AG660" i="3" l="1"/>
  <c r="D660" i="3"/>
  <c r="E660" i="3"/>
  <c r="H660" i="3" s="1"/>
  <c r="K660" i="3" l="1"/>
  <c r="AE660" i="3" s="1"/>
  <c r="F660" i="3"/>
  <c r="G660" i="3"/>
  <c r="I660" i="3" l="1"/>
  <c r="J660" i="3"/>
  <c r="M660" i="3"/>
  <c r="N660" i="3" s="1"/>
  <c r="V660" i="3"/>
  <c r="A661" i="3"/>
  <c r="B661" i="3" s="1"/>
  <c r="L660" i="3" l="1"/>
  <c r="W660" i="3"/>
  <c r="Z661" i="3"/>
  <c r="P661" i="3"/>
  <c r="Q661" i="3" s="1"/>
  <c r="R661" i="3" s="1"/>
  <c r="S661" i="3" s="1"/>
  <c r="AA661" i="3"/>
  <c r="AD661" i="3"/>
  <c r="AC661" i="3"/>
  <c r="T661" i="3" l="1"/>
  <c r="U660" i="3"/>
  <c r="Y659" i="3"/>
  <c r="E661" i="3" l="1"/>
  <c r="H661" i="3" s="1"/>
  <c r="K661" i="3" s="1"/>
  <c r="AE661" i="3" s="1"/>
  <c r="D661" i="3"/>
  <c r="AH661" i="3"/>
  <c r="AG661" i="3"/>
  <c r="V661" i="3" l="1"/>
  <c r="A662" i="3"/>
  <c r="B662" i="3" s="1"/>
  <c r="F661" i="3"/>
  <c r="G661" i="3"/>
  <c r="I661" i="3" l="1"/>
  <c r="W661" i="3" s="1"/>
  <c r="J661" i="3"/>
  <c r="M661" i="3"/>
  <c r="N661" i="3" s="1"/>
  <c r="P662" i="3"/>
  <c r="Q662" i="3" s="1"/>
  <c r="R662" i="3" s="1"/>
  <c r="S662" i="3" s="1"/>
  <c r="Z662" i="3"/>
  <c r="AD662" i="3"/>
  <c r="AA662" i="3"/>
  <c r="AC662" i="3"/>
  <c r="T662" i="3" l="1"/>
  <c r="L661" i="3"/>
  <c r="AH662" i="3" l="1"/>
  <c r="AG662" i="3"/>
  <c r="U661" i="3"/>
  <c r="E662" i="3" s="1"/>
  <c r="H662" i="3" s="1"/>
  <c r="Y660" i="3"/>
  <c r="D662" i="3" l="1"/>
  <c r="F662" i="3" s="1"/>
  <c r="K662" i="3"/>
  <c r="AE662" i="3" s="1"/>
  <c r="G662" i="3" l="1"/>
  <c r="I662" i="3" s="1"/>
  <c r="V662" i="3"/>
  <c r="A663" i="3"/>
  <c r="B663" i="3" s="1"/>
  <c r="J662" i="3" l="1"/>
  <c r="L662" i="3" s="1"/>
  <c r="M662" i="3"/>
  <c r="N662" i="3" s="1"/>
  <c r="W662" i="3"/>
  <c r="AA663" i="3"/>
  <c r="Z663" i="3"/>
  <c r="P663" i="3"/>
  <c r="Q663" i="3" s="1"/>
  <c r="R663" i="3" s="1"/>
  <c r="S663" i="3" s="1"/>
  <c r="AC663" i="3"/>
  <c r="AD663" i="3"/>
  <c r="U662" i="3" l="1"/>
  <c r="Y661" i="3"/>
  <c r="T663" i="3"/>
  <c r="E663" i="3" l="1"/>
  <c r="H663" i="3" s="1"/>
  <c r="K663" i="3" s="1"/>
  <c r="AE663" i="3" s="1"/>
  <c r="AG663" i="3"/>
  <c r="AH663" i="3"/>
  <c r="D663" i="3"/>
  <c r="F663" i="3" l="1"/>
  <c r="G663" i="3"/>
  <c r="V663" i="3"/>
  <c r="A664" i="3"/>
  <c r="B664" i="3" s="1"/>
  <c r="P664" i="3" l="1"/>
  <c r="Q664" i="3" s="1"/>
  <c r="R664" i="3" s="1"/>
  <c r="S664" i="3" s="1"/>
  <c r="AA664" i="3"/>
  <c r="AC664" i="3"/>
  <c r="Z664" i="3"/>
  <c r="I663" i="3"/>
  <c r="W663" i="3" s="1"/>
  <c r="J663" i="3"/>
  <c r="M663" i="3"/>
  <c r="N663" i="3" s="1"/>
  <c r="T664" i="3" l="1"/>
  <c r="L663" i="3"/>
  <c r="AH664" i="3" l="1"/>
  <c r="U663" i="3"/>
  <c r="E664" i="3" s="1"/>
  <c r="H664" i="3" s="1"/>
  <c r="AG664" i="3"/>
  <c r="Y662" i="3"/>
  <c r="D664" i="3" l="1"/>
  <c r="G664" i="3" s="1"/>
  <c r="K664" i="3"/>
  <c r="AE664" i="3" s="1"/>
  <c r="F664" i="3" l="1"/>
  <c r="I664" i="3"/>
  <c r="J664" i="3"/>
  <c r="AD664" i="3" s="1"/>
  <c r="M664" i="3"/>
  <c r="N664" i="3" s="1"/>
  <c r="V664" i="3"/>
  <c r="A665" i="3"/>
  <c r="B665" i="3" s="1"/>
  <c r="W664" i="3" l="1"/>
  <c r="L664" i="3"/>
  <c r="AC665" i="3"/>
  <c r="P665" i="3"/>
  <c r="Q665" i="3" s="1"/>
  <c r="R665" i="3" s="1"/>
  <c r="S665" i="3" s="1"/>
  <c r="AA665" i="3"/>
  <c r="Z665" i="3"/>
  <c r="AD665" i="3"/>
  <c r="U664" i="3" l="1"/>
  <c r="Y663" i="3"/>
  <c r="T665" i="3"/>
  <c r="D665" i="3" l="1"/>
  <c r="G665" i="3" s="1"/>
  <c r="AG665" i="3"/>
  <c r="E665" i="3"/>
  <c r="H665" i="3" s="1"/>
  <c r="AH665" i="3"/>
  <c r="F665" i="3" l="1"/>
  <c r="I665" i="3"/>
  <c r="J665" i="3"/>
  <c r="M665" i="3"/>
  <c r="N665" i="3" s="1"/>
  <c r="K665" i="3"/>
  <c r="AE665" i="3" s="1"/>
  <c r="L665" i="3" l="1"/>
  <c r="V665" i="3"/>
  <c r="W665" i="3" s="1"/>
  <c r="A666" i="3"/>
  <c r="B666" i="3" s="1"/>
  <c r="U665" i="3" l="1"/>
  <c r="Y664" i="3"/>
  <c r="AA666" i="3"/>
  <c r="AD666" i="3"/>
  <c r="P666" i="3"/>
  <c r="Q666" i="3" s="1"/>
  <c r="R666" i="3" s="1"/>
  <c r="S666" i="3" s="1"/>
  <c r="Z666" i="3"/>
  <c r="AC666" i="3"/>
  <c r="T666" i="3" l="1"/>
  <c r="D666" i="3" s="1"/>
  <c r="AG666" i="3" l="1"/>
  <c r="E666" i="3"/>
  <c r="H666" i="3" s="1"/>
  <c r="K666" i="3" s="1"/>
  <c r="AE666" i="3" s="1"/>
  <c r="AH666" i="3"/>
  <c r="G666" i="3"/>
  <c r="F666" i="3" l="1"/>
  <c r="I666" i="3"/>
  <c r="J666" i="3"/>
  <c r="M666" i="3"/>
  <c r="N666" i="3" s="1"/>
  <c r="V666" i="3"/>
  <c r="A667" i="3"/>
  <c r="B667" i="3" s="1"/>
  <c r="L666" i="3" l="1"/>
  <c r="W666" i="3"/>
  <c r="AC667" i="3"/>
  <c r="Z667" i="3"/>
  <c r="P667" i="3"/>
  <c r="Q667" i="3" s="1"/>
  <c r="R667" i="3" s="1"/>
  <c r="S667" i="3" s="1"/>
  <c r="AD667" i="3"/>
  <c r="AA667" i="3"/>
  <c r="U666" i="3" l="1"/>
  <c r="Y665" i="3"/>
  <c r="T667" i="3"/>
  <c r="AG667" i="3" s="1"/>
  <c r="D667" i="3" l="1"/>
  <c r="E667" i="3"/>
  <c r="H667" i="3" s="1"/>
  <c r="AH667" i="3"/>
  <c r="F667" i="3" l="1"/>
  <c r="G667" i="3"/>
  <c r="K667" i="3"/>
  <c r="AE667" i="3" s="1"/>
  <c r="I667" i="3" l="1"/>
  <c r="J667" i="3"/>
  <c r="M667" i="3"/>
  <c r="N667" i="3" s="1"/>
  <c r="V667" i="3"/>
  <c r="A668" i="3"/>
  <c r="B668" i="3" s="1"/>
  <c r="W667" i="3" l="1"/>
  <c r="L667" i="3"/>
  <c r="Z668" i="3"/>
  <c r="P668" i="3"/>
  <c r="Q668" i="3" s="1"/>
  <c r="R668" i="3" s="1"/>
  <c r="S668" i="3" s="1"/>
  <c r="AD668" i="3"/>
  <c r="AC668" i="3"/>
  <c r="AA668" i="3"/>
  <c r="T668" i="3" l="1"/>
  <c r="AH668" i="3" s="1"/>
  <c r="U667" i="3"/>
  <c r="Y666" i="3"/>
  <c r="D668" i="3" l="1"/>
  <c r="G668" i="3" s="1"/>
  <c r="AG668" i="3"/>
  <c r="E668" i="3"/>
  <c r="H668" i="3" s="1"/>
  <c r="F668" i="3" l="1"/>
  <c r="I668" i="3"/>
  <c r="J668" i="3"/>
  <c r="M668" i="3"/>
  <c r="N668" i="3" s="1"/>
  <c r="K668" i="3"/>
  <c r="AE668" i="3" s="1"/>
  <c r="L668" i="3" l="1"/>
  <c r="V668" i="3"/>
  <c r="W668" i="3" s="1"/>
  <c r="A669" i="3"/>
  <c r="B669" i="3" s="1"/>
  <c r="AA669" i="3" l="1"/>
  <c r="P669" i="3"/>
  <c r="Q669" i="3" s="1"/>
  <c r="R669" i="3" s="1"/>
  <c r="S669" i="3" s="1"/>
  <c r="AD669" i="3"/>
  <c r="AC669" i="3"/>
  <c r="Z669" i="3"/>
  <c r="U668" i="3"/>
  <c r="Y667" i="3"/>
  <c r="T669" i="3" l="1"/>
  <c r="AH669" i="3" l="1"/>
  <c r="AG669" i="3"/>
  <c r="D669" i="3"/>
  <c r="E669" i="3"/>
  <c r="H669" i="3" s="1"/>
  <c r="F669" i="3" l="1"/>
  <c r="G669" i="3"/>
  <c r="K669" i="3"/>
  <c r="AE669" i="3" s="1"/>
  <c r="V669" i="3" l="1"/>
  <c r="A670" i="3"/>
  <c r="B670" i="3" s="1"/>
  <c r="I669" i="3"/>
  <c r="J669" i="3"/>
  <c r="M669" i="3"/>
  <c r="N669" i="3" s="1"/>
  <c r="L669" i="3" l="1"/>
  <c r="W669" i="3"/>
  <c r="AD670" i="3"/>
  <c r="P670" i="3"/>
  <c r="Q670" i="3" s="1"/>
  <c r="R670" i="3" s="1"/>
  <c r="S670" i="3" s="1"/>
  <c r="AA670" i="3"/>
  <c r="Z670" i="3"/>
  <c r="AC670" i="3"/>
  <c r="T670" i="3" l="1"/>
  <c r="U669" i="3"/>
  <c r="Y668" i="3"/>
  <c r="E670" i="3" l="1"/>
  <c r="H670" i="3" s="1"/>
  <c r="K670" i="3" s="1"/>
  <c r="AE670" i="3" s="1"/>
  <c r="AH670" i="3"/>
  <c r="AG670" i="3"/>
  <c r="D670" i="3"/>
  <c r="V670" i="3" l="1"/>
  <c r="A671" i="3"/>
  <c r="B671" i="3" s="1"/>
  <c r="F670" i="3"/>
  <c r="G670" i="3"/>
  <c r="I670" i="3" l="1"/>
  <c r="W670" i="3" s="1"/>
  <c r="J670" i="3"/>
  <c r="M670" i="3"/>
  <c r="N670" i="3" s="1"/>
  <c r="AC671" i="3"/>
  <c r="Z671" i="3"/>
  <c r="AD671" i="3"/>
  <c r="AA671" i="3"/>
  <c r="P671" i="3"/>
  <c r="Q671" i="3" s="1"/>
  <c r="R671" i="3" s="1"/>
  <c r="S671" i="3" s="1"/>
  <c r="T671" i="3" l="1"/>
  <c r="L670" i="3"/>
  <c r="U670" i="3" l="1"/>
  <c r="E671" i="3" s="1"/>
  <c r="H671" i="3" s="1"/>
  <c r="AG671" i="3"/>
  <c r="AH671" i="3"/>
  <c r="Y669" i="3"/>
  <c r="D671" i="3" l="1"/>
  <c r="G671" i="3" s="1"/>
  <c r="K671" i="3"/>
  <c r="AE671" i="3" s="1"/>
  <c r="F671" i="3" l="1"/>
  <c r="V671" i="3"/>
  <c r="A672" i="3"/>
  <c r="B672" i="3" s="1"/>
  <c r="I671" i="3"/>
  <c r="J671" i="3"/>
  <c r="M671" i="3"/>
  <c r="N671" i="3" s="1"/>
  <c r="W671" i="3" l="1"/>
  <c r="L671" i="3"/>
  <c r="AD672" i="3"/>
  <c r="P672" i="3"/>
  <c r="Q672" i="3" s="1"/>
  <c r="R672" i="3" s="1"/>
  <c r="S672" i="3" s="1"/>
  <c r="AC672" i="3"/>
  <c r="Z672" i="3"/>
  <c r="AA672" i="3"/>
  <c r="T672" i="3" l="1"/>
  <c r="AG672" i="3" s="1"/>
  <c r="U671" i="3"/>
  <c r="Y670" i="3"/>
  <c r="E672" i="3" l="1"/>
  <c r="H672" i="3" s="1"/>
  <c r="K672" i="3" s="1"/>
  <c r="AE672" i="3" s="1"/>
  <c r="D672" i="3"/>
  <c r="AH672" i="3"/>
  <c r="F672" i="3" l="1"/>
  <c r="G672" i="3"/>
  <c r="V672" i="3"/>
  <c r="A673" i="3"/>
  <c r="B673" i="3" s="1"/>
  <c r="AC673" i="3" l="1"/>
  <c r="AA673" i="3"/>
  <c r="P673" i="3"/>
  <c r="Q673" i="3" s="1"/>
  <c r="R673" i="3" s="1"/>
  <c r="S673" i="3" s="1"/>
  <c r="AD673" i="3"/>
  <c r="Z673" i="3"/>
  <c r="I672" i="3"/>
  <c r="W672" i="3" s="1"/>
  <c r="J672" i="3"/>
  <c r="M672" i="3"/>
  <c r="N672" i="3" s="1"/>
  <c r="L672" i="3" l="1"/>
  <c r="T673" i="3"/>
  <c r="AH673" i="3" l="1"/>
  <c r="AG673" i="3"/>
  <c r="U672" i="3"/>
  <c r="E673" i="3" s="1"/>
  <c r="H673" i="3" s="1"/>
  <c r="Y671" i="3"/>
  <c r="K673" i="3" l="1"/>
  <c r="AE673" i="3" s="1"/>
  <c r="D673" i="3"/>
  <c r="V673" i="3" l="1"/>
  <c r="A674" i="3"/>
  <c r="B674" i="3" s="1"/>
  <c r="F673" i="3"/>
  <c r="G673" i="3"/>
  <c r="I673" i="3" l="1"/>
  <c r="W673" i="3" s="1"/>
  <c r="J673" i="3"/>
  <c r="M673" i="3"/>
  <c r="N673" i="3" s="1"/>
  <c r="P674" i="3"/>
  <c r="Q674" i="3" s="1"/>
  <c r="R674" i="3" s="1"/>
  <c r="S674" i="3" s="1"/>
  <c r="AA674" i="3"/>
  <c r="Z674" i="3"/>
  <c r="AC674" i="3"/>
  <c r="T674" i="3" l="1"/>
  <c r="L673" i="3"/>
  <c r="AH674" i="3" l="1"/>
  <c r="U673" i="3"/>
  <c r="E674" i="3" s="1"/>
  <c r="H674" i="3" s="1"/>
  <c r="AG674" i="3"/>
  <c r="Y672" i="3"/>
  <c r="D674" i="3" l="1"/>
  <c r="G674" i="3" s="1"/>
  <c r="K674" i="3"/>
  <c r="AE674" i="3" s="1"/>
  <c r="F674" i="3" l="1"/>
  <c r="I674" i="3"/>
  <c r="J674" i="3"/>
  <c r="AD674" i="3" s="1"/>
  <c r="M674" i="3"/>
  <c r="N674" i="3" s="1"/>
  <c r="V674" i="3"/>
  <c r="A675" i="3"/>
  <c r="B675" i="3" s="1"/>
  <c r="W674" i="3" l="1"/>
  <c r="L674" i="3"/>
  <c r="P675" i="3"/>
  <c r="Q675" i="3" s="1"/>
  <c r="R675" i="3" s="1"/>
  <c r="S675" i="3" s="1"/>
  <c r="AD675" i="3"/>
  <c r="AA675" i="3"/>
  <c r="AC675" i="3"/>
  <c r="Z675" i="3"/>
  <c r="U674" i="3" l="1"/>
  <c r="Y673" i="3"/>
  <c r="T675" i="3"/>
  <c r="AH675" i="3" s="1"/>
  <c r="AG675" i="3" l="1"/>
  <c r="D675" i="3"/>
  <c r="E675" i="3"/>
  <c r="H675" i="3" s="1"/>
  <c r="F675" i="3" l="1"/>
  <c r="G675" i="3"/>
  <c r="K675" i="3"/>
  <c r="AE675" i="3" s="1"/>
  <c r="I675" i="3" l="1"/>
  <c r="J675" i="3"/>
  <c r="M675" i="3"/>
  <c r="N675" i="3" s="1"/>
  <c r="V675" i="3"/>
  <c r="A676" i="3"/>
  <c r="B676" i="3" s="1"/>
  <c r="W675" i="3" l="1"/>
  <c r="L675" i="3"/>
  <c r="AD676" i="3"/>
  <c r="AC676" i="3"/>
  <c r="P676" i="3"/>
  <c r="Q676" i="3" s="1"/>
  <c r="R676" i="3" s="1"/>
  <c r="S676" i="3" s="1"/>
  <c r="Z676" i="3"/>
  <c r="AA676" i="3"/>
  <c r="T676" i="3" l="1"/>
  <c r="U675" i="3"/>
  <c r="Y674" i="3"/>
  <c r="E676" i="3" l="1"/>
  <c r="H676" i="3" s="1"/>
  <c r="K676" i="3" s="1"/>
  <c r="AE676" i="3" s="1"/>
  <c r="AH676" i="3"/>
  <c r="D676" i="3"/>
  <c r="G676" i="3" s="1"/>
  <c r="AG676" i="3"/>
  <c r="F676" i="3" l="1"/>
  <c r="I676" i="3"/>
  <c r="J676" i="3"/>
  <c r="M676" i="3"/>
  <c r="N676" i="3" s="1"/>
  <c r="V676" i="3"/>
  <c r="A677" i="3"/>
  <c r="B677" i="3" s="1"/>
  <c r="W676" i="3" l="1"/>
  <c r="L676" i="3"/>
  <c r="AA677" i="3"/>
  <c r="AC677" i="3"/>
  <c r="Z677" i="3"/>
  <c r="AD677" i="3"/>
  <c r="P677" i="3"/>
  <c r="Q677" i="3" s="1"/>
  <c r="R677" i="3" s="1"/>
  <c r="S677" i="3" s="1"/>
  <c r="U676" i="3" l="1"/>
  <c r="Y675" i="3"/>
  <c r="T677" i="3"/>
  <c r="AG677" i="3" s="1"/>
  <c r="D677" i="3" l="1"/>
  <c r="G677" i="3" s="1"/>
  <c r="AH677" i="3"/>
  <c r="E677" i="3"/>
  <c r="H677" i="3" s="1"/>
  <c r="F677" i="3" l="1"/>
  <c r="I677" i="3"/>
  <c r="J677" i="3"/>
  <c r="M677" i="3"/>
  <c r="N677" i="3" s="1"/>
  <c r="K677" i="3"/>
  <c r="AE677" i="3" s="1"/>
  <c r="V677" i="3" l="1"/>
  <c r="W677" i="3" s="1"/>
  <c r="A678" i="3"/>
  <c r="B678" i="3" s="1"/>
  <c r="L677" i="3"/>
  <c r="U677" i="3" l="1"/>
  <c r="Y676" i="3"/>
  <c r="AD678" i="3"/>
  <c r="P678" i="3"/>
  <c r="Q678" i="3" s="1"/>
  <c r="R678" i="3" s="1"/>
  <c r="S678" i="3" s="1"/>
  <c r="Z678" i="3"/>
  <c r="AC678" i="3"/>
  <c r="AA678" i="3"/>
  <c r="T678" i="3" l="1"/>
  <c r="AH678" i="3" s="1"/>
  <c r="E678" i="3" l="1"/>
  <c r="H678" i="3" s="1"/>
  <c r="K678" i="3" s="1"/>
  <c r="AE678" i="3" s="1"/>
  <c r="D678" i="3"/>
  <c r="AG678" i="3"/>
  <c r="F678" i="3" l="1"/>
  <c r="G678" i="3"/>
  <c r="J678" i="3" s="1"/>
  <c r="V678" i="3"/>
  <c r="A679" i="3"/>
  <c r="B679" i="3" s="1"/>
  <c r="M678" i="3" l="1"/>
  <c r="N678" i="3" s="1"/>
  <c r="I678" i="3"/>
  <c r="W678" i="3" s="1"/>
  <c r="L678" i="3"/>
  <c r="P679" i="3"/>
  <c r="Q679" i="3" s="1"/>
  <c r="R679" i="3" s="1"/>
  <c r="S679" i="3" s="1"/>
  <c r="AA679" i="3"/>
  <c r="Z679" i="3"/>
  <c r="AD679" i="3"/>
  <c r="AC679" i="3"/>
  <c r="T679" i="3" l="1"/>
  <c r="U678" i="3"/>
  <c r="Y677" i="3"/>
  <c r="E679" i="3" l="1"/>
  <c r="H679" i="3" s="1"/>
  <c r="K679" i="3" s="1"/>
  <c r="AE679" i="3" s="1"/>
  <c r="AH679" i="3"/>
  <c r="AG679" i="3"/>
  <c r="D679" i="3"/>
  <c r="F679" i="3" l="1"/>
  <c r="G679" i="3"/>
  <c r="V679" i="3"/>
  <c r="A680" i="3"/>
  <c r="B680" i="3" s="1"/>
  <c r="AC680" i="3" l="1"/>
  <c r="P680" i="3"/>
  <c r="Q680" i="3" s="1"/>
  <c r="R680" i="3" s="1"/>
  <c r="S680" i="3" s="1"/>
  <c r="AA680" i="3"/>
  <c r="Z680" i="3"/>
  <c r="AD680" i="3"/>
  <c r="I679" i="3"/>
  <c r="W679" i="3" s="1"/>
  <c r="J679" i="3"/>
  <c r="M679" i="3"/>
  <c r="N679" i="3" s="1"/>
  <c r="L679" i="3" l="1"/>
  <c r="T680" i="3"/>
  <c r="AH680" i="3" l="1"/>
  <c r="U679" i="3"/>
  <c r="E680" i="3" s="1"/>
  <c r="H680" i="3" s="1"/>
  <c r="AG680" i="3"/>
  <c r="Y678" i="3"/>
  <c r="D680" i="3" l="1"/>
  <c r="G680" i="3" s="1"/>
  <c r="K680" i="3"/>
  <c r="AE680" i="3" s="1"/>
  <c r="F680" i="3" l="1"/>
  <c r="I680" i="3"/>
  <c r="J680" i="3"/>
  <c r="M680" i="3"/>
  <c r="N680" i="3" s="1"/>
  <c r="V680" i="3"/>
  <c r="A681" i="3"/>
  <c r="B681" i="3" s="1"/>
  <c r="W680" i="3" l="1"/>
  <c r="L680" i="3"/>
  <c r="AD681" i="3"/>
  <c r="AA681" i="3"/>
  <c r="P681" i="3"/>
  <c r="Q681" i="3" s="1"/>
  <c r="R681" i="3" s="1"/>
  <c r="S681" i="3" s="1"/>
  <c r="Z681" i="3"/>
  <c r="AC681" i="3"/>
  <c r="U680" i="3" l="1"/>
  <c r="Y679" i="3"/>
  <c r="T681" i="3"/>
  <c r="E681" i="3" l="1"/>
  <c r="H681" i="3" s="1"/>
  <c r="K681" i="3" s="1"/>
  <c r="AE681" i="3" s="1"/>
  <c r="AG681" i="3"/>
  <c r="AH681" i="3"/>
  <c r="D681" i="3"/>
  <c r="F681" i="3" l="1"/>
  <c r="G681" i="3"/>
  <c r="V681" i="3"/>
  <c r="A682" i="3"/>
  <c r="B682" i="3" s="1"/>
  <c r="AD682" i="3" l="1"/>
  <c r="Z682" i="3"/>
  <c r="P682" i="3"/>
  <c r="Q682" i="3" s="1"/>
  <c r="R682" i="3" s="1"/>
  <c r="S682" i="3" s="1"/>
  <c r="AC682" i="3"/>
  <c r="AA682" i="3"/>
  <c r="I681" i="3"/>
  <c r="W681" i="3" s="1"/>
  <c r="J681" i="3"/>
  <c r="M681" i="3"/>
  <c r="N681" i="3" s="1"/>
  <c r="L681" i="3" l="1"/>
  <c r="T682" i="3"/>
  <c r="U681" i="3" l="1"/>
  <c r="E682" i="3" s="1"/>
  <c r="H682" i="3" s="1"/>
  <c r="AG682" i="3"/>
  <c r="AH682" i="3"/>
  <c r="Y680" i="3"/>
  <c r="D682" i="3" l="1"/>
  <c r="G682" i="3" s="1"/>
  <c r="K682" i="3"/>
  <c r="AE682" i="3" s="1"/>
  <c r="F682" i="3" l="1"/>
  <c r="V682" i="3"/>
  <c r="A683" i="3"/>
  <c r="B683" i="3" s="1"/>
  <c r="I682" i="3"/>
  <c r="J682" i="3"/>
  <c r="M682" i="3"/>
  <c r="N682" i="3" s="1"/>
  <c r="W682" i="3" l="1"/>
  <c r="L682" i="3"/>
  <c r="P683" i="3"/>
  <c r="Q683" i="3" s="1"/>
  <c r="R683" i="3" s="1"/>
  <c r="S683" i="3" s="1"/>
  <c r="AC683" i="3"/>
  <c r="AD683" i="3"/>
  <c r="AA683" i="3"/>
  <c r="Z683" i="3"/>
  <c r="U682" i="3" l="1"/>
  <c r="Y681" i="3"/>
  <c r="T683" i="3"/>
  <c r="E683" i="3" l="1"/>
  <c r="H683" i="3" s="1"/>
  <c r="K683" i="3" s="1"/>
  <c r="AE683" i="3" s="1"/>
  <c r="AH683" i="3"/>
  <c r="AG683" i="3"/>
  <c r="D683" i="3"/>
  <c r="F683" i="3" l="1"/>
  <c r="G683" i="3"/>
  <c r="V683" i="3"/>
  <c r="A684" i="3"/>
  <c r="B684" i="3" s="1"/>
  <c r="Z684" i="3" l="1"/>
  <c r="AA684" i="3"/>
  <c r="AC684" i="3"/>
  <c r="P684" i="3"/>
  <c r="Q684" i="3" s="1"/>
  <c r="R684" i="3" s="1"/>
  <c r="S684" i="3" s="1"/>
  <c r="I683" i="3"/>
  <c r="W683" i="3" s="1"/>
  <c r="J683" i="3"/>
  <c r="M683" i="3"/>
  <c r="N683" i="3" s="1"/>
  <c r="T684" i="3" l="1"/>
  <c r="L683" i="3"/>
  <c r="AH684" i="3" l="1"/>
  <c r="AG684" i="3"/>
  <c r="U683" i="3"/>
  <c r="D684" i="3" s="1"/>
  <c r="Y682" i="3"/>
  <c r="E684" i="3" l="1"/>
  <c r="H684" i="3" s="1"/>
  <c r="K684" i="3" s="1"/>
  <c r="AE684" i="3" s="1"/>
  <c r="G684" i="3"/>
  <c r="F684" i="3" l="1"/>
  <c r="V684" i="3"/>
  <c r="A685" i="3"/>
  <c r="B685" i="3" s="1"/>
  <c r="I684" i="3"/>
  <c r="J684" i="3"/>
  <c r="AD684" i="3" s="1"/>
  <c r="M684" i="3"/>
  <c r="N684" i="3" s="1"/>
  <c r="W684" i="3" l="1"/>
  <c r="L684" i="3"/>
  <c r="P685" i="3"/>
  <c r="Q685" i="3" s="1"/>
  <c r="R685" i="3" s="1"/>
  <c r="S685" i="3" s="1"/>
  <c r="Z685" i="3"/>
  <c r="AC685" i="3"/>
  <c r="AD685" i="3"/>
  <c r="AA685" i="3"/>
  <c r="U684" i="3" l="1"/>
  <c r="Y683" i="3"/>
  <c r="T685" i="3"/>
  <c r="AG685" i="3" s="1"/>
  <c r="D685" i="3" l="1"/>
  <c r="G685" i="3" s="1"/>
  <c r="E685" i="3"/>
  <c r="H685" i="3" s="1"/>
  <c r="AH685" i="3"/>
  <c r="F685" i="3" l="1"/>
  <c r="I685" i="3"/>
  <c r="J685" i="3"/>
  <c r="M685" i="3"/>
  <c r="N685" i="3" s="1"/>
  <c r="K685" i="3"/>
  <c r="AE685" i="3" s="1"/>
  <c r="V685" i="3" l="1"/>
  <c r="W685" i="3" s="1"/>
  <c r="A686" i="3"/>
  <c r="B686" i="3" s="1"/>
  <c r="L685" i="3"/>
  <c r="U685" i="3" l="1"/>
  <c r="Y684" i="3"/>
  <c r="AA686" i="3"/>
  <c r="AC686" i="3"/>
  <c r="AD686" i="3"/>
  <c r="P686" i="3"/>
  <c r="Q686" i="3" s="1"/>
  <c r="R686" i="3" s="1"/>
  <c r="S686" i="3" s="1"/>
  <c r="Z686" i="3"/>
  <c r="T686" i="3" l="1"/>
  <c r="D686" i="3" s="1"/>
  <c r="E686" i="3" l="1"/>
  <c r="H686" i="3" s="1"/>
  <c r="K686" i="3" s="1"/>
  <c r="AE686" i="3" s="1"/>
  <c r="AG686" i="3"/>
  <c r="AH686" i="3"/>
  <c r="G686" i="3"/>
  <c r="F686" i="3" l="1"/>
  <c r="V686" i="3"/>
  <c r="A687" i="3"/>
  <c r="B687" i="3" s="1"/>
  <c r="I686" i="3"/>
  <c r="J686" i="3"/>
  <c r="M686" i="3"/>
  <c r="N686" i="3" s="1"/>
  <c r="L686" i="3" l="1"/>
  <c r="W686" i="3"/>
  <c r="Z687" i="3"/>
  <c r="P687" i="3"/>
  <c r="Q687" i="3" s="1"/>
  <c r="R687" i="3" s="1"/>
  <c r="S687" i="3" s="1"/>
  <c r="AD687" i="3"/>
  <c r="AA687" i="3"/>
  <c r="AC687" i="3"/>
  <c r="U686" i="3" l="1"/>
  <c r="Y685" i="3"/>
  <c r="T687" i="3"/>
  <c r="AG687" i="3" s="1"/>
  <c r="AH687" i="3" l="1"/>
  <c r="D687" i="3"/>
  <c r="G687" i="3" s="1"/>
  <c r="E687" i="3"/>
  <c r="H687" i="3" s="1"/>
  <c r="K687" i="3" s="1"/>
  <c r="AE687" i="3" s="1"/>
  <c r="F687" i="3" l="1"/>
  <c r="I687" i="3"/>
  <c r="J687" i="3"/>
  <c r="M687" i="3"/>
  <c r="N687" i="3" s="1"/>
  <c r="V687" i="3"/>
  <c r="A688" i="3"/>
  <c r="B688" i="3" s="1"/>
  <c r="W687" i="3" l="1"/>
  <c r="L687" i="3"/>
  <c r="AC688" i="3"/>
  <c r="AA688" i="3"/>
  <c r="AD688" i="3"/>
  <c r="P688" i="3"/>
  <c r="Q688" i="3" s="1"/>
  <c r="R688" i="3" s="1"/>
  <c r="S688" i="3" s="1"/>
  <c r="Z688" i="3"/>
  <c r="U687" i="3" l="1"/>
  <c r="Y686" i="3"/>
  <c r="T688" i="3"/>
  <c r="AG688" i="3" s="1"/>
  <c r="E688" i="3" l="1"/>
  <c r="H688" i="3" s="1"/>
  <c r="K688" i="3" s="1"/>
  <c r="AE688" i="3" s="1"/>
  <c r="AH688" i="3"/>
  <c r="D688" i="3"/>
  <c r="F688" i="3" l="1"/>
  <c r="G688" i="3"/>
  <c r="V688" i="3"/>
  <c r="A689" i="3"/>
  <c r="B689" i="3" s="1"/>
  <c r="AA689" i="3" l="1"/>
  <c r="P689" i="3"/>
  <c r="Q689" i="3" s="1"/>
  <c r="R689" i="3" s="1"/>
  <c r="S689" i="3" s="1"/>
  <c r="Z689" i="3"/>
  <c r="AD689" i="3"/>
  <c r="AC689" i="3"/>
  <c r="I688" i="3"/>
  <c r="W688" i="3" s="1"/>
  <c r="J688" i="3"/>
  <c r="M688" i="3"/>
  <c r="N688" i="3" s="1"/>
  <c r="T689" i="3" l="1"/>
  <c r="L688" i="3"/>
  <c r="U688" i="3" l="1"/>
  <c r="D689" i="3" s="1"/>
  <c r="AG689" i="3"/>
  <c r="AH689" i="3"/>
  <c r="Y687" i="3"/>
  <c r="E689" i="3" l="1"/>
  <c r="H689" i="3" s="1"/>
  <c r="K689" i="3" s="1"/>
  <c r="AE689" i="3" s="1"/>
  <c r="G689" i="3"/>
  <c r="F689" i="3" l="1"/>
  <c r="I689" i="3"/>
  <c r="J689" i="3"/>
  <c r="M689" i="3"/>
  <c r="N689" i="3" s="1"/>
  <c r="V689" i="3"/>
  <c r="A690" i="3"/>
  <c r="B690" i="3" s="1"/>
  <c r="W689" i="3" l="1"/>
  <c r="L689" i="3"/>
  <c r="AA690" i="3"/>
  <c r="AC690" i="3"/>
  <c r="P690" i="3"/>
  <c r="Q690" i="3" s="1"/>
  <c r="R690" i="3" s="1"/>
  <c r="S690" i="3" s="1"/>
  <c r="AD690" i="3"/>
  <c r="Z690" i="3"/>
  <c r="U689" i="3" l="1"/>
  <c r="Y688" i="3"/>
  <c r="T690" i="3"/>
  <c r="AH690" i="3" s="1"/>
  <c r="D690" i="3" l="1"/>
  <c r="G690" i="3" s="1"/>
  <c r="E690" i="3"/>
  <c r="H690" i="3" s="1"/>
  <c r="K690" i="3" s="1"/>
  <c r="AE690" i="3" s="1"/>
  <c r="AG690" i="3"/>
  <c r="F690" i="3" l="1"/>
  <c r="I690" i="3"/>
  <c r="J690" i="3"/>
  <c r="M690" i="3"/>
  <c r="N690" i="3" s="1"/>
  <c r="V690" i="3"/>
  <c r="A691" i="3"/>
  <c r="B691" i="3" s="1"/>
  <c r="W690" i="3" l="1"/>
  <c r="L690" i="3"/>
  <c r="AA691" i="3"/>
  <c r="Z691" i="3"/>
  <c r="P691" i="3"/>
  <c r="Q691" i="3" s="1"/>
  <c r="R691" i="3" s="1"/>
  <c r="S691" i="3" s="1"/>
  <c r="AD691" i="3"/>
  <c r="AC691" i="3"/>
  <c r="T691" i="3" l="1"/>
  <c r="U690" i="3"/>
  <c r="Y689" i="3"/>
  <c r="D691" i="3" l="1"/>
  <c r="G691" i="3" s="1"/>
  <c r="AH691" i="3"/>
  <c r="E691" i="3"/>
  <c r="H691" i="3" s="1"/>
  <c r="AG691" i="3"/>
  <c r="F691" i="3" l="1"/>
  <c r="I691" i="3"/>
  <c r="J691" i="3"/>
  <c r="M691" i="3"/>
  <c r="N691" i="3" s="1"/>
  <c r="K691" i="3"/>
  <c r="AE691" i="3" s="1"/>
  <c r="V691" i="3" l="1"/>
  <c r="W691" i="3" s="1"/>
  <c r="A692" i="3"/>
  <c r="B692" i="3" s="1"/>
  <c r="L691" i="3"/>
  <c r="U691" i="3" l="1"/>
  <c r="Y690" i="3"/>
  <c r="AC692" i="3"/>
  <c r="AD692" i="3"/>
  <c r="AA692" i="3"/>
  <c r="Z692" i="3"/>
  <c r="P692" i="3"/>
  <c r="Q692" i="3" s="1"/>
  <c r="R692" i="3" s="1"/>
  <c r="S692" i="3" s="1"/>
  <c r="T692" i="3" l="1"/>
  <c r="E692" i="3" s="1"/>
  <c r="H692" i="3" s="1"/>
  <c r="D692" i="3" l="1"/>
  <c r="G692" i="3" s="1"/>
  <c r="AH692" i="3"/>
  <c r="K692" i="3"/>
  <c r="AE692" i="3" s="1"/>
  <c r="AG692" i="3"/>
  <c r="F692" i="3" l="1"/>
  <c r="I692" i="3"/>
  <c r="J692" i="3"/>
  <c r="M692" i="3"/>
  <c r="N692" i="3" s="1"/>
  <c r="V692" i="3"/>
  <c r="A693" i="3"/>
  <c r="B693" i="3" s="1"/>
  <c r="W692" i="3" l="1"/>
  <c r="L692" i="3"/>
  <c r="AC693" i="3"/>
  <c r="AA693" i="3"/>
  <c r="AD693" i="3"/>
  <c r="P693" i="3"/>
  <c r="Q693" i="3" s="1"/>
  <c r="R693" i="3" s="1"/>
  <c r="S693" i="3" s="1"/>
  <c r="Z693" i="3"/>
  <c r="U692" i="3" l="1"/>
  <c r="Y691" i="3"/>
  <c r="T693" i="3"/>
  <c r="AG693" i="3" s="1"/>
  <c r="D693" i="3" l="1"/>
  <c r="G693" i="3" s="1"/>
  <c r="E693" i="3"/>
  <c r="H693" i="3" s="1"/>
  <c r="K693" i="3" s="1"/>
  <c r="AE693" i="3" s="1"/>
  <c r="AH693" i="3"/>
  <c r="F693" i="3" l="1"/>
  <c r="V693" i="3"/>
  <c r="A694" i="3"/>
  <c r="B694" i="3" s="1"/>
  <c r="I693" i="3"/>
  <c r="J693" i="3"/>
  <c r="M693" i="3"/>
  <c r="N693" i="3" s="1"/>
  <c r="W693" i="3" l="1"/>
  <c r="L693" i="3"/>
  <c r="AA694" i="3"/>
  <c r="AC694" i="3"/>
  <c r="P694" i="3"/>
  <c r="Q694" i="3" s="1"/>
  <c r="R694" i="3" s="1"/>
  <c r="S694" i="3" s="1"/>
  <c r="Z694" i="3"/>
  <c r="U693" i="3" l="1"/>
  <c r="Y692" i="3"/>
  <c r="T694" i="3"/>
  <c r="AG694" i="3" s="1"/>
  <c r="E694" i="3" l="1"/>
  <c r="H694" i="3" s="1"/>
  <c r="K694" i="3" s="1"/>
  <c r="AE694" i="3" s="1"/>
  <c r="AH694" i="3"/>
  <c r="D694" i="3"/>
  <c r="G694" i="3" s="1"/>
  <c r="F694" i="3" l="1"/>
  <c r="I694" i="3"/>
  <c r="J694" i="3"/>
  <c r="AD694" i="3" s="1"/>
  <c r="M694" i="3"/>
  <c r="N694" i="3" s="1"/>
  <c r="V694" i="3"/>
  <c r="A695" i="3"/>
  <c r="B695" i="3" s="1"/>
  <c r="W694" i="3" l="1"/>
  <c r="L694" i="3"/>
  <c r="AD695" i="3"/>
  <c r="Z695" i="3"/>
  <c r="P695" i="3"/>
  <c r="Q695" i="3" s="1"/>
  <c r="R695" i="3" s="1"/>
  <c r="S695" i="3" s="1"/>
  <c r="AC695" i="3"/>
  <c r="AA695" i="3"/>
  <c r="U694" i="3" l="1"/>
  <c r="Y693" i="3"/>
  <c r="T695" i="3"/>
  <c r="E695" i="3" l="1"/>
  <c r="H695" i="3" s="1"/>
  <c r="K695" i="3" s="1"/>
  <c r="AE695" i="3" s="1"/>
  <c r="D695" i="3"/>
  <c r="AG695" i="3"/>
  <c r="AH695" i="3"/>
  <c r="V695" i="3" l="1"/>
  <c r="A696" i="3"/>
  <c r="B696" i="3" s="1"/>
  <c r="F695" i="3"/>
  <c r="G695" i="3"/>
  <c r="I695" i="3" l="1"/>
  <c r="W695" i="3" s="1"/>
  <c r="J695" i="3"/>
  <c r="M695" i="3"/>
  <c r="N695" i="3" s="1"/>
  <c r="AD696" i="3"/>
  <c r="AA696" i="3"/>
  <c r="Z696" i="3"/>
  <c r="P696" i="3"/>
  <c r="Q696" i="3" s="1"/>
  <c r="R696" i="3" s="1"/>
  <c r="S696" i="3" s="1"/>
  <c r="AC696" i="3"/>
  <c r="T696" i="3" l="1"/>
  <c r="L695" i="3"/>
  <c r="AH696" i="3" l="1"/>
  <c r="U695" i="3"/>
  <c r="D696" i="3" s="1"/>
  <c r="AG696" i="3"/>
  <c r="Y694" i="3"/>
  <c r="E696" i="3" l="1"/>
  <c r="H696" i="3" s="1"/>
  <c r="K696" i="3" s="1"/>
  <c r="AE696" i="3" s="1"/>
  <c r="G696" i="3"/>
  <c r="F696" i="3" l="1"/>
  <c r="V696" i="3"/>
  <c r="A697" i="3"/>
  <c r="B697" i="3" s="1"/>
  <c r="I696" i="3"/>
  <c r="J696" i="3"/>
  <c r="M696" i="3"/>
  <c r="N696" i="3" s="1"/>
  <c r="W696" i="3" l="1"/>
  <c r="AD697" i="3"/>
  <c r="P697" i="3"/>
  <c r="Q697" i="3" s="1"/>
  <c r="R697" i="3" s="1"/>
  <c r="S697" i="3" s="1"/>
  <c r="Z697" i="3"/>
  <c r="AA697" i="3"/>
  <c r="AC697" i="3"/>
  <c r="L696" i="3"/>
  <c r="U696" i="3" l="1"/>
  <c r="Y695" i="3"/>
  <c r="T697" i="3"/>
  <c r="E697" i="3" l="1"/>
  <c r="H697" i="3" s="1"/>
  <c r="K697" i="3" s="1"/>
  <c r="AE697" i="3" s="1"/>
  <c r="D697" i="3"/>
  <c r="AH697" i="3"/>
  <c r="AG697" i="3"/>
  <c r="F697" i="3" l="1"/>
  <c r="G697" i="3"/>
  <c r="M697" i="3" s="1"/>
  <c r="N697" i="3" s="1"/>
  <c r="V697" i="3"/>
  <c r="A698" i="3"/>
  <c r="B698" i="3" s="1"/>
  <c r="I697" i="3" l="1"/>
  <c r="W697" i="3" s="1"/>
  <c r="J697" i="3"/>
  <c r="L697" i="3" s="1"/>
  <c r="AD698" i="3"/>
  <c r="AA698" i="3"/>
  <c r="Z698" i="3"/>
  <c r="AC698" i="3"/>
  <c r="P698" i="3"/>
  <c r="Q698" i="3" s="1"/>
  <c r="R698" i="3" s="1"/>
  <c r="S698" i="3" s="1"/>
  <c r="U697" i="3" l="1"/>
  <c r="Y696" i="3"/>
  <c r="T698" i="3"/>
  <c r="AG698" i="3" s="1"/>
  <c r="E698" i="3" l="1"/>
  <c r="H698" i="3" s="1"/>
  <c r="K698" i="3" s="1"/>
  <c r="AE698" i="3" s="1"/>
  <c r="AH698" i="3"/>
  <c r="D698" i="3"/>
  <c r="F698" i="3" l="1"/>
  <c r="G698" i="3"/>
  <c r="J698" i="3" s="1"/>
  <c r="V698" i="3"/>
  <c r="A699" i="3"/>
  <c r="B699" i="3" s="1"/>
  <c r="M698" i="3" l="1"/>
  <c r="N698" i="3" s="1"/>
  <c r="I698" i="3"/>
  <c r="W698" i="3" s="1"/>
  <c r="L698" i="3"/>
  <c r="Z699" i="3"/>
  <c r="P699" i="3"/>
  <c r="Q699" i="3" s="1"/>
  <c r="R699" i="3" s="1"/>
  <c r="S699" i="3" s="1"/>
  <c r="AA699" i="3"/>
  <c r="AD699" i="3"/>
  <c r="AC699" i="3"/>
  <c r="T699" i="3" l="1"/>
  <c r="U698" i="3"/>
  <c r="Y697" i="3"/>
  <c r="D699" i="3" l="1"/>
  <c r="G699" i="3" s="1"/>
  <c r="AG699" i="3"/>
  <c r="AH699" i="3"/>
  <c r="E699" i="3"/>
  <c r="H699" i="3" s="1"/>
  <c r="K699" i="3" l="1"/>
  <c r="AE699" i="3" s="1"/>
  <c r="I699" i="3"/>
  <c r="J699" i="3"/>
  <c r="M699" i="3"/>
  <c r="N699" i="3" s="1"/>
  <c r="F699" i="3"/>
  <c r="L699" i="3" l="1"/>
  <c r="V699" i="3"/>
  <c r="W699" i="3" s="1"/>
  <c r="A700" i="3"/>
  <c r="B700" i="3" s="1"/>
  <c r="U699" i="3" l="1"/>
  <c r="Y698" i="3"/>
  <c r="Z700" i="3"/>
  <c r="P700" i="3"/>
  <c r="Q700" i="3" s="1"/>
  <c r="R700" i="3" s="1"/>
  <c r="S700" i="3" s="1"/>
  <c r="AD700" i="3"/>
  <c r="AC700" i="3"/>
  <c r="AA700" i="3"/>
  <c r="T700" i="3" l="1"/>
  <c r="D700" i="3" s="1"/>
  <c r="AH700" i="3" l="1"/>
  <c r="AG700" i="3"/>
  <c r="E700" i="3"/>
  <c r="H700" i="3" s="1"/>
  <c r="K700" i="3" s="1"/>
  <c r="AE700" i="3" s="1"/>
  <c r="G700" i="3"/>
  <c r="F700" i="3" l="1"/>
  <c r="I700" i="3"/>
  <c r="J700" i="3"/>
  <c r="M700" i="3"/>
  <c r="N700" i="3" s="1"/>
  <c r="V700" i="3"/>
  <c r="A701" i="3"/>
  <c r="B701" i="3" s="1"/>
  <c r="W700" i="3" l="1"/>
  <c r="L700" i="3"/>
  <c r="AC701" i="3"/>
  <c r="AA701" i="3"/>
  <c r="Z701" i="3"/>
  <c r="P701" i="3"/>
  <c r="Q701" i="3" s="1"/>
  <c r="R701" i="3" s="1"/>
  <c r="S701" i="3" s="1"/>
  <c r="AD701" i="3"/>
  <c r="U700" i="3" l="1"/>
  <c r="Y699" i="3"/>
  <c r="T701" i="3"/>
  <c r="AG701" i="3" s="1"/>
  <c r="AH701" i="3" l="1"/>
  <c r="E701" i="3"/>
  <c r="H701" i="3" s="1"/>
  <c r="D701" i="3"/>
  <c r="F701" i="3" l="1"/>
  <c r="G701" i="3"/>
  <c r="K701" i="3"/>
  <c r="AE701" i="3" s="1"/>
  <c r="I701" i="3" l="1"/>
  <c r="J701" i="3"/>
  <c r="M701" i="3"/>
  <c r="N701" i="3" s="1"/>
  <c r="V701" i="3"/>
  <c r="A702" i="3"/>
  <c r="B702" i="3" s="1"/>
  <c r="W701" i="3" l="1"/>
  <c r="L701" i="3"/>
  <c r="AC702" i="3"/>
  <c r="AD702" i="3"/>
  <c r="P702" i="3"/>
  <c r="Q702" i="3" s="1"/>
  <c r="R702" i="3" s="1"/>
  <c r="S702" i="3" s="1"/>
  <c r="Z702" i="3"/>
  <c r="AA702" i="3"/>
  <c r="U701" i="3" l="1"/>
  <c r="Y700" i="3"/>
  <c r="T702" i="3"/>
  <c r="AH702" i="3" s="1"/>
  <c r="D702" i="3" l="1"/>
  <c r="G702" i="3" s="1"/>
  <c r="E702" i="3"/>
  <c r="H702" i="3" s="1"/>
  <c r="K702" i="3" s="1"/>
  <c r="AE702" i="3" s="1"/>
  <c r="AG702" i="3"/>
  <c r="F702" i="3" l="1"/>
  <c r="V702" i="3"/>
  <c r="A703" i="3"/>
  <c r="B703" i="3" s="1"/>
  <c r="I702" i="3"/>
  <c r="J702" i="3"/>
  <c r="M702" i="3"/>
  <c r="N702" i="3" s="1"/>
  <c r="W702" i="3" l="1"/>
  <c r="L702" i="3"/>
  <c r="AC703" i="3"/>
  <c r="AD703" i="3"/>
  <c r="P703" i="3"/>
  <c r="Q703" i="3" s="1"/>
  <c r="R703" i="3" s="1"/>
  <c r="S703" i="3" s="1"/>
  <c r="AA703" i="3"/>
  <c r="Z703" i="3"/>
  <c r="T703" i="3" l="1"/>
  <c r="AH703" i="3" s="1"/>
  <c r="U702" i="3"/>
  <c r="Y701" i="3"/>
  <c r="E703" i="3" l="1"/>
  <c r="H703" i="3" s="1"/>
  <c r="K703" i="3" s="1"/>
  <c r="AE703" i="3" s="1"/>
  <c r="AG703" i="3"/>
  <c r="D703" i="3"/>
  <c r="F703" i="3" l="1"/>
  <c r="G703" i="3"/>
  <c r="V703" i="3"/>
  <c r="A704" i="3"/>
  <c r="B704" i="3" s="1"/>
  <c r="P704" i="3" l="1"/>
  <c r="Q704" i="3" s="1"/>
  <c r="R704" i="3" s="1"/>
  <c r="S704" i="3" s="1"/>
  <c r="AC704" i="3"/>
  <c r="Z704" i="3"/>
  <c r="AA704" i="3"/>
  <c r="I703" i="3"/>
  <c r="W703" i="3" s="1"/>
  <c r="J703" i="3"/>
  <c r="M703" i="3"/>
  <c r="N703" i="3" s="1"/>
  <c r="T704" i="3" l="1"/>
  <c r="L703" i="3"/>
  <c r="U703" i="3" l="1"/>
  <c r="D704" i="3" s="1"/>
  <c r="AG704" i="3"/>
  <c r="AH704" i="3"/>
  <c r="Y702" i="3"/>
  <c r="G704" i="3" l="1"/>
  <c r="E704" i="3"/>
  <c r="H704" i="3" s="1"/>
  <c r="F704" i="3" l="1"/>
  <c r="I704" i="3"/>
  <c r="J704" i="3"/>
  <c r="AD704" i="3" s="1"/>
  <c r="M704" i="3"/>
  <c r="N704" i="3" s="1"/>
  <c r="K704" i="3"/>
  <c r="AE704" i="3" s="1"/>
  <c r="V704" i="3" l="1"/>
  <c r="W704" i="3" s="1"/>
  <c r="A705" i="3"/>
  <c r="B705" i="3" s="1"/>
  <c r="L704" i="3"/>
  <c r="U704" i="3" l="1"/>
  <c r="Y703" i="3"/>
  <c r="Z705" i="3"/>
  <c r="P705" i="3"/>
  <c r="Q705" i="3" s="1"/>
  <c r="R705" i="3" s="1"/>
  <c r="S705" i="3" s="1"/>
  <c r="AC705" i="3"/>
  <c r="AA705" i="3"/>
  <c r="AD705" i="3"/>
  <c r="T705" i="3" l="1"/>
  <c r="AH705" i="3" s="1"/>
  <c r="AG705" i="3" l="1"/>
  <c r="D705" i="3"/>
  <c r="E705" i="3"/>
  <c r="H705" i="3" s="1"/>
  <c r="F705" i="3" l="1"/>
  <c r="G705" i="3"/>
  <c r="K705" i="3"/>
  <c r="AE705" i="3" s="1"/>
  <c r="I705" i="3" l="1"/>
  <c r="J705" i="3"/>
  <c r="M705" i="3"/>
  <c r="N705" i="3" s="1"/>
  <c r="V705" i="3"/>
  <c r="A706" i="3"/>
  <c r="B706" i="3" s="1"/>
  <c r="W705" i="3" l="1"/>
  <c r="L705" i="3"/>
  <c r="P706" i="3"/>
  <c r="Q706" i="3" s="1"/>
  <c r="R706" i="3" s="1"/>
  <c r="S706" i="3" s="1"/>
  <c r="AA706" i="3"/>
  <c r="AC706" i="3"/>
  <c r="Z706" i="3"/>
  <c r="AD706" i="3"/>
  <c r="U705" i="3" l="1"/>
  <c r="Y704" i="3"/>
  <c r="T706" i="3"/>
  <c r="AH706" i="3" s="1"/>
  <c r="E706" i="3" l="1"/>
  <c r="H706" i="3" s="1"/>
  <c r="D706" i="3"/>
  <c r="AG706" i="3"/>
  <c r="K706" i="3" l="1"/>
  <c r="AE706" i="3" s="1"/>
  <c r="F706" i="3"/>
  <c r="G706" i="3"/>
  <c r="I706" i="3" l="1"/>
  <c r="J706" i="3"/>
  <c r="M706" i="3"/>
  <c r="N706" i="3" s="1"/>
  <c r="V706" i="3"/>
  <c r="A707" i="3"/>
  <c r="B707" i="3" s="1"/>
  <c r="W706" i="3" l="1"/>
  <c r="P707" i="3"/>
  <c r="Q707" i="3" s="1"/>
  <c r="R707" i="3" s="1"/>
  <c r="S707" i="3" s="1"/>
  <c r="AD707" i="3"/>
  <c r="Z707" i="3"/>
  <c r="AC707" i="3"/>
  <c r="AA707" i="3"/>
  <c r="L706" i="3"/>
  <c r="T707" i="3" l="1"/>
  <c r="AG707" i="3" s="1"/>
  <c r="U706" i="3"/>
  <c r="Y705" i="3"/>
  <c r="E707" i="3" l="1"/>
  <c r="H707" i="3" s="1"/>
  <c r="K707" i="3" s="1"/>
  <c r="AE707" i="3" s="1"/>
  <c r="D707" i="3"/>
  <c r="AH707" i="3"/>
  <c r="V707" i="3" l="1"/>
  <c r="A708" i="3"/>
  <c r="B708" i="3" s="1"/>
  <c r="F707" i="3"/>
  <c r="G707" i="3"/>
  <c r="I707" i="3" l="1"/>
  <c r="W707" i="3" s="1"/>
  <c r="J707" i="3"/>
  <c r="M707" i="3"/>
  <c r="N707" i="3" s="1"/>
  <c r="AD708" i="3"/>
  <c r="P708" i="3"/>
  <c r="Q708" i="3" s="1"/>
  <c r="R708" i="3" s="1"/>
  <c r="S708" i="3" s="1"/>
  <c r="AC708" i="3"/>
  <c r="Z708" i="3"/>
  <c r="AA708" i="3"/>
  <c r="T708" i="3" l="1"/>
  <c r="L707" i="3"/>
  <c r="U707" i="3" l="1"/>
  <c r="D708" i="3" s="1"/>
  <c r="AG708" i="3"/>
  <c r="AH708" i="3"/>
  <c r="Y706" i="3"/>
  <c r="E708" i="3" l="1"/>
  <c r="H708" i="3" s="1"/>
  <c r="K708" i="3" s="1"/>
  <c r="AE708" i="3" s="1"/>
  <c r="G708" i="3"/>
  <c r="F708" i="3" l="1"/>
  <c r="I708" i="3"/>
  <c r="J708" i="3"/>
  <c r="M708" i="3"/>
  <c r="N708" i="3" s="1"/>
  <c r="V708" i="3"/>
  <c r="A709" i="3"/>
  <c r="B709" i="3" s="1"/>
  <c r="W708" i="3" l="1"/>
  <c r="L708" i="3"/>
  <c r="Z709" i="3"/>
  <c r="AA709" i="3"/>
  <c r="AD709" i="3"/>
  <c r="P709" i="3"/>
  <c r="Q709" i="3" s="1"/>
  <c r="R709" i="3" s="1"/>
  <c r="S709" i="3" s="1"/>
  <c r="AC709" i="3"/>
  <c r="U708" i="3" l="1"/>
  <c r="Y707" i="3"/>
  <c r="T709" i="3"/>
  <c r="AG709" i="3" s="1"/>
  <c r="AH709" i="3" l="1"/>
  <c r="E709" i="3"/>
  <c r="H709" i="3" s="1"/>
  <c r="D709" i="3"/>
  <c r="F709" i="3" l="1"/>
  <c r="G709" i="3"/>
  <c r="K709" i="3"/>
  <c r="AE709" i="3" s="1"/>
  <c r="V709" i="3" l="1"/>
  <c r="A710" i="3"/>
  <c r="B710" i="3" s="1"/>
  <c r="I709" i="3"/>
  <c r="J709" i="3"/>
  <c r="M709" i="3"/>
  <c r="N709" i="3" s="1"/>
  <c r="W709" i="3" l="1"/>
  <c r="L709" i="3"/>
  <c r="AD710" i="3"/>
  <c r="AC710" i="3"/>
  <c r="Z710" i="3"/>
  <c r="AA710" i="3"/>
  <c r="P710" i="3"/>
  <c r="Q710" i="3" s="1"/>
  <c r="R710" i="3" s="1"/>
  <c r="S710" i="3" s="1"/>
  <c r="U709" i="3" l="1"/>
  <c r="Y708" i="3"/>
  <c r="T710" i="3"/>
  <c r="AH710" i="3" s="1"/>
  <c r="D710" i="3" l="1"/>
  <c r="E710" i="3"/>
  <c r="H710" i="3" s="1"/>
  <c r="AG710" i="3"/>
  <c r="F710" i="3" l="1"/>
  <c r="G710" i="3"/>
  <c r="K710" i="3"/>
  <c r="AE710" i="3" s="1"/>
  <c r="I710" i="3" l="1"/>
  <c r="J710" i="3"/>
  <c r="M710" i="3"/>
  <c r="N710" i="3" s="1"/>
  <c r="V710" i="3"/>
  <c r="A711" i="3"/>
  <c r="B711" i="3" s="1"/>
  <c r="W710" i="3" l="1"/>
  <c r="L710" i="3"/>
  <c r="AA711" i="3"/>
  <c r="AC711" i="3"/>
  <c r="Z711" i="3"/>
  <c r="AD711" i="3"/>
  <c r="P711" i="3"/>
  <c r="Q711" i="3" s="1"/>
  <c r="R711" i="3" s="1"/>
  <c r="S711" i="3" s="1"/>
  <c r="T711" i="3" l="1"/>
  <c r="U710" i="3"/>
  <c r="Y709" i="3"/>
  <c r="D711" i="3" l="1"/>
  <c r="G711" i="3" s="1"/>
  <c r="E711" i="3"/>
  <c r="H711" i="3" s="1"/>
  <c r="AH711" i="3"/>
  <c r="AG711" i="3"/>
  <c r="F711" i="3" l="1"/>
  <c r="K711" i="3"/>
  <c r="AE711" i="3" s="1"/>
  <c r="I711" i="3"/>
  <c r="J711" i="3"/>
  <c r="M711" i="3"/>
  <c r="N711" i="3" s="1"/>
  <c r="L711" i="3" l="1"/>
  <c r="V711" i="3"/>
  <c r="W711" i="3" s="1"/>
  <c r="A712" i="3"/>
  <c r="B712" i="3" s="1"/>
  <c r="AC712" i="3" l="1"/>
  <c r="AD712" i="3"/>
  <c r="P712" i="3"/>
  <c r="Q712" i="3" s="1"/>
  <c r="R712" i="3" s="1"/>
  <c r="S712" i="3" s="1"/>
  <c r="AA712" i="3"/>
  <c r="Z712" i="3"/>
  <c r="U711" i="3"/>
  <c r="Y710" i="3"/>
  <c r="T712" i="3" l="1"/>
  <c r="AG712" i="3" l="1"/>
  <c r="D712" i="3"/>
  <c r="E712" i="3"/>
  <c r="H712" i="3" s="1"/>
  <c r="AH712" i="3"/>
  <c r="K712" i="3" l="1"/>
  <c r="AE712" i="3" s="1"/>
  <c r="F712" i="3"/>
  <c r="G712" i="3"/>
  <c r="V712" i="3" l="1"/>
  <c r="A713" i="3"/>
  <c r="B713" i="3" s="1"/>
  <c r="I712" i="3"/>
  <c r="J712" i="3"/>
  <c r="M712" i="3"/>
  <c r="N712" i="3" s="1"/>
  <c r="W712" i="3" l="1"/>
  <c r="L712" i="3"/>
  <c r="Z713" i="3"/>
  <c r="P713" i="3"/>
  <c r="Q713" i="3" s="1"/>
  <c r="R713" i="3" s="1"/>
  <c r="S713" i="3" s="1"/>
  <c r="AC713" i="3"/>
  <c r="AD713" i="3"/>
  <c r="AA713" i="3"/>
  <c r="T713" i="3" l="1"/>
  <c r="AH713" i="3" s="1"/>
  <c r="U712" i="3"/>
  <c r="Y711" i="3"/>
  <c r="D713" i="3" l="1"/>
  <c r="AG713" i="3"/>
  <c r="E713" i="3"/>
  <c r="H713" i="3" s="1"/>
  <c r="F713" i="3" l="1"/>
  <c r="G713" i="3"/>
  <c r="M713" i="3" s="1"/>
  <c r="N713" i="3" s="1"/>
  <c r="K713" i="3"/>
  <c r="AE713" i="3" s="1"/>
  <c r="I713" i="3" l="1"/>
  <c r="J713" i="3"/>
  <c r="L713" i="3" s="1"/>
  <c r="V713" i="3"/>
  <c r="A714" i="3"/>
  <c r="B714" i="3" s="1"/>
  <c r="W713" i="3" l="1"/>
  <c r="U713" i="3"/>
  <c r="Y712" i="3"/>
  <c r="AA714" i="3"/>
  <c r="P714" i="3"/>
  <c r="Q714" i="3" s="1"/>
  <c r="R714" i="3" s="1"/>
  <c r="S714" i="3" s="1"/>
  <c r="Z714" i="3"/>
  <c r="AC714" i="3"/>
  <c r="T714" i="3" l="1"/>
  <c r="AH714" i="3" s="1"/>
  <c r="D714" i="3" l="1"/>
  <c r="G714" i="3" s="1"/>
  <c r="E714" i="3"/>
  <c r="H714" i="3" s="1"/>
  <c r="K714" i="3" s="1"/>
  <c r="AE714" i="3" s="1"/>
  <c r="AG714" i="3"/>
  <c r="F714" i="3" l="1"/>
  <c r="V714" i="3"/>
  <c r="A715" i="3"/>
  <c r="B715" i="3" s="1"/>
  <c r="I714" i="3"/>
  <c r="J714" i="3"/>
  <c r="AD714" i="3" s="1"/>
  <c r="M714" i="3"/>
  <c r="N714" i="3" s="1"/>
  <c r="L714" i="3" l="1"/>
  <c r="W714" i="3"/>
  <c r="AC715" i="3"/>
  <c r="P715" i="3"/>
  <c r="Q715" i="3" s="1"/>
  <c r="R715" i="3" s="1"/>
  <c r="S715" i="3" s="1"/>
  <c r="Z715" i="3"/>
  <c r="AA715" i="3"/>
  <c r="AD715" i="3"/>
  <c r="U714" i="3" l="1"/>
  <c r="Y713" i="3"/>
  <c r="T715" i="3"/>
  <c r="AG715" i="3" s="1"/>
  <c r="AH715" i="3" l="1"/>
  <c r="D715" i="3"/>
  <c r="G715" i="3" s="1"/>
  <c r="E715" i="3"/>
  <c r="H715" i="3" s="1"/>
  <c r="F715" i="3" l="1"/>
  <c r="I715" i="3"/>
  <c r="J715" i="3"/>
  <c r="M715" i="3"/>
  <c r="N715" i="3" s="1"/>
  <c r="K715" i="3"/>
  <c r="AE715" i="3" s="1"/>
  <c r="V715" i="3" l="1"/>
  <c r="W715" i="3" s="1"/>
  <c r="A716" i="3"/>
  <c r="B716" i="3" s="1"/>
  <c r="L715" i="3"/>
  <c r="U715" i="3" l="1"/>
  <c r="Y714" i="3"/>
  <c r="AC716" i="3"/>
  <c r="Z716" i="3"/>
  <c r="P716" i="3"/>
  <c r="Q716" i="3" s="1"/>
  <c r="R716" i="3" s="1"/>
  <c r="S716" i="3" s="1"/>
  <c r="AA716" i="3"/>
  <c r="AD716" i="3"/>
  <c r="T716" i="3" l="1"/>
  <c r="D716" i="3" s="1"/>
  <c r="E716" i="3" l="1"/>
  <c r="H716" i="3" s="1"/>
  <c r="K716" i="3" s="1"/>
  <c r="AE716" i="3" s="1"/>
  <c r="AH716" i="3"/>
  <c r="AG716" i="3"/>
  <c r="G716" i="3"/>
  <c r="F716" i="3" l="1"/>
  <c r="I716" i="3"/>
  <c r="J716" i="3"/>
  <c r="M716" i="3"/>
  <c r="N716" i="3" s="1"/>
  <c r="V716" i="3"/>
  <c r="A717" i="3"/>
  <c r="B717" i="3" s="1"/>
  <c r="W716" i="3" l="1"/>
  <c r="L716" i="3"/>
  <c r="AC717" i="3"/>
  <c r="P717" i="3"/>
  <c r="Q717" i="3" s="1"/>
  <c r="R717" i="3" s="1"/>
  <c r="S717" i="3" s="1"/>
  <c r="AD717" i="3"/>
  <c r="Z717" i="3"/>
  <c r="AA717" i="3"/>
  <c r="U716" i="3" l="1"/>
  <c r="Y715" i="3"/>
  <c r="T717" i="3"/>
  <c r="AG717" i="3" s="1"/>
  <c r="E717" i="3" l="1"/>
  <c r="H717" i="3" s="1"/>
  <c r="K717" i="3" s="1"/>
  <c r="AE717" i="3" s="1"/>
  <c r="AH717" i="3"/>
  <c r="D717" i="3"/>
  <c r="V717" i="3" l="1"/>
  <c r="A718" i="3"/>
  <c r="B718" i="3" s="1"/>
  <c r="F717" i="3"/>
  <c r="G717" i="3"/>
  <c r="I717" i="3" l="1"/>
  <c r="W717" i="3" s="1"/>
  <c r="J717" i="3"/>
  <c r="M717" i="3"/>
  <c r="N717" i="3" s="1"/>
  <c r="P718" i="3"/>
  <c r="Q718" i="3" s="1"/>
  <c r="R718" i="3" s="1"/>
  <c r="S718" i="3" s="1"/>
  <c r="AC718" i="3"/>
  <c r="Z718" i="3"/>
  <c r="AD718" i="3"/>
  <c r="AA718" i="3"/>
  <c r="L717" i="3" l="1"/>
  <c r="T718" i="3"/>
  <c r="U717" i="3" l="1"/>
  <c r="E718" i="3" s="1"/>
  <c r="H718" i="3" s="1"/>
  <c r="AH718" i="3"/>
  <c r="AG718" i="3"/>
  <c r="Y716" i="3"/>
  <c r="K718" i="3" l="1"/>
  <c r="AE718" i="3" s="1"/>
  <c r="D718" i="3"/>
  <c r="V718" i="3" l="1"/>
  <c r="A719" i="3"/>
  <c r="B719" i="3" s="1"/>
  <c r="F718" i="3"/>
  <c r="G718" i="3"/>
  <c r="I718" i="3" l="1"/>
  <c r="W718" i="3" s="1"/>
  <c r="J718" i="3"/>
  <c r="M718" i="3"/>
  <c r="N718" i="3" s="1"/>
  <c r="AD719" i="3"/>
  <c r="Z719" i="3"/>
  <c r="P719" i="3"/>
  <c r="Q719" i="3" s="1"/>
  <c r="R719" i="3" s="1"/>
  <c r="S719" i="3" s="1"/>
  <c r="AA719" i="3"/>
  <c r="AC719" i="3"/>
  <c r="T719" i="3" l="1"/>
  <c r="L718" i="3"/>
  <c r="AG719" i="3" l="1"/>
  <c r="AH719" i="3"/>
  <c r="U718" i="3"/>
  <c r="E719" i="3" s="1"/>
  <c r="H719" i="3" s="1"/>
  <c r="Y717" i="3"/>
  <c r="D719" i="3" l="1"/>
  <c r="G719" i="3" s="1"/>
  <c r="K719" i="3"/>
  <c r="AE719" i="3" s="1"/>
  <c r="F719" i="3" l="1"/>
  <c r="I719" i="3"/>
  <c r="J719" i="3"/>
  <c r="M719" i="3"/>
  <c r="N719" i="3" s="1"/>
  <c r="V719" i="3"/>
  <c r="A720" i="3"/>
  <c r="B720" i="3" s="1"/>
  <c r="W719" i="3" l="1"/>
  <c r="L719" i="3"/>
  <c r="P720" i="3"/>
  <c r="Q720" i="3" s="1"/>
  <c r="R720" i="3" s="1"/>
  <c r="S720" i="3" s="1"/>
  <c r="AA720" i="3"/>
  <c r="AC720" i="3"/>
  <c r="Z720" i="3"/>
  <c r="AD720" i="3"/>
  <c r="U719" i="3" l="1"/>
  <c r="Y718" i="3"/>
  <c r="T720" i="3"/>
  <c r="AG720" i="3" s="1"/>
  <c r="E720" i="3" l="1"/>
  <c r="H720" i="3" s="1"/>
  <c r="K720" i="3" s="1"/>
  <c r="AE720" i="3" s="1"/>
  <c r="D720" i="3"/>
  <c r="AH720" i="3"/>
  <c r="V720" i="3" l="1"/>
  <c r="A721" i="3"/>
  <c r="B721" i="3" s="1"/>
  <c r="F720" i="3"/>
  <c r="G720" i="3"/>
  <c r="I720" i="3" l="1"/>
  <c r="W720" i="3" s="1"/>
  <c r="J720" i="3"/>
  <c r="M720" i="3"/>
  <c r="N720" i="3" s="1"/>
  <c r="AD721" i="3"/>
  <c r="AA721" i="3"/>
  <c r="Z721" i="3"/>
  <c r="AC721" i="3"/>
  <c r="P721" i="3"/>
  <c r="Q721" i="3" s="1"/>
  <c r="R721" i="3" s="1"/>
  <c r="S721" i="3" s="1"/>
  <c r="T721" i="3" l="1"/>
  <c r="L720" i="3"/>
  <c r="AG721" i="3" l="1"/>
  <c r="U720" i="3"/>
  <c r="D721" i="3" s="1"/>
  <c r="AH721" i="3"/>
  <c r="Y719" i="3"/>
  <c r="G721" i="3" l="1"/>
  <c r="E721" i="3"/>
  <c r="H721" i="3" s="1"/>
  <c r="F721" i="3" l="1"/>
  <c r="I721" i="3"/>
  <c r="J721" i="3"/>
  <c r="M721" i="3"/>
  <c r="N721" i="3" s="1"/>
  <c r="K721" i="3"/>
  <c r="AE721" i="3" s="1"/>
  <c r="V721" i="3" l="1"/>
  <c r="W721" i="3" s="1"/>
  <c r="A722" i="3"/>
  <c r="B722" i="3" s="1"/>
  <c r="L721" i="3"/>
  <c r="U721" i="3" l="1"/>
  <c r="Y720" i="3"/>
  <c r="AA722" i="3"/>
  <c r="AC722" i="3"/>
  <c r="P722" i="3"/>
  <c r="Q722" i="3" s="1"/>
  <c r="R722" i="3" s="1"/>
  <c r="S722" i="3" s="1"/>
  <c r="Z722" i="3"/>
  <c r="AD722" i="3"/>
  <c r="T722" i="3" l="1"/>
  <c r="AH722" i="3" s="1"/>
  <c r="E722" i="3" l="1"/>
  <c r="H722" i="3" s="1"/>
  <c r="K722" i="3" s="1"/>
  <c r="AE722" i="3" s="1"/>
  <c r="D722" i="3"/>
  <c r="AG722" i="3"/>
  <c r="V722" i="3" l="1"/>
  <c r="A723" i="3"/>
  <c r="B723" i="3" s="1"/>
  <c r="F722" i="3"/>
  <c r="G722" i="3"/>
  <c r="I722" i="3" l="1"/>
  <c r="W722" i="3" s="1"/>
  <c r="J722" i="3"/>
  <c r="M722" i="3"/>
  <c r="N722" i="3" s="1"/>
  <c r="Z723" i="3"/>
  <c r="AA723" i="3"/>
  <c r="AC723" i="3"/>
  <c r="P723" i="3"/>
  <c r="Q723" i="3" s="1"/>
  <c r="R723" i="3" s="1"/>
  <c r="S723" i="3" s="1"/>
  <c r="AD723" i="3"/>
  <c r="T723" i="3" l="1"/>
  <c r="L722" i="3"/>
  <c r="U722" i="3" l="1"/>
  <c r="E723" i="3" s="1"/>
  <c r="H723" i="3" s="1"/>
  <c r="AG723" i="3"/>
  <c r="AH723" i="3"/>
  <c r="Y721" i="3"/>
  <c r="D723" i="3" l="1"/>
  <c r="G723" i="3" s="1"/>
  <c r="K723" i="3"/>
  <c r="AE723" i="3" s="1"/>
  <c r="F723" i="3" l="1"/>
  <c r="V723" i="3"/>
  <c r="A724" i="3"/>
  <c r="B724" i="3" s="1"/>
  <c r="I723" i="3"/>
  <c r="J723" i="3"/>
  <c r="M723" i="3"/>
  <c r="N723" i="3" s="1"/>
  <c r="W723" i="3" l="1"/>
  <c r="L723" i="3"/>
  <c r="AA724" i="3"/>
  <c r="Z724" i="3"/>
  <c r="AC724" i="3"/>
  <c r="P724" i="3"/>
  <c r="Q724" i="3" s="1"/>
  <c r="R724" i="3" s="1"/>
  <c r="S724" i="3" s="1"/>
  <c r="T724" i="3" l="1"/>
  <c r="AH724" i="3" s="1"/>
  <c r="U723" i="3"/>
  <c r="Y722" i="3"/>
  <c r="D724" i="3" l="1"/>
  <c r="E724" i="3"/>
  <c r="H724" i="3" s="1"/>
  <c r="AG724" i="3"/>
  <c r="K724" i="3" l="1"/>
  <c r="AE724" i="3" s="1"/>
  <c r="F724" i="3"/>
  <c r="G724" i="3"/>
  <c r="I724" i="3" l="1"/>
  <c r="J724" i="3"/>
  <c r="AD724" i="3" s="1"/>
  <c r="M724" i="3"/>
  <c r="N724" i="3" s="1"/>
  <c r="V724" i="3"/>
  <c r="A725" i="3"/>
  <c r="B725" i="3" s="1"/>
  <c r="W724" i="3" l="1"/>
  <c r="L724" i="3"/>
  <c r="AC725" i="3"/>
  <c r="P725" i="3"/>
  <c r="Q725" i="3" s="1"/>
  <c r="R725" i="3" s="1"/>
  <c r="S725" i="3" s="1"/>
  <c r="Z725" i="3"/>
  <c r="AA725" i="3"/>
  <c r="AD725" i="3"/>
  <c r="U724" i="3" l="1"/>
  <c r="Y723" i="3"/>
  <c r="T725" i="3"/>
  <c r="AG725" i="3" s="1"/>
  <c r="AH725" i="3" l="1"/>
  <c r="D725" i="3"/>
  <c r="G725" i="3" s="1"/>
  <c r="E725" i="3"/>
  <c r="H725" i="3" s="1"/>
  <c r="F725" i="3" l="1"/>
  <c r="I725" i="3"/>
  <c r="J725" i="3"/>
  <c r="M725" i="3"/>
  <c r="N725" i="3" s="1"/>
  <c r="K725" i="3"/>
  <c r="AE725" i="3" s="1"/>
  <c r="V725" i="3" l="1"/>
  <c r="W725" i="3" s="1"/>
  <c r="A726" i="3"/>
  <c r="B726" i="3" s="1"/>
  <c r="L725" i="3"/>
  <c r="U725" i="3" l="1"/>
  <c r="Y724" i="3"/>
  <c r="Z726" i="3"/>
  <c r="P726" i="3"/>
  <c r="Q726" i="3" s="1"/>
  <c r="R726" i="3" s="1"/>
  <c r="S726" i="3" s="1"/>
  <c r="AA726" i="3"/>
  <c r="AD726" i="3"/>
  <c r="AC726" i="3"/>
  <c r="T726" i="3" l="1"/>
  <c r="AG726" i="3" s="1"/>
  <c r="D726" i="3" l="1"/>
  <c r="G726" i="3" s="1"/>
  <c r="E726" i="3"/>
  <c r="H726" i="3" s="1"/>
  <c r="K726" i="3" s="1"/>
  <c r="AE726" i="3" s="1"/>
  <c r="AH726" i="3"/>
  <c r="F726" i="3" l="1"/>
  <c r="I726" i="3"/>
  <c r="J726" i="3"/>
  <c r="M726" i="3"/>
  <c r="N726" i="3" s="1"/>
  <c r="V726" i="3"/>
  <c r="A727" i="3"/>
  <c r="B727" i="3" s="1"/>
  <c r="W726" i="3" l="1"/>
  <c r="L726" i="3"/>
  <c r="P727" i="3"/>
  <c r="Q727" i="3" s="1"/>
  <c r="R727" i="3" s="1"/>
  <c r="S727" i="3" s="1"/>
  <c r="Z727" i="3"/>
  <c r="AA727" i="3"/>
  <c r="AC727" i="3"/>
  <c r="AD727" i="3"/>
  <c r="U726" i="3" l="1"/>
  <c r="Y725" i="3"/>
  <c r="T727" i="3"/>
  <c r="AH727" i="3" s="1"/>
  <c r="E727" i="3" l="1"/>
  <c r="H727" i="3" s="1"/>
  <c r="K727" i="3" s="1"/>
  <c r="AE727" i="3" s="1"/>
  <c r="D727" i="3"/>
  <c r="AG727" i="3"/>
  <c r="F727" i="3" l="1"/>
  <c r="G727" i="3"/>
  <c r="M727" i="3" s="1"/>
  <c r="N727" i="3" s="1"/>
  <c r="V727" i="3"/>
  <c r="A728" i="3"/>
  <c r="B728" i="3" s="1"/>
  <c r="I727" i="3" l="1"/>
  <c r="W727" i="3" s="1"/>
  <c r="J727" i="3"/>
  <c r="L727" i="3" s="1"/>
  <c r="AA728" i="3"/>
  <c r="P728" i="3"/>
  <c r="Q728" i="3" s="1"/>
  <c r="R728" i="3" s="1"/>
  <c r="S728" i="3" s="1"/>
  <c r="AC728" i="3"/>
  <c r="Z728" i="3"/>
  <c r="AD728" i="3"/>
  <c r="U727" i="3" l="1"/>
  <c r="Y726" i="3"/>
  <c r="T728" i="3"/>
  <c r="D728" i="3" l="1"/>
  <c r="G728" i="3" s="1"/>
  <c r="AG728" i="3"/>
  <c r="E728" i="3"/>
  <c r="H728" i="3" s="1"/>
  <c r="AH728" i="3"/>
  <c r="F728" i="3" l="1"/>
  <c r="I728" i="3"/>
  <c r="J728" i="3"/>
  <c r="M728" i="3"/>
  <c r="N728" i="3" s="1"/>
  <c r="K728" i="3"/>
  <c r="AE728" i="3" s="1"/>
  <c r="V728" i="3" l="1"/>
  <c r="W728" i="3" s="1"/>
  <c r="A729" i="3"/>
  <c r="B729" i="3" s="1"/>
  <c r="L728" i="3"/>
  <c r="U728" i="3" l="1"/>
  <c r="Y727" i="3"/>
  <c r="P729" i="3"/>
  <c r="Q729" i="3" s="1"/>
  <c r="R729" i="3" s="1"/>
  <c r="S729" i="3" s="1"/>
  <c r="AA729" i="3"/>
  <c r="AD729" i="3"/>
  <c r="AC729" i="3"/>
  <c r="Z729" i="3"/>
  <c r="T729" i="3" l="1"/>
  <c r="E729" i="3" s="1"/>
  <c r="H729" i="3" s="1"/>
  <c r="AH729" i="3" l="1"/>
  <c r="D729" i="3"/>
  <c r="F729" i="3" s="1"/>
  <c r="AG729" i="3"/>
  <c r="K729" i="3"/>
  <c r="AE729" i="3" s="1"/>
  <c r="G729" i="3" l="1"/>
  <c r="I729" i="3" s="1"/>
  <c r="V729" i="3"/>
  <c r="A730" i="3"/>
  <c r="B730" i="3" s="1"/>
  <c r="W729" i="3" l="1"/>
  <c r="J729" i="3"/>
  <c r="L729" i="3" s="1"/>
  <c r="M729" i="3"/>
  <c r="N729" i="3" s="1"/>
  <c r="AA730" i="3"/>
  <c r="Z730" i="3"/>
  <c r="AD730" i="3"/>
  <c r="P730" i="3"/>
  <c r="Q730" i="3" s="1"/>
  <c r="R730" i="3" s="1"/>
  <c r="S730" i="3" s="1"/>
  <c r="AC730" i="3"/>
  <c r="U729" i="3" l="1"/>
  <c r="Y728" i="3"/>
  <c r="T730" i="3"/>
  <c r="AG730" i="3" s="1"/>
  <c r="D730" i="3" l="1"/>
  <c r="E730" i="3"/>
  <c r="H730" i="3" s="1"/>
  <c r="AH730" i="3"/>
  <c r="K730" i="3" l="1"/>
  <c r="AE730" i="3" s="1"/>
  <c r="F730" i="3"/>
  <c r="G730" i="3"/>
  <c r="I730" i="3" l="1"/>
  <c r="J730" i="3"/>
  <c r="M730" i="3"/>
  <c r="N730" i="3" s="1"/>
  <c r="V730" i="3"/>
  <c r="A731" i="3"/>
  <c r="B731" i="3" s="1"/>
  <c r="W730" i="3" l="1"/>
  <c r="L730" i="3"/>
  <c r="P731" i="3"/>
  <c r="Q731" i="3" s="1"/>
  <c r="R731" i="3" s="1"/>
  <c r="S731" i="3" s="1"/>
  <c r="Z731" i="3"/>
  <c r="AA731" i="3"/>
  <c r="AD731" i="3"/>
  <c r="AC731" i="3"/>
  <c r="U730" i="3" l="1"/>
  <c r="Y729" i="3"/>
  <c r="T731" i="3"/>
  <c r="AG731" i="3" s="1"/>
  <c r="E731" i="3" l="1"/>
  <c r="H731" i="3" s="1"/>
  <c r="K731" i="3" s="1"/>
  <c r="AE731" i="3" s="1"/>
  <c r="AH731" i="3"/>
  <c r="D731" i="3"/>
  <c r="F731" i="3" l="1"/>
  <c r="G731" i="3"/>
  <c r="J731" i="3" s="1"/>
  <c r="V731" i="3"/>
  <c r="A732" i="3"/>
  <c r="B732" i="3" s="1"/>
  <c r="M731" i="3" l="1"/>
  <c r="N731" i="3" s="1"/>
  <c r="I731" i="3"/>
  <c r="W731" i="3" s="1"/>
  <c r="L731" i="3"/>
  <c r="AC732" i="3"/>
  <c r="Z732" i="3"/>
  <c r="AD732" i="3"/>
  <c r="AA732" i="3"/>
  <c r="P732" i="3"/>
  <c r="Q732" i="3" s="1"/>
  <c r="R732" i="3" s="1"/>
  <c r="S732" i="3" s="1"/>
  <c r="U731" i="3" l="1"/>
  <c r="Y730" i="3"/>
  <c r="T732" i="3"/>
  <c r="E732" i="3" l="1"/>
  <c r="H732" i="3" s="1"/>
  <c r="K732" i="3" s="1"/>
  <c r="AE732" i="3" s="1"/>
  <c r="D732" i="3"/>
  <c r="G732" i="3" s="1"/>
  <c r="AH732" i="3"/>
  <c r="AG732" i="3"/>
  <c r="F732" i="3" l="1"/>
  <c r="I732" i="3"/>
  <c r="J732" i="3"/>
  <c r="M732" i="3"/>
  <c r="N732" i="3" s="1"/>
  <c r="V732" i="3"/>
  <c r="A733" i="3"/>
  <c r="B733" i="3" s="1"/>
  <c r="W732" i="3" l="1"/>
  <c r="L732" i="3"/>
  <c r="AC733" i="3"/>
  <c r="P733" i="3"/>
  <c r="Q733" i="3" s="1"/>
  <c r="R733" i="3" s="1"/>
  <c r="S733" i="3" s="1"/>
  <c r="AA733" i="3"/>
  <c r="Z733" i="3"/>
  <c r="AD733" i="3"/>
  <c r="T733" i="3" l="1"/>
  <c r="AH733" i="3" s="1"/>
  <c r="U732" i="3"/>
  <c r="Y731" i="3"/>
  <c r="D733" i="3" l="1"/>
  <c r="G733" i="3" s="1"/>
  <c r="E733" i="3"/>
  <c r="H733" i="3" s="1"/>
  <c r="AG733" i="3"/>
  <c r="F733" i="3" l="1"/>
  <c r="I733" i="3"/>
  <c r="J733" i="3"/>
  <c r="M733" i="3"/>
  <c r="N733" i="3" s="1"/>
  <c r="K733" i="3"/>
  <c r="AE733" i="3" s="1"/>
  <c r="V733" i="3" l="1"/>
  <c r="W733" i="3" s="1"/>
  <c r="A734" i="3"/>
  <c r="B734" i="3" s="1"/>
  <c r="L733" i="3"/>
  <c r="U733" i="3" l="1"/>
  <c r="Y732" i="3"/>
  <c r="P734" i="3"/>
  <c r="Q734" i="3" s="1"/>
  <c r="R734" i="3" s="1"/>
  <c r="S734" i="3" s="1"/>
  <c r="AC734" i="3"/>
  <c r="AA734" i="3"/>
  <c r="Z734" i="3"/>
  <c r="T734" i="3" l="1"/>
  <c r="AG734" i="3" s="1"/>
  <c r="D734" i="3" l="1"/>
  <c r="E734" i="3"/>
  <c r="H734" i="3" s="1"/>
  <c r="K734" i="3" s="1"/>
  <c r="AE734" i="3" s="1"/>
  <c r="AH734" i="3"/>
  <c r="F734" i="3" l="1"/>
  <c r="G734" i="3"/>
  <c r="M734" i="3" s="1"/>
  <c r="N734" i="3" s="1"/>
  <c r="V734" i="3"/>
  <c r="A735" i="3"/>
  <c r="B735" i="3" s="1"/>
  <c r="I734" i="3" l="1"/>
  <c r="W734" i="3" s="1"/>
  <c r="J734" i="3"/>
  <c r="AA735" i="3"/>
  <c r="Z735" i="3"/>
  <c r="P735" i="3"/>
  <c r="Q735" i="3" s="1"/>
  <c r="R735" i="3" s="1"/>
  <c r="S735" i="3" s="1"/>
  <c r="AC735" i="3"/>
  <c r="AD735" i="3"/>
  <c r="L734" i="3" l="1"/>
  <c r="Y733" i="3" s="1"/>
  <c r="AD734" i="3"/>
  <c r="T735" i="3"/>
  <c r="U734" i="3" l="1"/>
  <c r="E735" i="3" s="1"/>
  <c r="H735" i="3" s="1"/>
  <c r="AH735" i="3"/>
  <c r="AG735" i="3"/>
  <c r="D735" i="3" l="1"/>
  <c r="G735" i="3" s="1"/>
  <c r="M735" i="3" s="1"/>
  <c r="N735" i="3" s="1"/>
  <c r="K735" i="3"/>
  <c r="AE735" i="3" s="1"/>
  <c r="F735" i="3" l="1"/>
  <c r="I735" i="3"/>
  <c r="J735" i="3"/>
  <c r="L735" i="3" s="1"/>
  <c r="V735" i="3"/>
  <c r="A736" i="3"/>
  <c r="B736" i="3" s="1"/>
  <c r="W735" i="3" l="1"/>
  <c r="U735" i="3"/>
  <c r="Y734" i="3"/>
  <c r="Z736" i="3"/>
  <c r="P736" i="3"/>
  <c r="Q736" i="3" s="1"/>
  <c r="R736" i="3" s="1"/>
  <c r="S736" i="3" s="1"/>
  <c r="AA736" i="3"/>
  <c r="AD736" i="3"/>
  <c r="AC736" i="3"/>
  <c r="T736" i="3" l="1"/>
  <c r="E736" i="3" s="1"/>
  <c r="H736" i="3" s="1"/>
  <c r="AH736" i="3" l="1"/>
  <c r="D736" i="3"/>
  <c r="F736" i="3" s="1"/>
  <c r="K736" i="3"/>
  <c r="AE736" i="3" s="1"/>
  <c r="AG736" i="3"/>
  <c r="G736" i="3" l="1"/>
  <c r="M736" i="3" s="1"/>
  <c r="N736" i="3" s="1"/>
  <c r="V736" i="3"/>
  <c r="A737" i="3"/>
  <c r="B737" i="3" s="1"/>
  <c r="I736" i="3" l="1"/>
  <c r="W736" i="3" s="1"/>
  <c r="J736" i="3"/>
  <c r="L736" i="3" s="1"/>
  <c r="AC737" i="3"/>
  <c r="P737" i="3"/>
  <c r="Q737" i="3" s="1"/>
  <c r="R737" i="3" s="1"/>
  <c r="S737" i="3" s="1"/>
  <c r="AD737" i="3"/>
  <c r="Z737" i="3"/>
  <c r="AA737" i="3"/>
  <c r="U736" i="3" l="1"/>
  <c r="Y735" i="3"/>
  <c r="T737" i="3"/>
  <c r="AH737" i="3" s="1"/>
  <c r="D737" i="3" l="1"/>
  <c r="E737" i="3"/>
  <c r="H737" i="3" s="1"/>
  <c r="AG737" i="3"/>
  <c r="F737" i="3" l="1"/>
  <c r="G737" i="3"/>
  <c r="K737" i="3"/>
  <c r="AE737" i="3" s="1"/>
  <c r="V737" i="3" l="1"/>
  <c r="A738" i="3"/>
  <c r="B738" i="3" s="1"/>
  <c r="I737" i="3"/>
  <c r="J737" i="3"/>
  <c r="M737" i="3"/>
  <c r="N737" i="3" s="1"/>
  <c r="W737" i="3" l="1"/>
  <c r="L737" i="3"/>
  <c r="AA738" i="3"/>
  <c r="P738" i="3"/>
  <c r="Q738" i="3" s="1"/>
  <c r="R738" i="3" s="1"/>
  <c r="S738" i="3" s="1"/>
  <c r="AC738" i="3"/>
  <c r="Z738" i="3"/>
  <c r="AD738" i="3"/>
  <c r="U737" i="3" l="1"/>
  <c r="Y736" i="3"/>
  <c r="T738" i="3"/>
  <c r="E738" i="3" l="1"/>
  <c r="H738" i="3" s="1"/>
  <c r="K738" i="3" s="1"/>
  <c r="AE738" i="3" s="1"/>
  <c r="D738" i="3"/>
  <c r="AG738" i="3"/>
  <c r="AH738" i="3"/>
  <c r="V738" i="3" l="1"/>
  <c r="A739" i="3"/>
  <c r="B739" i="3" s="1"/>
  <c r="F738" i="3"/>
  <c r="G738" i="3"/>
  <c r="I738" i="3" l="1"/>
  <c r="W738" i="3" s="1"/>
  <c r="J738" i="3"/>
  <c r="M738" i="3"/>
  <c r="N738" i="3" s="1"/>
  <c r="P739" i="3"/>
  <c r="Q739" i="3" s="1"/>
  <c r="R739" i="3" s="1"/>
  <c r="S739" i="3" s="1"/>
  <c r="AC739" i="3"/>
  <c r="AA739" i="3"/>
  <c r="AD739" i="3"/>
  <c r="Z739" i="3"/>
  <c r="T739" i="3" l="1"/>
  <c r="L738" i="3"/>
  <c r="AH739" i="3" l="1"/>
  <c r="U738" i="3"/>
  <c r="E739" i="3" s="1"/>
  <c r="H739" i="3" s="1"/>
  <c r="AG739" i="3"/>
  <c r="Y737" i="3"/>
  <c r="D739" i="3" l="1"/>
  <c r="G739" i="3" s="1"/>
  <c r="K739" i="3"/>
  <c r="AE739" i="3" s="1"/>
  <c r="F739" i="3" l="1"/>
  <c r="I739" i="3"/>
  <c r="J739" i="3"/>
  <c r="M739" i="3"/>
  <c r="N739" i="3" s="1"/>
  <c r="V739" i="3"/>
  <c r="A740" i="3"/>
  <c r="B740" i="3" s="1"/>
  <c r="W739" i="3" l="1"/>
  <c r="L739" i="3"/>
  <c r="P740" i="3"/>
  <c r="Q740" i="3" s="1"/>
  <c r="R740" i="3" s="1"/>
  <c r="S740" i="3" s="1"/>
  <c r="Z740" i="3"/>
  <c r="AC740" i="3"/>
  <c r="AD740" i="3"/>
  <c r="AA740" i="3"/>
  <c r="U739" i="3" l="1"/>
  <c r="Y738" i="3"/>
  <c r="T740" i="3"/>
  <c r="E740" i="3" l="1"/>
  <c r="H740" i="3" s="1"/>
  <c r="K740" i="3" s="1"/>
  <c r="AE740" i="3" s="1"/>
  <c r="D740" i="3"/>
  <c r="G740" i="3" s="1"/>
  <c r="AH740" i="3"/>
  <c r="AG740" i="3"/>
  <c r="F740" i="3" l="1"/>
  <c r="I740" i="3"/>
  <c r="J740" i="3"/>
  <c r="M740" i="3"/>
  <c r="N740" i="3" s="1"/>
  <c r="V740" i="3"/>
  <c r="A741" i="3"/>
  <c r="B741" i="3" s="1"/>
  <c r="W740" i="3" l="1"/>
  <c r="L740" i="3"/>
  <c r="AA741" i="3"/>
  <c r="P741" i="3"/>
  <c r="Q741" i="3" s="1"/>
  <c r="R741" i="3" s="1"/>
  <c r="S741" i="3" s="1"/>
  <c r="AD741" i="3"/>
  <c r="Z741" i="3"/>
  <c r="AC741" i="3"/>
  <c r="T741" i="3" l="1"/>
  <c r="AG741" i="3" s="1"/>
  <c r="U740" i="3"/>
  <c r="Y739" i="3"/>
  <c r="E741" i="3" l="1"/>
  <c r="H741" i="3" s="1"/>
  <c r="D741" i="3"/>
  <c r="AH741" i="3"/>
  <c r="K741" i="3" l="1"/>
  <c r="AE741" i="3" s="1"/>
  <c r="F741" i="3"/>
  <c r="G741" i="3"/>
  <c r="V741" i="3" l="1"/>
  <c r="A742" i="3"/>
  <c r="B742" i="3" s="1"/>
  <c r="I741" i="3"/>
  <c r="J741" i="3"/>
  <c r="M741" i="3"/>
  <c r="N741" i="3" s="1"/>
  <c r="L741" i="3" l="1"/>
  <c r="W741" i="3"/>
  <c r="AC742" i="3"/>
  <c r="P742" i="3"/>
  <c r="Q742" i="3" s="1"/>
  <c r="R742" i="3" s="1"/>
  <c r="S742" i="3" s="1"/>
  <c r="AD742" i="3"/>
  <c r="Z742" i="3"/>
  <c r="AA742" i="3"/>
  <c r="U741" i="3" l="1"/>
  <c r="Y740" i="3"/>
  <c r="T742" i="3"/>
  <c r="AG742" i="3" s="1"/>
  <c r="E742" i="3" l="1"/>
  <c r="H742" i="3" s="1"/>
  <c r="K742" i="3" s="1"/>
  <c r="AE742" i="3" s="1"/>
  <c r="AH742" i="3"/>
  <c r="D742" i="3"/>
  <c r="F742" i="3" l="1"/>
  <c r="G742" i="3"/>
  <c r="V742" i="3"/>
  <c r="A743" i="3"/>
  <c r="B743" i="3" s="1"/>
  <c r="I742" i="3" l="1"/>
  <c r="W742" i="3" s="1"/>
  <c r="J742" i="3"/>
  <c r="M742" i="3"/>
  <c r="N742" i="3" s="1"/>
  <c r="Z743" i="3"/>
  <c r="AA743" i="3"/>
  <c r="P743" i="3"/>
  <c r="Q743" i="3" s="1"/>
  <c r="R743" i="3" s="1"/>
  <c r="S743" i="3" s="1"/>
  <c r="AC743" i="3"/>
  <c r="AD743" i="3"/>
  <c r="T743" i="3" l="1"/>
  <c r="L742" i="3"/>
  <c r="U742" i="3" l="1"/>
  <c r="E743" i="3" s="1"/>
  <c r="H743" i="3" s="1"/>
  <c r="AH743" i="3"/>
  <c r="AG743" i="3"/>
  <c r="Y741" i="3"/>
  <c r="D743" i="3" l="1"/>
  <c r="G743" i="3" s="1"/>
  <c r="K743" i="3"/>
  <c r="AE743" i="3" s="1"/>
  <c r="F743" i="3" l="1"/>
  <c r="I743" i="3"/>
  <c r="J743" i="3"/>
  <c r="M743" i="3"/>
  <c r="N743" i="3" s="1"/>
  <c r="V743" i="3"/>
  <c r="A744" i="3"/>
  <c r="B744" i="3" s="1"/>
  <c r="W743" i="3" l="1"/>
  <c r="L743" i="3"/>
  <c r="AA744" i="3"/>
  <c r="P744" i="3"/>
  <c r="Q744" i="3" s="1"/>
  <c r="R744" i="3" s="1"/>
  <c r="S744" i="3" s="1"/>
  <c r="AC744" i="3"/>
  <c r="Z744" i="3"/>
  <c r="U743" i="3" l="1"/>
  <c r="Y742" i="3"/>
  <c r="T744" i="3"/>
  <c r="AG744" i="3" s="1"/>
  <c r="E744" i="3" l="1"/>
  <c r="H744" i="3" s="1"/>
  <c r="K744" i="3" s="1"/>
  <c r="AE744" i="3" s="1"/>
  <c r="D744" i="3"/>
  <c r="AH744" i="3"/>
  <c r="F744" i="3" l="1"/>
  <c r="G744" i="3"/>
  <c r="I744" i="3" s="1"/>
  <c r="V744" i="3"/>
  <c r="A745" i="3"/>
  <c r="B745" i="3" s="1"/>
  <c r="J744" i="3" l="1"/>
  <c r="M744" i="3"/>
  <c r="N744" i="3" s="1"/>
  <c r="W744" i="3"/>
  <c r="P745" i="3"/>
  <c r="Q745" i="3" s="1"/>
  <c r="R745" i="3" s="1"/>
  <c r="S745" i="3" s="1"/>
  <c r="AA745" i="3"/>
  <c r="AC745" i="3"/>
  <c r="AD745" i="3"/>
  <c r="Z745" i="3"/>
  <c r="L744" i="3" l="1"/>
  <c r="U744" i="3" s="1"/>
  <c r="AD744" i="3"/>
  <c r="T745" i="3"/>
  <c r="Y743" i="3" l="1"/>
  <c r="AG745" i="3"/>
  <c r="E745" i="3"/>
  <c r="H745" i="3" s="1"/>
  <c r="K745" i="3" s="1"/>
  <c r="AE745" i="3" s="1"/>
  <c r="D745" i="3"/>
  <c r="AH745" i="3"/>
  <c r="F745" i="3" l="1"/>
  <c r="G745" i="3"/>
  <c r="M745" i="3" s="1"/>
  <c r="N745" i="3" s="1"/>
  <c r="V745" i="3"/>
  <c r="A746" i="3"/>
  <c r="B746" i="3" s="1"/>
  <c r="I745" i="3" l="1"/>
  <c r="W745" i="3" s="1"/>
  <c r="J745" i="3"/>
  <c r="L745" i="3" s="1"/>
  <c r="Z746" i="3"/>
  <c r="AD746" i="3"/>
  <c r="P746" i="3"/>
  <c r="Q746" i="3" s="1"/>
  <c r="R746" i="3" s="1"/>
  <c r="S746" i="3" s="1"/>
  <c r="AA746" i="3"/>
  <c r="AC746" i="3"/>
  <c r="U745" i="3" l="1"/>
  <c r="Y744" i="3"/>
  <c r="T746" i="3"/>
  <c r="D746" i="3" l="1"/>
  <c r="G746" i="3" s="1"/>
  <c r="AG746" i="3"/>
  <c r="E746" i="3"/>
  <c r="H746" i="3" s="1"/>
  <c r="AH746" i="3"/>
  <c r="F746" i="3" l="1"/>
  <c r="I746" i="3"/>
  <c r="J746" i="3"/>
  <c r="M746" i="3"/>
  <c r="N746" i="3" s="1"/>
  <c r="K746" i="3"/>
  <c r="AE746" i="3" s="1"/>
  <c r="V746" i="3" l="1"/>
  <c r="W746" i="3" s="1"/>
  <c r="A747" i="3"/>
  <c r="B747" i="3" s="1"/>
  <c r="L746" i="3"/>
  <c r="U746" i="3" l="1"/>
  <c r="Y745" i="3"/>
  <c r="AA747" i="3"/>
  <c r="AD747" i="3"/>
  <c r="Z747" i="3"/>
  <c r="AC747" i="3"/>
  <c r="P747" i="3"/>
  <c r="Q747" i="3" s="1"/>
  <c r="R747" i="3" s="1"/>
  <c r="S747" i="3" s="1"/>
  <c r="T747" i="3" l="1"/>
  <c r="D747" i="3" s="1"/>
  <c r="AG747" i="3" l="1"/>
  <c r="E747" i="3"/>
  <c r="H747" i="3" s="1"/>
  <c r="K747" i="3" s="1"/>
  <c r="AE747" i="3" s="1"/>
  <c r="AH747" i="3"/>
  <c r="G747" i="3"/>
  <c r="F747" i="3" l="1"/>
  <c r="I747" i="3"/>
  <c r="J747" i="3"/>
  <c r="M747" i="3"/>
  <c r="N747" i="3" s="1"/>
  <c r="V747" i="3"/>
  <c r="A748" i="3"/>
  <c r="B748" i="3" s="1"/>
  <c r="W747" i="3" l="1"/>
  <c r="L747" i="3"/>
  <c r="AC748" i="3"/>
  <c r="P748" i="3"/>
  <c r="Q748" i="3" s="1"/>
  <c r="R748" i="3" s="1"/>
  <c r="S748" i="3" s="1"/>
  <c r="AD748" i="3"/>
  <c r="Z748" i="3"/>
  <c r="AA748" i="3"/>
  <c r="U747" i="3" l="1"/>
  <c r="Y746" i="3"/>
  <c r="T748" i="3"/>
  <c r="E748" i="3" l="1"/>
  <c r="H748" i="3" s="1"/>
  <c r="K748" i="3" s="1"/>
  <c r="AE748" i="3" s="1"/>
  <c r="D748" i="3"/>
  <c r="AH748" i="3"/>
  <c r="AG748" i="3"/>
  <c r="V748" i="3" l="1"/>
  <c r="A749" i="3"/>
  <c r="B749" i="3" s="1"/>
  <c r="F748" i="3"/>
  <c r="G748" i="3"/>
  <c r="I748" i="3" l="1"/>
  <c r="W748" i="3" s="1"/>
  <c r="J748" i="3"/>
  <c r="M748" i="3"/>
  <c r="N748" i="3" s="1"/>
  <c r="AA749" i="3"/>
  <c r="Z749" i="3"/>
  <c r="P749" i="3"/>
  <c r="Q749" i="3" s="1"/>
  <c r="R749" i="3" s="1"/>
  <c r="S749" i="3" s="1"/>
  <c r="AC749" i="3"/>
  <c r="AD749" i="3"/>
  <c r="T749" i="3" l="1"/>
  <c r="L748" i="3"/>
  <c r="U748" i="3" l="1"/>
  <c r="E749" i="3" s="1"/>
  <c r="H749" i="3" s="1"/>
  <c r="AG749" i="3"/>
  <c r="AH749" i="3"/>
  <c r="Y747" i="3"/>
  <c r="K749" i="3" l="1"/>
  <c r="AE749" i="3" s="1"/>
  <c r="D749" i="3"/>
  <c r="V749" i="3" l="1"/>
  <c r="A750" i="3"/>
  <c r="B750" i="3" s="1"/>
  <c r="F749" i="3"/>
  <c r="G749" i="3"/>
  <c r="I749" i="3" l="1"/>
  <c r="W749" i="3" s="1"/>
  <c r="J749" i="3"/>
  <c r="M749" i="3"/>
  <c r="N749" i="3" s="1"/>
  <c r="AA750" i="3"/>
  <c r="AC750" i="3"/>
  <c r="Z750" i="3"/>
  <c r="AD750" i="3"/>
  <c r="P750" i="3"/>
  <c r="Q750" i="3" s="1"/>
  <c r="R750" i="3" s="1"/>
  <c r="S750" i="3" s="1"/>
  <c r="T750" i="3" l="1"/>
  <c r="L749" i="3"/>
  <c r="AH750" i="3" l="1"/>
  <c r="AG750" i="3"/>
  <c r="U749" i="3"/>
  <c r="D750" i="3" s="1"/>
  <c r="Y748" i="3"/>
  <c r="G750" i="3" l="1"/>
  <c r="E750" i="3"/>
  <c r="H750" i="3" s="1"/>
  <c r="F750" i="3" l="1"/>
  <c r="I750" i="3"/>
  <c r="J750" i="3"/>
  <c r="M750" i="3"/>
  <c r="N750" i="3" s="1"/>
  <c r="K750" i="3"/>
  <c r="AE750" i="3" s="1"/>
  <c r="V750" i="3" l="1"/>
  <c r="W750" i="3" s="1"/>
  <c r="A751" i="3"/>
  <c r="B751" i="3" s="1"/>
  <c r="L750" i="3"/>
  <c r="U750" i="3" l="1"/>
  <c r="Y749" i="3"/>
  <c r="P751" i="3"/>
  <c r="Q751" i="3" s="1"/>
  <c r="R751" i="3" s="1"/>
  <c r="S751" i="3" s="1"/>
  <c r="Z751" i="3"/>
  <c r="AA751" i="3"/>
  <c r="AC751" i="3"/>
  <c r="AD751" i="3"/>
  <c r="T751" i="3" l="1"/>
  <c r="AH751" i="3" s="1"/>
  <c r="E751" i="3" l="1"/>
  <c r="H751" i="3" s="1"/>
  <c r="K751" i="3" s="1"/>
  <c r="AE751" i="3" s="1"/>
  <c r="AG751" i="3"/>
  <c r="D751" i="3"/>
  <c r="F751" i="3" l="1"/>
  <c r="G751" i="3"/>
  <c r="V751" i="3"/>
  <c r="A752" i="3"/>
  <c r="B752" i="3" s="1"/>
  <c r="AA752" i="3" l="1"/>
  <c r="AD752" i="3"/>
  <c r="Z752" i="3"/>
  <c r="AC752" i="3"/>
  <c r="P752" i="3"/>
  <c r="Q752" i="3" s="1"/>
  <c r="R752" i="3" s="1"/>
  <c r="S752" i="3" s="1"/>
  <c r="I751" i="3"/>
  <c r="W751" i="3" s="1"/>
  <c r="J751" i="3"/>
  <c r="M751" i="3"/>
  <c r="N751" i="3" s="1"/>
  <c r="L751" i="3" l="1"/>
  <c r="T752" i="3"/>
  <c r="U751" i="3" l="1"/>
  <c r="E752" i="3" s="1"/>
  <c r="H752" i="3" s="1"/>
  <c r="AG752" i="3"/>
  <c r="AH752" i="3"/>
  <c r="Y750" i="3"/>
  <c r="K752" i="3" l="1"/>
  <c r="AE752" i="3" s="1"/>
  <c r="D752" i="3"/>
  <c r="V752" i="3" l="1"/>
  <c r="A753" i="3"/>
  <c r="B753" i="3" s="1"/>
  <c r="F752" i="3"/>
  <c r="G752" i="3"/>
  <c r="I752" i="3" l="1"/>
  <c r="W752" i="3" s="1"/>
  <c r="J752" i="3"/>
  <c r="M752" i="3"/>
  <c r="N752" i="3" s="1"/>
  <c r="AD753" i="3"/>
  <c r="AA753" i="3"/>
  <c r="Z753" i="3"/>
  <c r="P753" i="3"/>
  <c r="Q753" i="3" s="1"/>
  <c r="R753" i="3" s="1"/>
  <c r="S753" i="3" s="1"/>
  <c r="AC753" i="3"/>
  <c r="T753" i="3" l="1"/>
  <c r="L752" i="3"/>
  <c r="AG753" i="3" l="1"/>
  <c r="U752" i="3"/>
  <c r="E753" i="3" s="1"/>
  <c r="H753" i="3" s="1"/>
  <c r="AH753" i="3"/>
  <c r="Y751" i="3"/>
  <c r="K753" i="3" l="1"/>
  <c r="AE753" i="3" s="1"/>
  <c r="D753" i="3"/>
  <c r="V753" i="3" l="1"/>
  <c r="A754" i="3"/>
  <c r="B754" i="3" s="1"/>
  <c r="F753" i="3"/>
  <c r="G753" i="3"/>
  <c r="I753" i="3" l="1"/>
  <c r="W753" i="3" s="1"/>
  <c r="J753" i="3"/>
  <c r="M753" i="3"/>
  <c r="N753" i="3" s="1"/>
  <c r="AC754" i="3"/>
  <c r="P754" i="3"/>
  <c r="Q754" i="3" s="1"/>
  <c r="R754" i="3" s="1"/>
  <c r="S754" i="3" s="1"/>
  <c r="Z754" i="3"/>
  <c r="AA754" i="3"/>
  <c r="T754" i="3" l="1"/>
  <c r="L753" i="3"/>
  <c r="AG754" i="3" l="1"/>
  <c r="AH754" i="3"/>
  <c r="U753" i="3"/>
  <c r="E754" i="3" s="1"/>
  <c r="H754" i="3" s="1"/>
  <c r="Y752" i="3"/>
  <c r="D754" i="3" l="1"/>
  <c r="G754" i="3" s="1"/>
  <c r="K754" i="3"/>
  <c r="AE754" i="3" s="1"/>
  <c r="F754" i="3" l="1"/>
  <c r="I754" i="3"/>
  <c r="J754" i="3"/>
  <c r="AD754" i="3" s="1"/>
  <c r="M754" i="3"/>
  <c r="N754" i="3" s="1"/>
  <c r="V754" i="3"/>
  <c r="A755" i="3"/>
  <c r="B755" i="3" s="1"/>
  <c r="W754" i="3" l="1"/>
  <c r="L754" i="3"/>
  <c r="AD755" i="3"/>
  <c r="AC755" i="3"/>
  <c r="AA755" i="3"/>
  <c r="P755" i="3"/>
  <c r="Q755" i="3" s="1"/>
  <c r="R755" i="3" s="1"/>
  <c r="S755" i="3" s="1"/>
  <c r="Z755" i="3"/>
  <c r="T755" i="3" l="1"/>
  <c r="U754" i="3"/>
  <c r="Y753" i="3"/>
  <c r="E755" i="3" l="1"/>
  <c r="H755" i="3" s="1"/>
  <c r="K755" i="3" s="1"/>
  <c r="AE755" i="3" s="1"/>
  <c r="AH755" i="3"/>
  <c r="AG755" i="3"/>
  <c r="D755" i="3"/>
  <c r="F755" i="3" l="1"/>
  <c r="G755" i="3"/>
  <c r="V755" i="3"/>
  <c r="A756" i="3"/>
  <c r="B756" i="3" s="1"/>
  <c r="P756" i="3" l="1"/>
  <c r="Q756" i="3" s="1"/>
  <c r="R756" i="3" s="1"/>
  <c r="S756" i="3" s="1"/>
  <c r="Z756" i="3"/>
  <c r="AA756" i="3"/>
  <c r="AC756" i="3"/>
  <c r="AD756" i="3"/>
  <c r="I755" i="3"/>
  <c r="W755" i="3" s="1"/>
  <c r="J755" i="3"/>
  <c r="M755" i="3"/>
  <c r="N755" i="3" s="1"/>
  <c r="T756" i="3" l="1"/>
  <c r="L755" i="3"/>
  <c r="AG756" i="3" l="1"/>
  <c r="U755" i="3"/>
  <c r="E756" i="3" s="1"/>
  <c r="H756" i="3" s="1"/>
  <c r="AH756" i="3"/>
  <c r="Y754" i="3"/>
  <c r="D756" i="3" l="1"/>
  <c r="F756" i="3" s="1"/>
  <c r="K756" i="3"/>
  <c r="AE756" i="3" s="1"/>
  <c r="G756" i="3" l="1"/>
  <c r="M756" i="3" s="1"/>
  <c r="N756" i="3" s="1"/>
  <c r="V756" i="3"/>
  <c r="A757" i="3"/>
  <c r="B757" i="3" s="1"/>
  <c r="I756" i="3" l="1"/>
  <c r="W756" i="3" s="1"/>
  <c r="J756" i="3"/>
  <c r="L756" i="3" s="1"/>
  <c r="AD757" i="3"/>
  <c r="AC757" i="3"/>
  <c r="P757" i="3"/>
  <c r="Q757" i="3" s="1"/>
  <c r="R757" i="3" s="1"/>
  <c r="S757" i="3" s="1"/>
  <c r="Z757" i="3"/>
  <c r="AA757" i="3"/>
  <c r="T757" i="3" l="1"/>
  <c r="U756" i="3"/>
  <c r="Y755" i="3"/>
  <c r="E757" i="3" l="1"/>
  <c r="H757" i="3" s="1"/>
  <c r="K757" i="3" s="1"/>
  <c r="AE757" i="3" s="1"/>
  <c r="AH757" i="3"/>
  <c r="D757" i="3"/>
  <c r="AG757" i="3"/>
  <c r="V757" i="3" l="1"/>
  <c r="A758" i="3"/>
  <c r="B758" i="3" s="1"/>
  <c r="F757" i="3"/>
  <c r="G757" i="3"/>
  <c r="I757" i="3" l="1"/>
  <c r="W757" i="3" s="1"/>
  <c r="J757" i="3"/>
  <c r="M757" i="3"/>
  <c r="N757" i="3" s="1"/>
  <c r="AA758" i="3"/>
  <c r="Z758" i="3"/>
  <c r="AD758" i="3"/>
  <c r="AC758" i="3"/>
  <c r="P758" i="3"/>
  <c r="Q758" i="3" s="1"/>
  <c r="R758" i="3" s="1"/>
  <c r="S758" i="3" s="1"/>
  <c r="T758" i="3" l="1"/>
  <c r="L757" i="3"/>
  <c r="AG758" i="3" l="1"/>
  <c r="U757" i="3"/>
  <c r="D758" i="3" s="1"/>
  <c r="AH758" i="3"/>
  <c r="Y756" i="3"/>
  <c r="E758" i="3" l="1"/>
  <c r="H758" i="3" s="1"/>
  <c r="K758" i="3" s="1"/>
  <c r="AE758" i="3" s="1"/>
  <c r="G758" i="3"/>
  <c r="F758" i="3" l="1"/>
  <c r="V758" i="3"/>
  <c r="A759" i="3"/>
  <c r="B759" i="3" s="1"/>
  <c r="I758" i="3"/>
  <c r="J758" i="3"/>
  <c r="M758" i="3"/>
  <c r="N758" i="3" s="1"/>
  <c r="L758" i="3" l="1"/>
  <c r="W758" i="3"/>
  <c r="AD759" i="3"/>
  <c r="P759" i="3"/>
  <c r="Q759" i="3" s="1"/>
  <c r="R759" i="3" s="1"/>
  <c r="S759" i="3" s="1"/>
  <c r="Z759" i="3"/>
  <c r="AA759" i="3"/>
  <c r="AC759" i="3"/>
  <c r="U758" i="3" l="1"/>
  <c r="Y757" i="3"/>
  <c r="T759" i="3"/>
  <c r="D759" i="3" l="1"/>
  <c r="G759" i="3" s="1"/>
  <c r="AG759" i="3"/>
  <c r="E759" i="3"/>
  <c r="H759" i="3" s="1"/>
  <c r="AH759" i="3"/>
  <c r="F759" i="3" l="1"/>
  <c r="I759" i="3"/>
  <c r="J759" i="3"/>
  <c r="M759" i="3"/>
  <c r="N759" i="3" s="1"/>
  <c r="K759" i="3"/>
  <c r="AE759" i="3" s="1"/>
  <c r="V759" i="3" l="1"/>
  <c r="W759" i="3" s="1"/>
  <c r="A760" i="3"/>
  <c r="B760" i="3" s="1"/>
  <c r="L759" i="3"/>
  <c r="U759" i="3" l="1"/>
  <c r="Y758" i="3"/>
  <c r="AA760" i="3"/>
  <c r="AC760" i="3"/>
  <c r="Z760" i="3"/>
  <c r="P760" i="3"/>
  <c r="Q760" i="3" s="1"/>
  <c r="R760" i="3" s="1"/>
  <c r="S760" i="3" s="1"/>
  <c r="AD760" i="3"/>
  <c r="T760" i="3" l="1"/>
  <c r="E760" i="3" s="1"/>
  <c r="H760" i="3" s="1"/>
  <c r="AH760" i="3" l="1"/>
  <c r="AG760" i="3"/>
  <c r="D760" i="3"/>
  <c r="G760" i="3" s="1"/>
  <c r="K760" i="3"/>
  <c r="AE760" i="3" s="1"/>
  <c r="F760" i="3" l="1"/>
  <c r="I760" i="3"/>
  <c r="J760" i="3"/>
  <c r="M760" i="3"/>
  <c r="N760" i="3" s="1"/>
  <c r="V760" i="3"/>
  <c r="A761" i="3"/>
  <c r="B761" i="3" s="1"/>
  <c r="W760" i="3" l="1"/>
  <c r="L760" i="3"/>
  <c r="P761" i="3"/>
  <c r="Q761" i="3" s="1"/>
  <c r="R761" i="3" s="1"/>
  <c r="S761" i="3" s="1"/>
  <c r="Z761" i="3"/>
  <c r="AA761" i="3"/>
  <c r="AD761" i="3"/>
  <c r="AC761" i="3"/>
  <c r="T761" i="3" l="1"/>
  <c r="U760" i="3"/>
  <c r="Y759" i="3"/>
  <c r="D761" i="3" l="1"/>
  <c r="G761" i="3" s="1"/>
  <c r="AG761" i="3"/>
  <c r="AH761" i="3"/>
  <c r="E761" i="3"/>
  <c r="H761" i="3" s="1"/>
  <c r="F761" i="3" l="1"/>
  <c r="I761" i="3"/>
  <c r="J761" i="3"/>
  <c r="M761" i="3"/>
  <c r="N761" i="3" s="1"/>
  <c r="K761" i="3"/>
  <c r="AE761" i="3" s="1"/>
  <c r="V761" i="3" l="1"/>
  <c r="W761" i="3" s="1"/>
  <c r="A762" i="3"/>
  <c r="B762" i="3" s="1"/>
  <c r="L761" i="3"/>
  <c r="U761" i="3" l="1"/>
  <c r="Y760" i="3"/>
  <c r="AA762" i="3"/>
  <c r="Z762" i="3"/>
  <c r="AC762" i="3"/>
  <c r="P762" i="3"/>
  <c r="Q762" i="3" s="1"/>
  <c r="R762" i="3" s="1"/>
  <c r="S762" i="3" s="1"/>
  <c r="AD762" i="3"/>
  <c r="T762" i="3" l="1"/>
  <c r="D762" i="3" s="1"/>
  <c r="E762" i="3" l="1"/>
  <c r="H762" i="3" s="1"/>
  <c r="K762" i="3" s="1"/>
  <c r="AE762" i="3" s="1"/>
  <c r="AH762" i="3"/>
  <c r="AG762" i="3"/>
  <c r="G762" i="3"/>
  <c r="F762" i="3" l="1"/>
  <c r="I762" i="3"/>
  <c r="J762" i="3"/>
  <c r="M762" i="3"/>
  <c r="N762" i="3" s="1"/>
  <c r="V762" i="3"/>
  <c r="A763" i="3"/>
  <c r="B763" i="3" s="1"/>
  <c r="W762" i="3" l="1"/>
  <c r="L762" i="3"/>
  <c r="AC763" i="3"/>
  <c r="Z763" i="3"/>
  <c r="AA763" i="3"/>
  <c r="P763" i="3"/>
  <c r="Q763" i="3" s="1"/>
  <c r="R763" i="3" s="1"/>
  <c r="S763" i="3" s="1"/>
  <c r="AD763" i="3"/>
  <c r="U762" i="3" l="1"/>
  <c r="Y761" i="3"/>
  <c r="T763" i="3"/>
  <c r="D763" i="3" l="1"/>
  <c r="G763" i="3" s="1"/>
  <c r="AG763" i="3"/>
  <c r="AH763" i="3"/>
  <c r="E763" i="3"/>
  <c r="H763" i="3" s="1"/>
  <c r="K763" i="3" s="1"/>
  <c r="AE763" i="3" s="1"/>
  <c r="F763" i="3" l="1"/>
  <c r="I763" i="3"/>
  <c r="J763" i="3"/>
  <c r="M763" i="3"/>
  <c r="N763" i="3" s="1"/>
  <c r="V763" i="3"/>
  <c r="A764" i="3"/>
  <c r="B764" i="3" s="1"/>
  <c r="W763" i="3" l="1"/>
  <c r="L763" i="3"/>
  <c r="Z764" i="3"/>
  <c r="P764" i="3"/>
  <c r="Q764" i="3" s="1"/>
  <c r="R764" i="3" s="1"/>
  <c r="S764" i="3" s="1"/>
  <c r="AC764" i="3"/>
  <c r="AA764" i="3"/>
  <c r="U763" i="3" l="1"/>
  <c r="Y762" i="3"/>
  <c r="T764" i="3"/>
  <c r="E764" i="3" l="1"/>
  <c r="H764" i="3" s="1"/>
  <c r="K764" i="3" s="1"/>
  <c r="AE764" i="3" s="1"/>
  <c r="AG764" i="3"/>
  <c r="D764" i="3"/>
  <c r="AH764" i="3"/>
  <c r="F764" i="3" l="1"/>
  <c r="G764" i="3"/>
  <c r="V764" i="3"/>
  <c r="A765" i="3"/>
  <c r="B765" i="3" s="1"/>
  <c r="P765" i="3" l="1"/>
  <c r="Q765" i="3" s="1"/>
  <c r="R765" i="3" s="1"/>
  <c r="S765" i="3" s="1"/>
  <c r="Z765" i="3"/>
  <c r="AA765" i="3"/>
  <c r="AC765" i="3"/>
  <c r="AD765" i="3"/>
  <c r="I764" i="3"/>
  <c r="W764" i="3" s="1"/>
  <c r="J764" i="3"/>
  <c r="AD764" i="3" s="1"/>
  <c r="M764" i="3"/>
  <c r="N764" i="3" s="1"/>
  <c r="T765" i="3" l="1"/>
  <c r="L764" i="3"/>
  <c r="AG765" i="3" l="1"/>
  <c r="AH765" i="3"/>
  <c r="U764" i="3"/>
  <c r="D765" i="3" s="1"/>
  <c r="Y763" i="3"/>
  <c r="E765" i="3" l="1"/>
  <c r="H765" i="3" s="1"/>
  <c r="K765" i="3" s="1"/>
  <c r="AE765" i="3" s="1"/>
  <c r="G765" i="3"/>
  <c r="F765" i="3" l="1"/>
  <c r="I765" i="3"/>
  <c r="J765" i="3"/>
  <c r="M765" i="3"/>
  <c r="N765" i="3" s="1"/>
  <c r="V765" i="3"/>
  <c r="A766" i="3"/>
  <c r="B766" i="3" s="1"/>
  <c r="W765" i="3" l="1"/>
  <c r="L765" i="3"/>
  <c r="AD766" i="3"/>
  <c r="P766" i="3"/>
  <c r="Q766" i="3" s="1"/>
  <c r="R766" i="3" s="1"/>
  <c r="S766" i="3" s="1"/>
  <c r="AA766" i="3"/>
  <c r="Z766" i="3"/>
  <c r="AC766" i="3"/>
  <c r="U765" i="3" l="1"/>
  <c r="Y764" i="3"/>
  <c r="T766" i="3"/>
  <c r="E766" i="3" l="1"/>
  <c r="H766" i="3" s="1"/>
  <c r="K766" i="3" s="1"/>
  <c r="AE766" i="3" s="1"/>
  <c r="D766" i="3"/>
  <c r="AG766" i="3"/>
  <c r="AH766" i="3"/>
  <c r="V766" i="3" l="1"/>
  <c r="A767" i="3"/>
  <c r="B767" i="3" s="1"/>
  <c r="F766" i="3"/>
  <c r="G766" i="3"/>
  <c r="I766" i="3" l="1"/>
  <c r="W766" i="3" s="1"/>
  <c r="J766" i="3"/>
  <c r="M766" i="3"/>
  <c r="N766" i="3" s="1"/>
  <c r="P767" i="3"/>
  <c r="Q767" i="3" s="1"/>
  <c r="R767" i="3" s="1"/>
  <c r="S767" i="3" s="1"/>
  <c r="AC767" i="3"/>
  <c r="AD767" i="3"/>
  <c r="AA767" i="3"/>
  <c r="Z767" i="3"/>
  <c r="T767" i="3" l="1"/>
  <c r="L766" i="3"/>
  <c r="AH767" i="3" l="1"/>
  <c r="AG767" i="3"/>
  <c r="U766" i="3"/>
  <c r="D767" i="3" s="1"/>
  <c r="Y765" i="3"/>
  <c r="E767" i="3" l="1"/>
  <c r="H767" i="3" s="1"/>
  <c r="K767" i="3" s="1"/>
  <c r="AE767" i="3" s="1"/>
  <c r="G767" i="3"/>
  <c r="F767" i="3" l="1"/>
  <c r="I767" i="3"/>
  <c r="J767" i="3"/>
  <c r="M767" i="3"/>
  <c r="N767" i="3" s="1"/>
  <c r="V767" i="3"/>
  <c r="A768" i="3"/>
  <c r="B768" i="3" s="1"/>
  <c r="W767" i="3" l="1"/>
  <c r="L767" i="3"/>
  <c r="AC768" i="3"/>
  <c r="AA768" i="3"/>
  <c r="AD768" i="3"/>
  <c r="P768" i="3"/>
  <c r="Q768" i="3" s="1"/>
  <c r="R768" i="3" s="1"/>
  <c r="S768" i="3" s="1"/>
  <c r="Z768" i="3"/>
  <c r="T768" i="3" l="1"/>
  <c r="AG768" i="3" s="1"/>
  <c r="U767" i="3"/>
  <c r="Y766" i="3"/>
  <c r="D768" i="3" l="1"/>
  <c r="G768" i="3" s="1"/>
  <c r="AH768" i="3"/>
  <c r="E768" i="3"/>
  <c r="H768" i="3" s="1"/>
  <c r="K768" i="3" l="1"/>
  <c r="AE768" i="3" s="1"/>
  <c r="I768" i="3"/>
  <c r="J768" i="3"/>
  <c r="M768" i="3"/>
  <c r="N768" i="3" s="1"/>
  <c r="F768" i="3"/>
  <c r="L768" i="3" l="1"/>
  <c r="V768" i="3"/>
  <c r="W768" i="3" s="1"/>
  <c r="A769" i="3"/>
  <c r="B769" i="3" s="1"/>
  <c r="AD769" i="3" l="1"/>
  <c r="AC769" i="3"/>
  <c r="Z769" i="3"/>
  <c r="P769" i="3"/>
  <c r="Q769" i="3" s="1"/>
  <c r="R769" i="3" s="1"/>
  <c r="S769" i="3" s="1"/>
  <c r="AA769" i="3"/>
  <c r="U768" i="3"/>
  <c r="Y767" i="3"/>
  <c r="T769" i="3" l="1"/>
  <c r="AG769" i="3" l="1"/>
  <c r="D769" i="3"/>
  <c r="AH769" i="3"/>
  <c r="E769" i="3"/>
  <c r="H769" i="3" s="1"/>
  <c r="F769" i="3" l="1"/>
  <c r="G769" i="3"/>
  <c r="K769" i="3"/>
  <c r="AE769" i="3" s="1"/>
  <c r="V769" i="3" l="1"/>
  <c r="A770" i="3"/>
  <c r="B770" i="3" s="1"/>
  <c r="I769" i="3"/>
  <c r="J769" i="3"/>
  <c r="M769" i="3"/>
  <c r="N769" i="3" s="1"/>
  <c r="W769" i="3" l="1"/>
  <c r="L769" i="3"/>
  <c r="AC770" i="3"/>
  <c r="P770" i="3"/>
  <c r="Q770" i="3" s="1"/>
  <c r="R770" i="3" s="1"/>
  <c r="S770" i="3" s="1"/>
  <c r="AD770" i="3"/>
  <c r="Z770" i="3"/>
  <c r="AA770" i="3"/>
  <c r="U769" i="3" l="1"/>
  <c r="Y768" i="3"/>
  <c r="T770" i="3"/>
  <c r="AG770" i="3" s="1"/>
  <c r="E770" i="3" l="1"/>
  <c r="H770" i="3" s="1"/>
  <c r="K770" i="3" s="1"/>
  <c r="AE770" i="3" s="1"/>
  <c r="D770" i="3"/>
  <c r="AH770" i="3"/>
  <c r="F770" i="3" l="1"/>
  <c r="G770" i="3"/>
  <c r="M770" i="3" s="1"/>
  <c r="N770" i="3" s="1"/>
  <c r="V770" i="3"/>
  <c r="A771" i="3"/>
  <c r="B771" i="3" s="1"/>
  <c r="I770" i="3" l="1"/>
  <c r="W770" i="3" s="1"/>
  <c r="J770" i="3"/>
  <c r="L770" i="3" s="1"/>
  <c r="AA771" i="3"/>
  <c r="AC771" i="3"/>
  <c r="P771" i="3"/>
  <c r="Q771" i="3" s="1"/>
  <c r="R771" i="3" s="1"/>
  <c r="S771" i="3" s="1"/>
  <c r="Z771" i="3"/>
  <c r="AD771" i="3"/>
  <c r="U770" i="3" l="1"/>
  <c r="Y769" i="3"/>
  <c r="T771" i="3"/>
  <c r="AH771" i="3" s="1"/>
  <c r="E771" i="3" l="1"/>
  <c r="H771" i="3" s="1"/>
  <c r="AG771" i="3"/>
  <c r="D771" i="3"/>
  <c r="K771" i="3" l="1"/>
  <c r="AE771" i="3" s="1"/>
  <c r="F771" i="3"/>
  <c r="G771" i="3"/>
  <c r="V771" i="3" l="1"/>
  <c r="A772" i="3"/>
  <c r="B772" i="3" s="1"/>
  <c r="I771" i="3"/>
  <c r="J771" i="3"/>
  <c r="M771" i="3"/>
  <c r="N771" i="3" s="1"/>
  <c r="L771" i="3" l="1"/>
  <c r="W771" i="3"/>
  <c r="AD772" i="3"/>
  <c r="AA772" i="3"/>
  <c r="Z772" i="3"/>
  <c r="AC772" i="3"/>
  <c r="P772" i="3"/>
  <c r="Q772" i="3" s="1"/>
  <c r="R772" i="3" s="1"/>
  <c r="S772" i="3" s="1"/>
  <c r="U771" i="3" l="1"/>
  <c r="Y770" i="3"/>
  <c r="T772" i="3"/>
  <c r="E772" i="3" l="1"/>
  <c r="H772" i="3" s="1"/>
  <c r="K772" i="3" s="1"/>
  <c r="AE772" i="3" s="1"/>
  <c r="D772" i="3"/>
  <c r="G772" i="3" s="1"/>
  <c r="AG772" i="3"/>
  <c r="AH772" i="3"/>
  <c r="F772" i="3" l="1"/>
  <c r="V772" i="3"/>
  <c r="A773" i="3"/>
  <c r="B773" i="3" s="1"/>
  <c r="I772" i="3"/>
  <c r="J772" i="3"/>
  <c r="M772" i="3"/>
  <c r="N772" i="3" s="1"/>
  <c r="W772" i="3" l="1"/>
  <c r="L772" i="3"/>
  <c r="AA773" i="3"/>
  <c r="P773" i="3"/>
  <c r="Q773" i="3" s="1"/>
  <c r="R773" i="3" s="1"/>
  <c r="S773" i="3" s="1"/>
  <c r="Z773" i="3"/>
  <c r="AD773" i="3"/>
  <c r="AC773" i="3"/>
  <c r="U772" i="3" l="1"/>
  <c r="Y771" i="3"/>
  <c r="T773" i="3"/>
  <c r="AG773" i="3" s="1"/>
  <c r="D773" i="3" l="1"/>
  <c r="E773" i="3"/>
  <c r="H773" i="3" s="1"/>
  <c r="K773" i="3" s="1"/>
  <c r="AE773" i="3" s="1"/>
  <c r="AH773" i="3"/>
  <c r="F773" i="3" l="1"/>
  <c r="G773" i="3"/>
  <c r="M773" i="3" s="1"/>
  <c r="N773" i="3" s="1"/>
  <c r="V773" i="3"/>
  <c r="A774" i="3"/>
  <c r="B774" i="3" s="1"/>
  <c r="I773" i="3" l="1"/>
  <c r="W773" i="3" s="1"/>
  <c r="J773" i="3"/>
  <c r="L773" i="3" s="1"/>
  <c r="AC774" i="3"/>
  <c r="P774" i="3"/>
  <c r="Q774" i="3" s="1"/>
  <c r="R774" i="3" s="1"/>
  <c r="S774" i="3" s="1"/>
  <c r="AA774" i="3"/>
  <c r="Z774" i="3"/>
  <c r="U773" i="3" l="1"/>
  <c r="Y772" i="3"/>
  <c r="T774" i="3"/>
  <c r="AG774" i="3" s="1"/>
  <c r="E774" i="3" l="1"/>
  <c r="H774" i="3" s="1"/>
  <c r="K774" i="3" s="1"/>
  <c r="AE774" i="3" s="1"/>
  <c r="AH774" i="3"/>
  <c r="D774" i="3"/>
  <c r="F774" i="3" l="1"/>
  <c r="G774" i="3"/>
  <c r="M774" i="3" s="1"/>
  <c r="N774" i="3" s="1"/>
  <c r="V774" i="3"/>
  <c r="A775" i="3"/>
  <c r="B775" i="3" s="1"/>
  <c r="I774" i="3" l="1"/>
  <c r="W774" i="3" s="1"/>
  <c r="J774" i="3"/>
  <c r="P775" i="3"/>
  <c r="Q775" i="3" s="1"/>
  <c r="R775" i="3" s="1"/>
  <c r="S775" i="3" s="1"/>
  <c r="Z775" i="3"/>
  <c r="AD775" i="3"/>
  <c r="AA775" i="3"/>
  <c r="AC775" i="3"/>
  <c r="L774" i="3" l="1"/>
  <c r="Y773" i="3" s="1"/>
  <c r="AD774" i="3"/>
  <c r="T775" i="3"/>
  <c r="U774" i="3" l="1"/>
  <c r="D775" i="3" s="1"/>
  <c r="AG775" i="3"/>
  <c r="AH775" i="3"/>
  <c r="E775" i="3" l="1"/>
  <c r="H775" i="3" s="1"/>
  <c r="K775" i="3" s="1"/>
  <c r="AE775" i="3" s="1"/>
  <c r="G775" i="3"/>
  <c r="M775" i="3" l="1"/>
  <c r="N775" i="3" s="1"/>
  <c r="A776" i="3"/>
  <c r="B776" i="3" s="1"/>
  <c r="AD776" i="3" s="1"/>
  <c r="V775" i="3"/>
  <c r="F775" i="3"/>
  <c r="I775" i="3"/>
  <c r="J775" i="3"/>
  <c r="L775" i="3" s="1"/>
  <c r="W775" i="3" l="1"/>
  <c r="P776" i="3"/>
  <c r="Q776" i="3" s="1"/>
  <c r="R776" i="3" s="1"/>
  <c r="S776" i="3" s="1"/>
  <c r="T776" i="3" s="1"/>
  <c r="AA776" i="3"/>
  <c r="AC776" i="3"/>
  <c r="Z776" i="3"/>
  <c r="U775" i="3"/>
  <c r="Y774" i="3"/>
  <c r="AG776" i="3" l="1"/>
  <c r="AH776" i="3"/>
  <c r="E776" i="3"/>
  <c r="H776" i="3" s="1"/>
  <c r="K776" i="3" s="1"/>
  <c r="AE776" i="3" s="1"/>
  <c r="D776" i="3"/>
  <c r="G776" i="3" s="1"/>
  <c r="F776" i="3" l="1"/>
  <c r="I776" i="3"/>
  <c r="J776" i="3"/>
  <c r="M776" i="3"/>
  <c r="N776" i="3" s="1"/>
  <c r="V776" i="3"/>
  <c r="A777" i="3"/>
  <c r="B777" i="3" s="1"/>
  <c r="W776" i="3" l="1"/>
  <c r="L776" i="3"/>
  <c r="Z777" i="3"/>
  <c r="AA777" i="3"/>
  <c r="P777" i="3"/>
  <c r="Q777" i="3" s="1"/>
  <c r="R777" i="3" s="1"/>
  <c r="S777" i="3" s="1"/>
  <c r="AD777" i="3"/>
  <c r="AC777" i="3"/>
  <c r="U776" i="3" l="1"/>
  <c r="Y775" i="3"/>
  <c r="T777" i="3"/>
  <c r="AH777" i="3" s="1"/>
  <c r="E777" i="3" l="1"/>
  <c r="H777" i="3" s="1"/>
  <c r="D777" i="3"/>
  <c r="AG777" i="3"/>
  <c r="K777" i="3" l="1"/>
  <c r="AE777" i="3" s="1"/>
  <c r="F777" i="3"/>
  <c r="G777" i="3"/>
  <c r="I777" i="3" l="1"/>
  <c r="J777" i="3"/>
  <c r="M777" i="3"/>
  <c r="N777" i="3" s="1"/>
  <c r="V777" i="3"/>
  <c r="A778" i="3"/>
  <c r="B778" i="3" s="1"/>
  <c r="L777" i="3" l="1"/>
  <c r="W777" i="3"/>
  <c r="P778" i="3"/>
  <c r="Q778" i="3" s="1"/>
  <c r="R778" i="3" s="1"/>
  <c r="S778" i="3" s="1"/>
  <c r="Z778" i="3"/>
  <c r="AD778" i="3"/>
  <c r="AA778" i="3"/>
  <c r="AC778" i="3"/>
  <c r="U777" i="3" l="1"/>
  <c r="Y776" i="3"/>
  <c r="T778" i="3"/>
  <c r="AH778" i="3" s="1"/>
  <c r="E778" i="3" l="1"/>
  <c r="H778" i="3" s="1"/>
  <c r="K778" i="3" s="1"/>
  <c r="AE778" i="3" s="1"/>
  <c r="AG778" i="3"/>
  <c r="D778" i="3"/>
  <c r="G778" i="3" s="1"/>
  <c r="F778" i="3" l="1"/>
  <c r="I778" i="3"/>
  <c r="J778" i="3"/>
  <c r="M778" i="3"/>
  <c r="N778" i="3" s="1"/>
  <c r="V778" i="3"/>
  <c r="A779" i="3"/>
  <c r="B779" i="3" s="1"/>
  <c r="W778" i="3" l="1"/>
  <c r="L778" i="3"/>
  <c r="P779" i="3"/>
  <c r="Q779" i="3" s="1"/>
  <c r="R779" i="3" s="1"/>
  <c r="S779" i="3" s="1"/>
  <c r="AA779" i="3"/>
  <c r="AC779" i="3"/>
  <c r="AD779" i="3"/>
  <c r="Z779" i="3"/>
  <c r="U778" i="3" l="1"/>
  <c r="Y777" i="3"/>
  <c r="T779" i="3"/>
  <c r="E779" i="3" l="1"/>
  <c r="H779" i="3" s="1"/>
  <c r="K779" i="3" s="1"/>
  <c r="AE779" i="3" s="1"/>
  <c r="AG779" i="3"/>
  <c r="AH779" i="3"/>
  <c r="D779" i="3"/>
  <c r="G779" i="3" s="1"/>
  <c r="F779" i="3" l="1"/>
  <c r="I779" i="3"/>
  <c r="J779" i="3"/>
  <c r="M779" i="3"/>
  <c r="N779" i="3" s="1"/>
  <c r="V779" i="3"/>
  <c r="A780" i="3"/>
  <c r="B780" i="3" s="1"/>
  <c r="W779" i="3" l="1"/>
  <c r="L779" i="3"/>
  <c r="P780" i="3"/>
  <c r="Q780" i="3" s="1"/>
  <c r="R780" i="3" s="1"/>
  <c r="S780" i="3" s="1"/>
  <c r="AD780" i="3"/>
  <c r="AA780" i="3"/>
  <c r="Z780" i="3"/>
  <c r="AC780" i="3"/>
  <c r="U779" i="3" l="1"/>
  <c r="Y778" i="3"/>
  <c r="T780" i="3"/>
  <c r="D780" i="3" l="1"/>
  <c r="G780" i="3" s="1"/>
  <c r="AH780" i="3"/>
  <c r="E780" i="3"/>
  <c r="H780" i="3" s="1"/>
  <c r="K780" i="3" s="1"/>
  <c r="AE780" i="3" s="1"/>
  <c r="AG780" i="3"/>
  <c r="F780" i="3" l="1"/>
  <c r="I780" i="3"/>
  <c r="J780" i="3"/>
  <c r="M780" i="3"/>
  <c r="N780" i="3" s="1"/>
  <c r="V780" i="3"/>
  <c r="A781" i="3"/>
  <c r="B781" i="3" s="1"/>
  <c r="W780" i="3" l="1"/>
  <c r="L780" i="3"/>
  <c r="P781" i="3"/>
  <c r="Q781" i="3" s="1"/>
  <c r="R781" i="3" s="1"/>
  <c r="S781" i="3" s="1"/>
  <c r="AD781" i="3"/>
  <c r="Z781" i="3"/>
  <c r="AA781" i="3"/>
  <c r="AC781" i="3"/>
  <c r="T781" i="3" l="1"/>
  <c r="U780" i="3"/>
  <c r="Y779" i="3"/>
  <c r="E781" i="3" l="1"/>
  <c r="H781" i="3" s="1"/>
  <c r="K781" i="3" s="1"/>
  <c r="AE781" i="3" s="1"/>
  <c r="AG781" i="3"/>
  <c r="AH781" i="3"/>
  <c r="D781" i="3"/>
  <c r="F781" i="3" l="1"/>
  <c r="G781" i="3"/>
  <c r="V781" i="3"/>
  <c r="A782" i="3"/>
  <c r="B782" i="3" s="1"/>
  <c r="P782" i="3" l="1"/>
  <c r="Q782" i="3" s="1"/>
  <c r="R782" i="3" s="1"/>
  <c r="S782" i="3" s="1"/>
  <c r="AC782" i="3"/>
  <c r="AD782" i="3"/>
  <c r="AA782" i="3"/>
  <c r="Z782" i="3"/>
  <c r="I781" i="3"/>
  <c r="W781" i="3" s="1"/>
  <c r="J781" i="3"/>
  <c r="M781" i="3"/>
  <c r="N781" i="3" s="1"/>
  <c r="T782" i="3" l="1"/>
  <c r="L781" i="3"/>
  <c r="U781" i="3" l="1"/>
  <c r="D782" i="3" s="1"/>
  <c r="AH782" i="3"/>
  <c r="AG782" i="3"/>
  <c r="Y780" i="3"/>
  <c r="E782" i="3" l="1"/>
  <c r="H782" i="3" s="1"/>
  <c r="K782" i="3" s="1"/>
  <c r="AE782" i="3" s="1"/>
  <c r="G782" i="3"/>
  <c r="F782" i="3" l="1"/>
  <c r="I782" i="3"/>
  <c r="J782" i="3"/>
  <c r="M782" i="3"/>
  <c r="N782" i="3" s="1"/>
  <c r="V782" i="3"/>
  <c r="A783" i="3"/>
  <c r="B783" i="3" s="1"/>
  <c r="W782" i="3" l="1"/>
  <c r="L782" i="3"/>
  <c r="AA783" i="3"/>
  <c r="Z783" i="3"/>
  <c r="P783" i="3"/>
  <c r="Q783" i="3" s="1"/>
  <c r="R783" i="3" s="1"/>
  <c r="S783" i="3" s="1"/>
  <c r="AD783" i="3"/>
  <c r="AC783" i="3"/>
  <c r="U782" i="3" l="1"/>
  <c r="Y781" i="3"/>
  <c r="T783" i="3"/>
  <c r="AH783" i="3" s="1"/>
  <c r="AG783" i="3" l="1"/>
  <c r="D783" i="3"/>
  <c r="G783" i="3" s="1"/>
  <c r="E783" i="3"/>
  <c r="H783" i="3" s="1"/>
  <c r="K783" i="3" s="1"/>
  <c r="AE783" i="3" s="1"/>
  <c r="F783" i="3" l="1"/>
  <c r="I783" i="3"/>
  <c r="J783" i="3"/>
  <c r="M783" i="3"/>
  <c r="N783" i="3" s="1"/>
  <c r="V783" i="3"/>
  <c r="A784" i="3"/>
  <c r="B784" i="3" s="1"/>
  <c r="W783" i="3" l="1"/>
  <c r="L783" i="3"/>
  <c r="AC784" i="3"/>
  <c r="Z784" i="3"/>
  <c r="P784" i="3"/>
  <c r="Q784" i="3" s="1"/>
  <c r="R784" i="3" s="1"/>
  <c r="S784" i="3" s="1"/>
  <c r="AA784" i="3"/>
  <c r="T784" i="3" l="1"/>
  <c r="AG784" i="3" s="1"/>
  <c r="U783" i="3"/>
  <c r="Y782" i="3"/>
  <c r="E784" i="3" l="1"/>
  <c r="H784" i="3" s="1"/>
  <c r="AH784" i="3"/>
  <c r="D784" i="3"/>
  <c r="K784" i="3" l="1"/>
  <c r="AE784" i="3" s="1"/>
  <c r="F784" i="3"/>
  <c r="G784" i="3"/>
  <c r="V784" i="3" l="1"/>
  <c r="A785" i="3"/>
  <c r="B785" i="3" s="1"/>
  <c r="I784" i="3"/>
  <c r="J784" i="3"/>
  <c r="AD784" i="3" s="1"/>
  <c r="M784" i="3"/>
  <c r="N784" i="3" s="1"/>
  <c r="W784" i="3" l="1"/>
  <c r="L784" i="3"/>
  <c r="AA785" i="3"/>
  <c r="AD785" i="3"/>
  <c r="P785" i="3"/>
  <c r="Q785" i="3" s="1"/>
  <c r="R785" i="3" s="1"/>
  <c r="S785" i="3" s="1"/>
  <c r="AC785" i="3"/>
  <c r="Z785" i="3"/>
  <c r="U784" i="3" l="1"/>
  <c r="Y783" i="3"/>
  <c r="T785" i="3"/>
  <c r="AH785" i="3" s="1"/>
  <c r="E785" i="3" l="1"/>
  <c r="H785" i="3" s="1"/>
  <c r="AG785" i="3"/>
  <c r="D785" i="3"/>
  <c r="K785" i="3" l="1"/>
  <c r="AE785" i="3" s="1"/>
  <c r="F785" i="3"/>
  <c r="G785" i="3"/>
  <c r="I785" i="3" l="1"/>
  <c r="J785" i="3"/>
  <c r="M785" i="3"/>
  <c r="N785" i="3" s="1"/>
  <c r="V785" i="3"/>
  <c r="A786" i="3"/>
  <c r="B786" i="3" s="1"/>
  <c r="W785" i="3" l="1"/>
  <c r="L785" i="3"/>
  <c r="Z786" i="3"/>
  <c r="AD786" i="3"/>
  <c r="AA786" i="3"/>
  <c r="P786" i="3"/>
  <c r="Q786" i="3" s="1"/>
  <c r="R786" i="3" s="1"/>
  <c r="S786" i="3" s="1"/>
  <c r="AC786" i="3"/>
  <c r="U785" i="3" l="1"/>
  <c r="Y784" i="3"/>
  <c r="T786" i="3"/>
  <c r="E786" i="3" l="1"/>
  <c r="H786" i="3" s="1"/>
  <c r="K786" i="3" s="1"/>
  <c r="AE786" i="3" s="1"/>
  <c r="AG786" i="3"/>
  <c r="D786" i="3"/>
  <c r="G786" i="3" s="1"/>
  <c r="AH786" i="3"/>
  <c r="F786" i="3" l="1"/>
  <c r="I786" i="3"/>
  <c r="J786" i="3"/>
  <c r="M786" i="3"/>
  <c r="N786" i="3" s="1"/>
  <c r="V786" i="3"/>
  <c r="A787" i="3"/>
  <c r="B787" i="3" s="1"/>
  <c r="L786" i="3" l="1"/>
  <c r="W786" i="3"/>
  <c r="AC787" i="3"/>
  <c r="P787" i="3"/>
  <c r="Q787" i="3" s="1"/>
  <c r="R787" i="3" s="1"/>
  <c r="S787" i="3" s="1"/>
  <c r="Z787" i="3"/>
  <c r="AD787" i="3"/>
  <c r="AA787" i="3"/>
  <c r="U786" i="3" l="1"/>
  <c r="Y785" i="3"/>
  <c r="T787" i="3"/>
  <c r="D787" i="3" l="1"/>
  <c r="G787" i="3" s="1"/>
  <c r="AH787" i="3"/>
  <c r="E787" i="3"/>
  <c r="H787" i="3" s="1"/>
  <c r="AG787" i="3"/>
  <c r="F787" i="3" l="1"/>
  <c r="I787" i="3"/>
  <c r="J787" i="3"/>
  <c r="M787" i="3"/>
  <c r="N787" i="3" s="1"/>
  <c r="K787" i="3"/>
  <c r="AE787" i="3" s="1"/>
  <c r="V787" i="3" l="1"/>
  <c r="W787" i="3" s="1"/>
  <c r="A788" i="3"/>
  <c r="B788" i="3" s="1"/>
  <c r="L787" i="3"/>
  <c r="U787" i="3" l="1"/>
  <c r="Y786" i="3"/>
  <c r="AC788" i="3"/>
  <c r="Z788" i="3"/>
  <c r="AD788" i="3"/>
  <c r="AA788" i="3"/>
  <c r="P788" i="3"/>
  <c r="Q788" i="3" s="1"/>
  <c r="R788" i="3" s="1"/>
  <c r="S788" i="3" s="1"/>
  <c r="T788" i="3" l="1"/>
  <c r="E788" i="3" s="1"/>
  <c r="H788" i="3" s="1"/>
  <c r="D788" i="3" l="1"/>
  <c r="F788" i="3" s="1"/>
  <c r="AG788" i="3"/>
  <c r="AH788" i="3"/>
  <c r="K788" i="3"/>
  <c r="AE788" i="3" s="1"/>
  <c r="G788" i="3" l="1"/>
  <c r="I788" i="3" s="1"/>
  <c r="V788" i="3"/>
  <c r="A789" i="3"/>
  <c r="B789" i="3" s="1"/>
  <c r="M788" i="3" l="1"/>
  <c r="N788" i="3" s="1"/>
  <c r="J788" i="3"/>
  <c r="L788" i="3" s="1"/>
  <c r="W788" i="3"/>
  <c r="P789" i="3"/>
  <c r="Q789" i="3" s="1"/>
  <c r="R789" i="3" s="1"/>
  <c r="S789" i="3" s="1"/>
  <c r="AC789" i="3"/>
  <c r="AD789" i="3"/>
  <c r="AA789" i="3"/>
  <c r="Z789" i="3"/>
  <c r="U788" i="3" l="1"/>
  <c r="Y787" i="3"/>
  <c r="T789" i="3"/>
  <c r="D789" i="3" l="1"/>
  <c r="G789" i="3" s="1"/>
  <c r="E789" i="3"/>
  <c r="H789" i="3" s="1"/>
  <c r="AH789" i="3"/>
  <c r="AG789" i="3"/>
  <c r="F789" i="3" l="1"/>
  <c r="I789" i="3"/>
  <c r="J789" i="3"/>
  <c r="M789" i="3"/>
  <c r="N789" i="3" s="1"/>
  <c r="K789" i="3"/>
  <c r="AE789" i="3" s="1"/>
  <c r="L789" i="3" l="1"/>
  <c r="V789" i="3"/>
  <c r="W789" i="3" s="1"/>
  <c r="A790" i="3"/>
  <c r="B790" i="3" s="1"/>
  <c r="AA790" i="3" l="1"/>
  <c r="AC790" i="3"/>
  <c r="Z790" i="3"/>
  <c r="AD790" i="3"/>
  <c r="P790" i="3"/>
  <c r="Q790" i="3" s="1"/>
  <c r="R790" i="3" s="1"/>
  <c r="S790" i="3" s="1"/>
  <c r="U789" i="3"/>
  <c r="Y788" i="3"/>
  <c r="T790" i="3" l="1"/>
  <c r="D790" i="3" s="1"/>
  <c r="AG790" i="3" l="1"/>
  <c r="G790" i="3"/>
  <c r="AH790" i="3"/>
  <c r="E790" i="3"/>
  <c r="H790" i="3" s="1"/>
  <c r="F790" i="3" l="1"/>
  <c r="I790" i="3"/>
  <c r="J790" i="3"/>
  <c r="M790" i="3"/>
  <c r="N790" i="3" s="1"/>
  <c r="K790" i="3"/>
  <c r="AE790" i="3" s="1"/>
  <c r="V790" i="3" l="1"/>
  <c r="W790" i="3" s="1"/>
  <c r="A791" i="3"/>
  <c r="B791" i="3" s="1"/>
  <c r="L790" i="3"/>
  <c r="U790" i="3" l="1"/>
  <c r="Y789" i="3"/>
  <c r="AD791" i="3"/>
  <c r="P791" i="3"/>
  <c r="Q791" i="3" s="1"/>
  <c r="R791" i="3" s="1"/>
  <c r="S791" i="3" s="1"/>
  <c r="AA791" i="3"/>
  <c r="AC791" i="3"/>
  <c r="Z791" i="3"/>
  <c r="T791" i="3" l="1"/>
  <c r="AG791" i="3" s="1"/>
  <c r="E791" i="3" l="1"/>
  <c r="H791" i="3" s="1"/>
  <c r="K791" i="3" s="1"/>
  <c r="AE791" i="3" s="1"/>
  <c r="D791" i="3"/>
  <c r="G791" i="3" s="1"/>
  <c r="AH791" i="3"/>
  <c r="F791" i="3" l="1"/>
  <c r="I791" i="3"/>
  <c r="J791" i="3"/>
  <c r="M791" i="3"/>
  <c r="N791" i="3" s="1"/>
  <c r="V791" i="3"/>
  <c r="A792" i="3"/>
  <c r="B792" i="3" s="1"/>
  <c r="W791" i="3" l="1"/>
  <c r="L791" i="3"/>
  <c r="P792" i="3"/>
  <c r="Q792" i="3" s="1"/>
  <c r="R792" i="3" s="1"/>
  <c r="S792" i="3" s="1"/>
  <c r="AC792" i="3"/>
  <c r="AD792" i="3"/>
  <c r="Z792" i="3"/>
  <c r="AA792" i="3"/>
  <c r="U791" i="3" l="1"/>
  <c r="Y790" i="3"/>
  <c r="T792" i="3"/>
  <c r="AG792" i="3" s="1"/>
  <c r="AH792" i="3" l="1"/>
  <c r="D792" i="3"/>
  <c r="E792" i="3"/>
  <c r="H792" i="3" s="1"/>
  <c r="F792" i="3" l="1"/>
  <c r="G792" i="3"/>
  <c r="K792" i="3"/>
  <c r="AE792" i="3" s="1"/>
  <c r="I792" i="3" l="1"/>
  <c r="J792" i="3"/>
  <c r="M792" i="3"/>
  <c r="N792" i="3" s="1"/>
  <c r="V792" i="3"/>
  <c r="A793" i="3"/>
  <c r="B793" i="3" s="1"/>
  <c r="L792" i="3" l="1"/>
  <c r="W792" i="3"/>
  <c r="AD793" i="3"/>
  <c r="AC793" i="3"/>
  <c r="Z793" i="3"/>
  <c r="P793" i="3"/>
  <c r="Q793" i="3" s="1"/>
  <c r="R793" i="3" s="1"/>
  <c r="S793" i="3" s="1"/>
  <c r="AA793" i="3"/>
  <c r="T793" i="3" l="1"/>
  <c r="U792" i="3"/>
  <c r="Y791" i="3"/>
  <c r="E793" i="3" l="1"/>
  <c r="H793" i="3" s="1"/>
  <c r="K793" i="3" s="1"/>
  <c r="AE793" i="3" s="1"/>
  <c r="D793" i="3"/>
  <c r="AG793" i="3"/>
  <c r="AH793" i="3"/>
  <c r="F793" i="3" l="1"/>
  <c r="G793" i="3"/>
  <c r="M793" i="3" s="1"/>
  <c r="N793" i="3" s="1"/>
  <c r="V793" i="3"/>
  <c r="A794" i="3"/>
  <c r="B794" i="3" s="1"/>
  <c r="I793" i="3" l="1"/>
  <c r="W793" i="3" s="1"/>
  <c r="J793" i="3"/>
  <c r="L793" i="3" s="1"/>
  <c r="Z794" i="3"/>
  <c r="AC794" i="3"/>
  <c r="P794" i="3"/>
  <c r="Q794" i="3" s="1"/>
  <c r="R794" i="3" s="1"/>
  <c r="S794" i="3" s="1"/>
  <c r="AA794" i="3"/>
  <c r="T794" i="3" l="1"/>
  <c r="AH794" i="3" s="1"/>
  <c r="U793" i="3"/>
  <c r="Y792" i="3"/>
  <c r="AG794" i="3" l="1"/>
  <c r="D794" i="3"/>
  <c r="E794" i="3"/>
  <c r="H794" i="3" s="1"/>
  <c r="F794" i="3" l="1"/>
  <c r="G794" i="3"/>
  <c r="K794" i="3"/>
  <c r="AE794" i="3" s="1"/>
  <c r="I794" i="3" l="1"/>
  <c r="J794" i="3"/>
  <c r="AD794" i="3" s="1"/>
  <c r="M794" i="3"/>
  <c r="N794" i="3" s="1"/>
  <c r="V794" i="3"/>
  <c r="A795" i="3"/>
  <c r="B795" i="3" s="1"/>
  <c r="L794" i="3" l="1"/>
  <c r="W794" i="3"/>
  <c r="P795" i="3"/>
  <c r="Q795" i="3" s="1"/>
  <c r="R795" i="3" s="1"/>
  <c r="S795" i="3" s="1"/>
  <c r="Z795" i="3"/>
  <c r="AA795" i="3"/>
  <c r="AC795" i="3"/>
  <c r="T795" i="3" l="1"/>
  <c r="U794" i="3"/>
  <c r="Y793" i="3"/>
  <c r="D795" i="3" l="1"/>
  <c r="G795" i="3" s="1"/>
  <c r="E795" i="3"/>
  <c r="H795" i="3" s="1"/>
  <c r="K795" i="3" s="1"/>
  <c r="AE795" i="3" s="1"/>
  <c r="AH795" i="3"/>
  <c r="AG795" i="3"/>
  <c r="F795" i="3" l="1"/>
  <c r="I795" i="3"/>
  <c r="J795" i="3"/>
  <c r="AD795" i="3" s="1"/>
  <c r="M795" i="3"/>
  <c r="N795" i="3" s="1"/>
  <c r="V795" i="3"/>
  <c r="A796" i="3"/>
  <c r="B796" i="3" s="1"/>
  <c r="W795" i="3" l="1"/>
  <c r="L795" i="3"/>
  <c r="Z796" i="3"/>
  <c r="AA796" i="3"/>
  <c r="AC796" i="3"/>
  <c r="P796" i="3"/>
  <c r="Q796" i="3" s="1"/>
  <c r="R796" i="3" s="1"/>
  <c r="S796" i="3" s="1"/>
  <c r="T796" i="3" l="1"/>
  <c r="U795" i="3"/>
  <c r="Y794" i="3"/>
  <c r="E796" i="3" l="1"/>
  <c r="H796" i="3" s="1"/>
  <c r="K796" i="3" s="1"/>
  <c r="AE796" i="3" s="1"/>
  <c r="AH796" i="3"/>
  <c r="AG796" i="3"/>
  <c r="D796" i="3"/>
  <c r="F796" i="3" l="1"/>
  <c r="G796" i="3"/>
  <c r="V796" i="3"/>
  <c r="A797" i="3"/>
  <c r="B797" i="3" s="1"/>
  <c r="I796" i="3" l="1"/>
  <c r="W796" i="3" s="1"/>
  <c r="J796" i="3"/>
  <c r="AD796" i="3" s="1"/>
  <c r="M796" i="3"/>
  <c r="N796" i="3" s="1"/>
  <c r="P797" i="3"/>
  <c r="Q797" i="3" s="1"/>
  <c r="R797" i="3" s="1"/>
  <c r="S797" i="3" s="1"/>
  <c r="AA797" i="3"/>
  <c r="AC797" i="3"/>
  <c r="Z797" i="3"/>
  <c r="T797" i="3" l="1"/>
  <c r="L796" i="3"/>
  <c r="AH797" i="3" l="1"/>
  <c r="AG797" i="3"/>
  <c r="U796" i="3"/>
  <c r="E797" i="3" s="1"/>
  <c r="H797" i="3" s="1"/>
  <c r="Y795" i="3"/>
  <c r="D797" i="3" l="1"/>
  <c r="G797" i="3" s="1"/>
  <c r="K797" i="3"/>
  <c r="AE797" i="3" s="1"/>
  <c r="F797" i="3" l="1"/>
  <c r="I797" i="3"/>
  <c r="J797" i="3"/>
  <c r="AD797" i="3" s="1"/>
  <c r="M797" i="3"/>
  <c r="N797" i="3" s="1"/>
  <c r="V797" i="3"/>
  <c r="A798" i="3"/>
  <c r="B798" i="3" s="1"/>
  <c r="W797" i="3" l="1"/>
  <c r="L797" i="3"/>
  <c r="Z798" i="3"/>
  <c r="AA798" i="3"/>
  <c r="P798" i="3"/>
  <c r="Q798" i="3" s="1"/>
  <c r="R798" i="3" s="1"/>
  <c r="S798" i="3" s="1"/>
  <c r="AC798" i="3"/>
  <c r="T798" i="3" l="1"/>
  <c r="U797" i="3"/>
  <c r="Y796" i="3"/>
  <c r="E798" i="3" l="1"/>
  <c r="H798" i="3" s="1"/>
  <c r="K798" i="3" s="1"/>
  <c r="AE798" i="3" s="1"/>
  <c r="D798" i="3"/>
  <c r="G798" i="3" s="1"/>
  <c r="AH798" i="3"/>
  <c r="AG798" i="3"/>
  <c r="F798" i="3" l="1"/>
  <c r="I798" i="3"/>
  <c r="J798" i="3"/>
  <c r="AD798" i="3" s="1"/>
  <c r="M798" i="3"/>
  <c r="N798" i="3" s="1"/>
  <c r="V798" i="3"/>
  <c r="A799" i="3"/>
  <c r="B799" i="3" s="1"/>
  <c r="W798" i="3" l="1"/>
  <c r="L798" i="3"/>
  <c r="Z799" i="3"/>
  <c r="P799" i="3"/>
  <c r="Q799" i="3" s="1"/>
  <c r="R799" i="3" s="1"/>
  <c r="S799" i="3" s="1"/>
  <c r="AC799" i="3"/>
  <c r="AA799" i="3"/>
  <c r="T799" i="3" l="1"/>
  <c r="AH799" i="3" s="1"/>
  <c r="U798" i="3"/>
  <c r="Y797" i="3"/>
  <c r="AG799" i="3" l="1"/>
  <c r="E799" i="3"/>
  <c r="H799" i="3" s="1"/>
  <c r="D799" i="3"/>
  <c r="K799" i="3" l="1"/>
  <c r="AE799" i="3" s="1"/>
  <c r="F799" i="3"/>
  <c r="G799" i="3"/>
  <c r="V799" i="3" l="1"/>
  <c r="A800" i="3"/>
  <c r="B800" i="3" s="1"/>
  <c r="I799" i="3"/>
  <c r="J799" i="3"/>
  <c r="AD799" i="3" s="1"/>
  <c r="M799" i="3"/>
  <c r="N799" i="3" s="1"/>
  <c r="W799" i="3" l="1"/>
  <c r="L799" i="3"/>
  <c r="AC800" i="3"/>
  <c r="AA800" i="3"/>
  <c r="P800" i="3"/>
  <c r="Q800" i="3" s="1"/>
  <c r="R800" i="3" s="1"/>
  <c r="S800" i="3" s="1"/>
  <c r="Z800" i="3"/>
  <c r="U799" i="3" l="1"/>
  <c r="Y798" i="3"/>
  <c r="T800" i="3"/>
  <c r="E800" i="3" l="1"/>
  <c r="H800" i="3" s="1"/>
  <c r="K800" i="3" s="1"/>
  <c r="AE800" i="3" s="1"/>
  <c r="D800" i="3"/>
  <c r="AG800" i="3"/>
  <c r="AH800" i="3"/>
  <c r="V800" i="3" l="1"/>
  <c r="A801" i="3"/>
  <c r="B801" i="3" s="1"/>
  <c r="F800" i="3"/>
  <c r="G800" i="3"/>
  <c r="I800" i="3" l="1"/>
  <c r="W800" i="3" s="1"/>
  <c r="J800" i="3"/>
  <c r="AD800" i="3" s="1"/>
  <c r="M800" i="3"/>
  <c r="N800" i="3" s="1"/>
  <c r="AA801" i="3"/>
  <c r="Z801" i="3"/>
  <c r="P801" i="3"/>
  <c r="Q801" i="3" s="1"/>
  <c r="R801" i="3" s="1"/>
  <c r="S801" i="3" s="1"/>
  <c r="AC801" i="3"/>
  <c r="L800" i="3" l="1"/>
  <c r="T801" i="3"/>
  <c r="AG801" i="3" l="1"/>
  <c r="AH801" i="3"/>
  <c r="U800" i="3"/>
  <c r="E801" i="3" s="1"/>
  <c r="H801" i="3" s="1"/>
  <c r="Y799" i="3"/>
  <c r="D801" i="3" l="1"/>
  <c r="G801" i="3" s="1"/>
  <c r="K801" i="3"/>
  <c r="AE801" i="3" s="1"/>
  <c r="F801" i="3" l="1"/>
  <c r="I801" i="3"/>
  <c r="J801" i="3"/>
  <c r="AD801" i="3" s="1"/>
  <c r="M801" i="3"/>
  <c r="N801" i="3" s="1"/>
  <c r="V801" i="3"/>
  <c r="A802" i="3"/>
  <c r="B802" i="3" s="1"/>
  <c r="W801" i="3" l="1"/>
  <c r="L801" i="3"/>
  <c r="Z802" i="3"/>
  <c r="P802" i="3"/>
  <c r="Q802" i="3" s="1"/>
  <c r="R802" i="3" s="1"/>
  <c r="S802" i="3" s="1"/>
  <c r="AA802" i="3"/>
  <c r="AC802" i="3"/>
  <c r="U801" i="3" l="1"/>
  <c r="Y800" i="3"/>
  <c r="T802" i="3"/>
  <c r="AG802" i="3" s="1"/>
  <c r="E802" i="3" l="1"/>
  <c r="H802" i="3" s="1"/>
  <c r="D802" i="3"/>
  <c r="AH802" i="3"/>
  <c r="K802" i="3" l="1"/>
  <c r="AE802" i="3" s="1"/>
  <c r="F802" i="3"/>
  <c r="G802" i="3"/>
  <c r="I802" i="3" l="1"/>
  <c r="J802" i="3"/>
  <c r="AD802" i="3" s="1"/>
  <c r="M802" i="3"/>
  <c r="N802" i="3" s="1"/>
  <c r="V802" i="3"/>
  <c r="A803" i="3"/>
  <c r="B803" i="3" s="1"/>
  <c r="L802" i="3" l="1"/>
  <c r="W802" i="3"/>
  <c r="Z803" i="3"/>
  <c r="AA803" i="3"/>
  <c r="AC803" i="3"/>
  <c r="P803" i="3"/>
  <c r="Q803" i="3" s="1"/>
  <c r="R803" i="3" s="1"/>
  <c r="S803" i="3" s="1"/>
  <c r="U802" i="3" l="1"/>
  <c r="Y801" i="3"/>
  <c r="T803" i="3"/>
  <c r="AG803" i="3" s="1"/>
  <c r="AH803" i="3" l="1"/>
  <c r="D803" i="3"/>
  <c r="E803" i="3"/>
  <c r="H803" i="3" s="1"/>
  <c r="F803" i="3" l="1"/>
  <c r="G803" i="3"/>
  <c r="K803" i="3"/>
  <c r="AE803" i="3" s="1"/>
  <c r="V803" i="3" l="1"/>
  <c r="A804" i="3"/>
  <c r="B804" i="3" s="1"/>
  <c r="I803" i="3"/>
  <c r="J803" i="3"/>
  <c r="AD803" i="3" s="1"/>
  <c r="M803" i="3"/>
  <c r="N803" i="3" s="1"/>
  <c r="L803" i="3" l="1"/>
  <c r="W803" i="3"/>
  <c r="AC804" i="3"/>
  <c r="P804" i="3"/>
  <c r="Q804" i="3" s="1"/>
  <c r="R804" i="3" s="1"/>
  <c r="S804" i="3" s="1"/>
  <c r="AA804" i="3"/>
  <c r="Z804" i="3"/>
  <c r="U803" i="3" l="1"/>
  <c r="Y802" i="3"/>
  <c r="T804" i="3"/>
  <c r="AH804" i="3" s="1"/>
  <c r="D804" i="3" l="1"/>
  <c r="G804" i="3" s="1"/>
  <c r="AG804" i="3"/>
  <c r="E804" i="3"/>
  <c r="H804" i="3" s="1"/>
  <c r="K804" i="3" s="1"/>
  <c r="AE804" i="3" s="1"/>
  <c r="F804" i="3" l="1"/>
  <c r="I804" i="3"/>
  <c r="J804" i="3"/>
  <c r="AD804" i="3" s="1"/>
  <c r="M804" i="3"/>
  <c r="N804" i="3" s="1"/>
  <c r="V804" i="3"/>
  <c r="A805" i="3"/>
  <c r="B805" i="3" s="1"/>
  <c r="W804" i="3" l="1"/>
  <c r="L804" i="3"/>
  <c r="Z805" i="3"/>
  <c r="P805" i="3"/>
  <c r="Q805" i="3" s="1"/>
  <c r="R805" i="3" s="1"/>
  <c r="S805" i="3" s="1"/>
  <c r="AC805" i="3"/>
  <c r="AA805" i="3"/>
  <c r="T805" i="3" l="1"/>
  <c r="AH805" i="3" s="1"/>
  <c r="U804" i="3"/>
  <c r="Y803" i="3"/>
  <c r="E805" i="3" l="1"/>
  <c r="H805" i="3" s="1"/>
  <c r="AG805" i="3"/>
  <c r="D805" i="3"/>
  <c r="K805" i="3" l="1"/>
  <c r="AE805" i="3" s="1"/>
  <c r="F805" i="3"/>
  <c r="G805" i="3"/>
  <c r="I805" i="3" l="1"/>
  <c r="J805" i="3"/>
  <c r="AD805" i="3" s="1"/>
  <c r="M805" i="3"/>
  <c r="N805" i="3" s="1"/>
  <c r="V805" i="3"/>
  <c r="A806" i="3"/>
  <c r="B806" i="3" s="1"/>
  <c r="W805" i="3" l="1"/>
  <c r="L805" i="3"/>
  <c r="Z806" i="3"/>
  <c r="AA806" i="3"/>
  <c r="P806" i="3"/>
  <c r="Q806" i="3" s="1"/>
  <c r="R806" i="3" s="1"/>
  <c r="S806" i="3" s="1"/>
  <c r="AC806" i="3"/>
  <c r="T806" i="3" l="1"/>
  <c r="U805" i="3"/>
  <c r="Y804" i="3"/>
  <c r="D806" i="3" l="1"/>
  <c r="G806" i="3" s="1"/>
  <c r="AH806" i="3"/>
  <c r="AG806" i="3"/>
  <c r="E806" i="3"/>
  <c r="H806" i="3" s="1"/>
  <c r="K806" i="3" l="1"/>
  <c r="AE806" i="3" s="1"/>
  <c r="I806" i="3"/>
  <c r="J806" i="3"/>
  <c r="AD806" i="3" s="1"/>
  <c r="M806" i="3"/>
  <c r="N806" i="3" s="1"/>
  <c r="F806" i="3"/>
  <c r="L806" i="3" l="1"/>
  <c r="V806" i="3"/>
  <c r="W806" i="3" s="1"/>
  <c r="A807" i="3"/>
  <c r="B807" i="3" s="1"/>
  <c r="AC807" i="3" l="1"/>
  <c r="P807" i="3"/>
  <c r="Q807" i="3" s="1"/>
  <c r="R807" i="3" s="1"/>
  <c r="S807" i="3" s="1"/>
  <c r="AA807" i="3"/>
  <c r="Z807" i="3"/>
  <c r="U806" i="3"/>
  <c r="Y805" i="3"/>
  <c r="T807" i="3" l="1"/>
  <c r="AH807" i="3" l="1"/>
  <c r="AG807" i="3"/>
  <c r="E807" i="3"/>
  <c r="H807" i="3" s="1"/>
  <c r="D807" i="3"/>
  <c r="K807" i="3" l="1"/>
  <c r="AE807" i="3" s="1"/>
  <c r="F807" i="3"/>
  <c r="G807" i="3"/>
  <c r="I807" i="3" l="1"/>
  <c r="J807" i="3"/>
  <c r="AD807" i="3" s="1"/>
  <c r="M807" i="3"/>
  <c r="N807" i="3" s="1"/>
  <c r="V807" i="3"/>
  <c r="A808" i="3"/>
  <c r="B808" i="3" s="1"/>
  <c r="W807" i="3" l="1"/>
  <c r="L807" i="3"/>
  <c r="P808" i="3"/>
  <c r="Q808" i="3" s="1"/>
  <c r="R808" i="3" s="1"/>
  <c r="S808" i="3" s="1"/>
  <c r="AA808" i="3"/>
  <c r="Z808" i="3"/>
  <c r="AC808" i="3"/>
  <c r="U807" i="3" l="1"/>
  <c r="Y806" i="3"/>
  <c r="T808" i="3"/>
  <c r="AH808" i="3" s="1"/>
  <c r="D808" i="3" l="1"/>
  <c r="G808" i="3" s="1"/>
  <c r="E808" i="3"/>
  <c r="H808" i="3" s="1"/>
  <c r="K808" i="3" s="1"/>
  <c r="AE808" i="3" s="1"/>
  <c r="AG808" i="3"/>
  <c r="F808" i="3" l="1"/>
  <c r="I808" i="3"/>
  <c r="J808" i="3"/>
  <c r="AD808" i="3" s="1"/>
  <c r="M808" i="3"/>
  <c r="N808" i="3" s="1"/>
  <c r="V808" i="3"/>
  <c r="A809" i="3"/>
  <c r="B809" i="3" s="1"/>
  <c r="W808" i="3" l="1"/>
  <c r="AC809" i="3"/>
  <c r="Z809" i="3"/>
  <c r="AA809" i="3"/>
  <c r="P809" i="3"/>
  <c r="Q809" i="3" s="1"/>
  <c r="R809" i="3" s="1"/>
  <c r="S809" i="3" s="1"/>
  <c r="L808" i="3"/>
  <c r="T809" i="3" l="1"/>
  <c r="U808" i="3"/>
  <c r="Y807" i="3"/>
  <c r="E809" i="3" l="1"/>
  <c r="H809" i="3" s="1"/>
  <c r="K809" i="3" s="1"/>
  <c r="AE809" i="3" s="1"/>
  <c r="AG809" i="3"/>
  <c r="D809" i="3"/>
  <c r="AH809" i="3"/>
  <c r="V809" i="3" l="1"/>
  <c r="A810" i="3"/>
  <c r="B810" i="3" s="1"/>
  <c r="F809" i="3"/>
  <c r="G809" i="3"/>
  <c r="I809" i="3" l="1"/>
  <c r="W809" i="3" s="1"/>
  <c r="J809" i="3"/>
  <c r="AD809" i="3" s="1"/>
  <c r="M809" i="3"/>
  <c r="N809" i="3" s="1"/>
  <c r="P810" i="3"/>
  <c r="Q810" i="3" s="1"/>
  <c r="R810" i="3" s="1"/>
  <c r="S810" i="3" s="1"/>
  <c r="AA810" i="3"/>
  <c r="AC810" i="3"/>
  <c r="Z810" i="3"/>
  <c r="T810" i="3" l="1"/>
  <c r="L809" i="3"/>
  <c r="AH810" i="3" l="1"/>
  <c r="AG810" i="3"/>
  <c r="U809" i="3"/>
  <c r="E810" i="3" s="1"/>
  <c r="H810" i="3" s="1"/>
  <c r="Y808" i="3"/>
  <c r="D810" i="3" l="1"/>
  <c r="G810" i="3" s="1"/>
  <c r="K810" i="3"/>
  <c r="AE810" i="3" s="1"/>
  <c r="F810" i="3" l="1"/>
  <c r="I810" i="3"/>
  <c r="J810" i="3"/>
  <c r="AD810" i="3" s="1"/>
  <c r="M810" i="3"/>
  <c r="N810" i="3" s="1"/>
  <c r="V810" i="3"/>
  <c r="A811" i="3"/>
  <c r="B811" i="3" s="1"/>
  <c r="L810" i="3" l="1"/>
  <c r="W810" i="3"/>
  <c r="AA811" i="3"/>
  <c r="P811" i="3"/>
  <c r="Q811" i="3" s="1"/>
  <c r="R811" i="3" s="1"/>
  <c r="S811" i="3" s="1"/>
  <c r="Z811" i="3"/>
  <c r="AC811" i="3"/>
  <c r="U810" i="3" l="1"/>
  <c r="Y809" i="3"/>
  <c r="T811" i="3"/>
  <c r="E811" i="3" l="1"/>
  <c r="H811" i="3" s="1"/>
  <c r="K811" i="3" s="1"/>
  <c r="AE811" i="3" s="1"/>
  <c r="AH811" i="3"/>
  <c r="AG811" i="3"/>
  <c r="D811" i="3"/>
  <c r="V811" i="3" l="1"/>
  <c r="A812" i="3"/>
  <c r="B812" i="3" s="1"/>
  <c r="F811" i="3"/>
  <c r="G811" i="3"/>
  <c r="I811" i="3" l="1"/>
  <c r="W811" i="3" s="1"/>
  <c r="J811" i="3"/>
  <c r="AD811" i="3" s="1"/>
  <c r="M811" i="3"/>
  <c r="N811" i="3" s="1"/>
  <c r="Z812" i="3"/>
  <c r="AA812" i="3"/>
  <c r="P812" i="3"/>
  <c r="Q812" i="3" s="1"/>
  <c r="R812" i="3" s="1"/>
  <c r="S812" i="3" s="1"/>
  <c r="AC812" i="3"/>
  <c r="T812" i="3" l="1"/>
  <c r="L811" i="3"/>
  <c r="AG812" i="3" l="1"/>
  <c r="U811" i="3"/>
  <c r="D812" i="3" s="1"/>
  <c r="AH812" i="3"/>
  <c r="Y810" i="3"/>
  <c r="G812" i="3" l="1"/>
  <c r="E812" i="3"/>
  <c r="H812" i="3" s="1"/>
  <c r="I812" i="3" l="1"/>
  <c r="J812" i="3"/>
  <c r="AD812" i="3" s="1"/>
  <c r="M812" i="3"/>
  <c r="N812" i="3" s="1"/>
  <c r="F812" i="3"/>
  <c r="K812" i="3"/>
  <c r="AE812" i="3" s="1"/>
  <c r="L812" i="3" l="1"/>
  <c r="V812" i="3"/>
  <c r="W812" i="3" s="1"/>
  <c r="A813" i="3"/>
  <c r="B813" i="3" s="1"/>
  <c r="U812" i="3" l="1"/>
  <c r="Y811" i="3"/>
  <c r="AA813" i="3"/>
  <c r="P813" i="3"/>
  <c r="Q813" i="3" s="1"/>
  <c r="R813" i="3" s="1"/>
  <c r="S813" i="3" s="1"/>
  <c r="Z813" i="3"/>
  <c r="AC813" i="3"/>
  <c r="T813" i="3" l="1"/>
  <c r="AG813" i="3" s="1"/>
  <c r="AH813" i="3" l="1"/>
  <c r="D813" i="3"/>
  <c r="E813" i="3"/>
  <c r="H813" i="3" s="1"/>
  <c r="F813" i="3" l="1"/>
  <c r="G813" i="3"/>
  <c r="K813" i="3"/>
  <c r="AE813" i="3" s="1"/>
  <c r="I813" i="3" l="1"/>
  <c r="J813" i="3"/>
  <c r="AD813" i="3" s="1"/>
  <c r="M813" i="3"/>
  <c r="N813" i="3" s="1"/>
  <c r="V813" i="3"/>
  <c r="A814" i="3"/>
  <c r="B814" i="3" s="1"/>
  <c r="W813" i="3" l="1"/>
  <c r="L813" i="3"/>
  <c r="P814" i="3"/>
  <c r="Q814" i="3" s="1"/>
  <c r="R814" i="3" s="1"/>
  <c r="S814" i="3" s="1"/>
  <c r="AA814" i="3"/>
  <c r="Z814" i="3"/>
  <c r="AC814" i="3"/>
  <c r="U813" i="3" l="1"/>
  <c r="Y812" i="3"/>
  <c r="T814" i="3"/>
  <c r="D814" i="3" l="1"/>
  <c r="G814" i="3" s="1"/>
  <c r="E814" i="3"/>
  <c r="H814" i="3" s="1"/>
  <c r="K814" i="3" s="1"/>
  <c r="AE814" i="3" s="1"/>
  <c r="AH814" i="3"/>
  <c r="AG814" i="3"/>
  <c r="F814" i="3" l="1"/>
  <c r="I814" i="3"/>
  <c r="J814" i="3"/>
  <c r="AD814" i="3" s="1"/>
  <c r="M814" i="3"/>
  <c r="N814" i="3" s="1"/>
  <c r="V814" i="3"/>
  <c r="A815" i="3"/>
  <c r="B815" i="3" s="1"/>
  <c r="W814" i="3" l="1"/>
  <c r="L814" i="3"/>
  <c r="AA815" i="3"/>
  <c r="AC815" i="3"/>
  <c r="Z815" i="3"/>
  <c r="P815" i="3"/>
  <c r="Q815" i="3" s="1"/>
  <c r="R815" i="3" s="1"/>
  <c r="S815" i="3" s="1"/>
  <c r="T815" i="3" l="1"/>
  <c r="AH815" i="3" s="1"/>
  <c r="U814" i="3"/>
  <c r="Y813" i="3"/>
  <c r="AG815" i="3" l="1"/>
  <c r="E815" i="3"/>
  <c r="H815" i="3" s="1"/>
  <c r="D815" i="3"/>
  <c r="K815" i="3" l="1"/>
  <c r="AE815" i="3" s="1"/>
  <c r="F815" i="3"/>
  <c r="G815" i="3"/>
  <c r="V815" i="3" l="1"/>
  <c r="A816" i="3"/>
  <c r="B816" i="3" s="1"/>
  <c r="I815" i="3"/>
  <c r="J815" i="3"/>
  <c r="AD815" i="3" s="1"/>
  <c r="M815" i="3"/>
  <c r="N815" i="3" s="1"/>
  <c r="W815" i="3" l="1"/>
  <c r="L815" i="3"/>
  <c r="P816" i="3"/>
  <c r="Q816" i="3" s="1"/>
  <c r="R816" i="3" s="1"/>
  <c r="S816" i="3" s="1"/>
  <c r="AC816" i="3"/>
  <c r="AA816" i="3"/>
  <c r="Z816" i="3"/>
  <c r="T816" i="3" l="1"/>
  <c r="U815" i="3"/>
  <c r="Y814" i="3"/>
  <c r="E816" i="3" l="1"/>
  <c r="H816" i="3" s="1"/>
  <c r="K816" i="3" s="1"/>
  <c r="AE816" i="3" s="1"/>
  <c r="D816" i="3"/>
  <c r="G816" i="3" s="1"/>
  <c r="AG816" i="3"/>
  <c r="AH816" i="3"/>
  <c r="F816" i="3" l="1"/>
  <c r="I816" i="3"/>
  <c r="J816" i="3"/>
  <c r="AD816" i="3" s="1"/>
  <c r="M816" i="3"/>
  <c r="N816" i="3" s="1"/>
  <c r="V816" i="3"/>
  <c r="A817" i="3"/>
  <c r="B817" i="3" s="1"/>
  <c r="W816" i="3" l="1"/>
  <c r="L816" i="3"/>
  <c r="P817" i="3"/>
  <c r="Q817" i="3" s="1"/>
  <c r="R817" i="3" s="1"/>
  <c r="S817" i="3" s="1"/>
  <c r="Z817" i="3"/>
  <c r="AA817" i="3"/>
  <c r="AC817" i="3"/>
  <c r="U816" i="3" l="1"/>
  <c r="Y815" i="3"/>
  <c r="T817" i="3"/>
  <c r="AG817" i="3" s="1"/>
  <c r="E817" i="3" l="1"/>
  <c r="H817" i="3" s="1"/>
  <c r="AH817" i="3"/>
  <c r="D817" i="3"/>
  <c r="F817" i="3" l="1"/>
  <c r="G817" i="3"/>
  <c r="K817" i="3"/>
  <c r="AE817" i="3" s="1"/>
  <c r="V817" i="3" l="1"/>
  <c r="A818" i="3"/>
  <c r="B818" i="3" s="1"/>
  <c r="I817" i="3"/>
  <c r="J817" i="3"/>
  <c r="AD817" i="3" s="1"/>
  <c r="M817" i="3"/>
  <c r="N817" i="3" s="1"/>
  <c r="W817" i="3" l="1"/>
  <c r="L817" i="3"/>
  <c r="Z818" i="3"/>
  <c r="AA818" i="3"/>
  <c r="P818" i="3"/>
  <c r="Q818" i="3" s="1"/>
  <c r="R818" i="3" s="1"/>
  <c r="S818" i="3" s="1"/>
  <c r="AC818" i="3"/>
  <c r="T818" i="3" l="1"/>
  <c r="U817" i="3"/>
  <c r="Y816" i="3"/>
  <c r="E818" i="3" l="1"/>
  <c r="H818" i="3" s="1"/>
  <c r="K818" i="3" s="1"/>
  <c r="AE818" i="3" s="1"/>
  <c r="D818" i="3"/>
  <c r="G818" i="3" s="1"/>
  <c r="AH818" i="3"/>
  <c r="AG818" i="3"/>
  <c r="F818" i="3" l="1"/>
  <c r="V818" i="3"/>
  <c r="A819" i="3"/>
  <c r="B819" i="3" s="1"/>
  <c r="I818" i="3"/>
  <c r="J818" i="3"/>
  <c r="AD818" i="3" s="1"/>
  <c r="M818" i="3"/>
  <c r="N818" i="3" s="1"/>
  <c r="W818" i="3" l="1"/>
  <c r="L818" i="3"/>
  <c r="AC819" i="3"/>
  <c r="AA819" i="3"/>
  <c r="Z819" i="3"/>
  <c r="P819" i="3"/>
  <c r="Q819" i="3" s="1"/>
  <c r="R819" i="3" s="1"/>
  <c r="S819" i="3" s="1"/>
  <c r="T819" i="3" l="1"/>
  <c r="AG819" i="3" s="1"/>
  <c r="U818" i="3"/>
  <c r="Y817" i="3"/>
  <c r="AH819" i="3" l="1"/>
  <c r="E819" i="3"/>
  <c r="H819" i="3" s="1"/>
  <c r="K819" i="3" s="1"/>
  <c r="AE819" i="3" s="1"/>
  <c r="D819" i="3"/>
  <c r="V819" i="3" l="1"/>
  <c r="A820" i="3"/>
  <c r="B820" i="3" s="1"/>
  <c r="F819" i="3"/>
  <c r="G819" i="3"/>
  <c r="I819" i="3" l="1"/>
  <c r="W819" i="3" s="1"/>
  <c r="J819" i="3"/>
  <c r="AD819" i="3" s="1"/>
  <c r="M819" i="3"/>
  <c r="N819" i="3" s="1"/>
  <c r="Z820" i="3"/>
  <c r="AA820" i="3"/>
  <c r="P820" i="3"/>
  <c r="Q820" i="3" s="1"/>
  <c r="R820" i="3" s="1"/>
  <c r="S820" i="3" s="1"/>
  <c r="AC820" i="3"/>
  <c r="T820" i="3" l="1"/>
  <c r="L819" i="3"/>
  <c r="U819" i="3" l="1"/>
  <c r="E820" i="3" s="1"/>
  <c r="H820" i="3" s="1"/>
  <c r="AG820" i="3"/>
  <c r="AH820" i="3"/>
  <c r="Y818" i="3"/>
  <c r="D820" i="3" l="1"/>
  <c r="G820" i="3" s="1"/>
  <c r="K820" i="3"/>
  <c r="AE820" i="3" s="1"/>
  <c r="F820" i="3" l="1"/>
  <c r="I820" i="3"/>
  <c r="J820" i="3"/>
  <c r="AD820" i="3" s="1"/>
  <c r="M820" i="3"/>
  <c r="N820" i="3" s="1"/>
  <c r="V820" i="3"/>
  <c r="A821" i="3"/>
  <c r="B821" i="3" s="1"/>
  <c r="W820" i="3" l="1"/>
  <c r="L820" i="3"/>
  <c r="P821" i="3"/>
  <c r="Q821" i="3" s="1"/>
  <c r="R821" i="3" s="1"/>
  <c r="S821" i="3" s="1"/>
  <c r="AA821" i="3"/>
  <c r="Z821" i="3"/>
  <c r="AC821" i="3"/>
  <c r="U820" i="3" l="1"/>
  <c r="Y819" i="3"/>
  <c r="T821" i="3"/>
  <c r="AH821" i="3" s="1"/>
  <c r="AG821" i="3" l="1"/>
  <c r="D821" i="3"/>
  <c r="G821" i="3" s="1"/>
  <c r="E821" i="3"/>
  <c r="H821" i="3" s="1"/>
  <c r="F821" i="3" l="1"/>
  <c r="K821" i="3"/>
  <c r="AE821" i="3" s="1"/>
  <c r="I821" i="3"/>
  <c r="J821" i="3"/>
  <c r="AD821" i="3" s="1"/>
  <c r="M821" i="3"/>
  <c r="N821" i="3" s="1"/>
  <c r="L821" i="3" l="1"/>
  <c r="V821" i="3"/>
  <c r="W821" i="3" s="1"/>
  <c r="A822" i="3"/>
  <c r="B822" i="3" s="1"/>
  <c r="P822" i="3" l="1"/>
  <c r="Q822" i="3" s="1"/>
  <c r="R822" i="3" s="1"/>
  <c r="S822" i="3" s="1"/>
  <c r="AA822" i="3"/>
  <c r="Z822" i="3"/>
  <c r="AC822" i="3"/>
  <c r="U821" i="3"/>
  <c r="Y820" i="3"/>
  <c r="T822" i="3" l="1"/>
  <c r="AH822" i="3" s="1"/>
  <c r="D822" i="3" l="1"/>
  <c r="E822" i="3"/>
  <c r="H822" i="3" s="1"/>
  <c r="AG822" i="3"/>
  <c r="K822" i="3" l="1"/>
  <c r="AE822" i="3" s="1"/>
  <c r="F822" i="3"/>
  <c r="G822" i="3"/>
  <c r="I822" i="3" l="1"/>
  <c r="J822" i="3"/>
  <c r="AD822" i="3" s="1"/>
  <c r="M822" i="3"/>
  <c r="N822" i="3" s="1"/>
  <c r="V822" i="3"/>
  <c r="A823" i="3"/>
  <c r="B823" i="3" s="1"/>
  <c r="W822" i="3" l="1"/>
  <c r="L822" i="3"/>
  <c r="AC823" i="3"/>
  <c r="Z823" i="3"/>
  <c r="P823" i="3"/>
  <c r="Q823" i="3" s="1"/>
  <c r="R823" i="3" s="1"/>
  <c r="S823" i="3" s="1"/>
  <c r="AA823" i="3"/>
  <c r="U822" i="3" l="1"/>
  <c r="Y821" i="3"/>
  <c r="T823" i="3"/>
  <c r="D823" i="3" l="1"/>
  <c r="G823" i="3" s="1"/>
  <c r="E823" i="3"/>
  <c r="H823" i="3" s="1"/>
  <c r="AG823" i="3"/>
  <c r="AH823" i="3"/>
  <c r="F823" i="3" l="1"/>
  <c r="I823" i="3"/>
  <c r="J823" i="3"/>
  <c r="AD823" i="3" s="1"/>
  <c r="M823" i="3"/>
  <c r="N823" i="3" s="1"/>
  <c r="K823" i="3"/>
  <c r="AE823" i="3" s="1"/>
  <c r="V823" i="3" l="1"/>
  <c r="W823" i="3" s="1"/>
  <c r="A824" i="3"/>
  <c r="B824" i="3" s="1"/>
  <c r="L823" i="3"/>
  <c r="U823" i="3" l="1"/>
  <c r="Y822" i="3"/>
  <c r="Z824" i="3"/>
  <c r="P824" i="3"/>
  <c r="Q824" i="3" s="1"/>
  <c r="R824" i="3" s="1"/>
  <c r="S824" i="3" s="1"/>
  <c r="AC824" i="3"/>
  <c r="AA824" i="3"/>
  <c r="T824" i="3" l="1"/>
  <c r="D824" i="3" s="1"/>
  <c r="AH824" i="3" l="1"/>
  <c r="E824" i="3"/>
  <c r="H824" i="3" s="1"/>
  <c r="K824" i="3" s="1"/>
  <c r="AE824" i="3" s="1"/>
  <c r="AG824" i="3"/>
  <c r="G824" i="3"/>
  <c r="F824" i="3" l="1"/>
  <c r="V824" i="3"/>
  <c r="A825" i="3"/>
  <c r="B825" i="3" s="1"/>
  <c r="I824" i="3"/>
  <c r="J824" i="3"/>
  <c r="AD824" i="3" s="1"/>
  <c r="M824" i="3"/>
  <c r="N824" i="3" s="1"/>
  <c r="L824" i="3" l="1"/>
  <c r="W824" i="3"/>
  <c r="Z825" i="3"/>
  <c r="AC825" i="3"/>
  <c r="P825" i="3"/>
  <c r="Q825" i="3" s="1"/>
  <c r="R825" i="3" s="1"/>
  <c r="S825" i="3" s="1"/>
  <c r="AA825" i="3"/>
  <c r="AD825" i="3"/>
  <c r="T825" i="3" l="1"/>
  <c r="AG825" i="3" s="1"/>
  <c r="U824" i="3"/>
  <c r="Y823" i="3"/>
  <c r="D825" i="3" l="1"/>
  <c r="E825" i="3"/>
  <c r="H825" i="3" s="1"/>
  <c r="AH825" i="3"/>
  <c r="F825" i="3" l="1"/>
  <c r="G825" i="3"/>
  <c r="K825" i="3"/>
  <c r="AE825" i="3" s="1"/>
  <c r="I825" i="3" l="1"/>
  <c r="J825" i="3"/>
  <c r="M825" i="3"/>
  <c r="N825" i="3" s="1"/>
  <c r="V825" i="3"/>
  <c r="A826" i="3"/>
  <c r="B826" i="3" s="1"/>
  <c r="W825" i="3" l="1"/>
  <c r="L825" i="3"/>
  <c r="P826" i="3"/>
  <c r="Q826" i="3" s="1"/>
  <c r="R826" i="3" s="1"/>
  <c r="S826" i="3" s="1"/>
  <c r="Z826" i="3"/>
  <c r="AA826" i="3"/>
  <c r="AD826" i="3"/>
  <c r="AC826" i="3"/>
  <c r="U825" i="3" l="1"/>
  <c r="Y824" i="3"/>
  <c r="T826" i="3"/>
  <c r="AG826" i="3" s="1"/>
  <c r="E826" i="3" l="1"/>
  <c r="H826" i="3" s="1"/>
  <c r="K826" i="3" s="1"/>
  <c r="AE826" i="3" s="1"/>
  <c r="AH826" i="3"/>
  <c r="D826" i="3"/>
  <c r="G826" i="3" s="1"/>
  <c r="F826" i="3" l="1"/>
  <c r="I826" i="3"/>
  <c r="J826" i="3"/>
  <c r="M826" i="3"/>
  <c r="N826" i="3" s="1"/>
  <c r="V826" i="3"/>
  <c r="A827" i="3"/>
  <c r="B827" i="3" s="1"/>
  <c r="W826" i="3" l="1"/>
  <c r="L826" i="3"/>
  <c r="Z827" i="3"/>
  <c r="AA827" i="3"/>
  <c r="AD827" i="3"/>
  <c r="P827" i="3"/>
  <c r="Q827" i="3" s="1"/>
  <c r="R827" i="3" s="1"/>
  <c r="S827" i="3" s="1"/>
  <c r="AC827" i="3"/>
  <c r="U826" i="3" l="1"/>
  <c r="Y825" i="3"/>
  <c r="T827" i="3"/>
  <c r="AH827" i="3" s="1"/>
  <c r="D827" i="3" l="1"/>
  <c r="G827" i="3" s="1"/>
  <c r="E827" i="3"/>
  <c r="H827" i="3" s="1"/>
  <c r="K827" i="3" s="1"/>
  <c r="AE827" i="3" s="1"/>
  <c r="AG827" i="3"/>
  <c r="F827" i="3" l="1"/>
  <c r="V827" i="3"/>
  <c r="A828" i="3"/>
  <c r="B828" i="3" s="1"/>
  <c r="I827" i="3"/>
  <c r="J827" i="3"/>
  <c r="M827" i="3"/>
  <c r="N827" i="3" s="1"/>
  <c r="W827" i="3" l="1"/>
  <c r="L827" i="3"/>
  <c r="AD828" i="3"/>
  <c r="P828" i="3"/>
  <c r="Q828" i="3" s="1"/>
  <c r="R828" i="3" s="1"/>
  <c r="S828" i="3" s="1"/>
  <c r="AC828" i="3"/>
  <c r="AA828" i="3"/>
  <c r="Z828" i="3"/>
  <c r="U827" i="3" l="1"/>
  <c r="Y826" i="3"/>
  <c r="T828" i="3"/>
  <c r="D828" i="3" l="1"/>
  <c r="G828" i="3" s="1"/>
  <c r="AG828" i="3"/>
  <c r="AH828" i="3"/>
  <c r="E828" i="3"/>
  <c r="H828" i="3" s="1"/>
  <c r="F828" i="3" l="1"/>
  <c r="I828" i="3"/>
  <c r="J828" i="3"/>
  <c r="M828" i="3"/>
  <c r="N828" i="3" s="1"/>
  <c r="K828" i="3"/>
  <c r="AE828" i="3" s="1"/>
  <c r="V828" i="3" l="1"/>
  <c r="W828" i="3" s="1"/>
  <c r="A829" i="3"/>
  <c r="B829" i="3" s="1"/>
  <c r="L828" i="3"/>
  <c r="U828" i="3" l="1"/>
  <c r="Y827" i="3"/>
  <c r="AC829" i="3"/>
  <c r="Z829" i="3"/>
  <c r="AA829" i="3"/>
  <c r="P829" i="3"/>
  <c r="Q829" i="3" s="1"/>
  <c r="R829" i="3" s="1"/>
  <c r="S829" i="3" s="1"/>
  <c r="AD829" i="3"/>
  <c r="T829" i="3" l="1"/>
  <c r="E829" i="3" s="1"/>
  <c r="H829" i="3" s="1"/>
  <c r="AH829" i="3" l="1"/>
  <c r="D829" i="3"/>
  <c r="G829" i="3" s="1"/>
  <c r="AG829" i="3"/>
  <c r="K829" i="3"/>
  <c r="AE829" i="3" s="1"/>
  <c r="F829" i="3" l="1"/>
  <c r="I829" i="3"/>
  <c r="J829" i="3"/>
  <c r="M829" i="3"/>
  <c r="N829" i="3" s="1"/>
  <c r="V829" i="3"/>
  <c r="A830" i="3"/>
  <c r="B830" i="3" s="1"/>
  <c r="W829" i="3" l="1"/>
  <c r="L829" i="3"/>
  <c r="AA830" i="3"/>
  <c r="Z830" i="3"/>
  <c r="AC830" i="3"/>
  <c r="AD830" i="3"/>
  <c r="P830" i="3"/>
  <c r="Q830" i="3" s="1"/>
  <c r="R830" i="3" s="1"/>
  <c r="S830" i="3" s="1"/>
  <c r="U829" i="3" l="1"/>
  <c r="Y828" i="3"/>
  <c r="T830" i="3"/>
  <c r="D830" i="3" l="1"/>
  <c r="G830" i="3" s="1"/>
  <c r="E830" i="3"/>
  <c r="H830" i="3" s="1"/>
  <c r="AG830" i="3"/>
  <c r="AH830" i="3"/>
  <c r="F830" i="3" l="1"/>
  <c r="I830" i="3"/>
  <c r="J830" i="3"/>
  <c r="M830" i="3"/>
  <c r="N830" i="3" s="1"/>
  <c r="K830" i="3"/>
  <c r="AE830" i="3" s="1"/>
  <c r="V830" i="3" l="1"/>
  <c r="W830" i="3" s="1"/>
  <c r="A831" i="3"/>
  <c r="B831" i="3" s="1"/>
  <c r="L830" i="3"/>
  <c r="U830" i="3" l="1"/>
  <c r="Y829" i="3"/>
  <c r="Z831" i="3"/>
  <c r="P831" i="3"/>
  <c r="Q831" i="3" s="1"/>
  <c r="R831" i="3" s="1"/>
  <c r="S831" i="3" s="1"/>
  <c r="AA831" i="3"/>
  <c r="AD831" i="3"/>
  <c r="AC831" i="3"/>
  <c r="T831" i="3" l="1"/>
  <c r="AH831" i="3" s="1"/>
  <c r="E831" i="3" l="1"/>
  <c r="H831" i="3" s="1"/>
  <c r="K831" i="3" s="1"/>
  <c r="AE831" i="3" s="1"/>
  <c r="D831" i="3"/>
  <c r="G831" i="3" s="1"/>
  <c r="AG831" i="3"/>
  <c r="F831" i="3" l="1"/>
  <c r="I831" i="3"/>
  <c r="J831" i="3"/>
  <c r="M831" i="3"/>
  <c r="N831" i="3" s="1"/>
  <c r="V831" i="3"/>
  <c r="A832" i="3"/>
  <c r="B832" i="3" s="1"/>
  <c r="W831" i="3" l="1"/>
  <c r="L831" i="3"/>
  <c r="P832" i="3"/>
  <c r="Q832" i="3" s="1"/>
  <c r="R832" i="3" s="1"/>
  <c r="S832" i="3" s="1"/>
  <c r="AC832" i="3"/>
  <c r="AD832" i="3"/>
  <c r="Z832" i="3"/>
  <c r="AA832" i="3"/>
  <c r="U831" i="3" l="1"/>
  <c r="Y830" i="3"/>
  <c r="T832" i="3"/>
  <c r="AH832" i="3" s="1"/>
  <c r="D832" i="3" l="1"/>
  <c r="G832" i="3" s="1"/>
  <c r="AG832" i="3"/>
  <c r="E832" i="3"/>
  <c r="H832" i="3" s="1"/>
  <c r="K832" i="3" l="1"/>
  <c r="AE832" i="3" s="1"/>
  <c r="I832" i="3"/>
  <c r="J832" i="3"/>
  <c r="M832" i="3"/>
  <c r="N832" i="3" s="1"/>
  <c r="F832" i="3"/>
  <c r="L832" i="3" l="1"/>
  <c r="V832" i="3"/>
  <c r="W832" i="3" s="1"/>
  <c r="A833" i="3"/>
  <c r="B833" i="3" s="1"/>
  <c r="U832" i="3" l="1"/>
  <c r="Y831" i="3"/>
  <c r="Z833" i="3"/>
  <c r="AC833" i="3"/>
  <c r="P833" i="3"/>
  <c r="Q833" i="3" s="1"/>
  <c r="R833" i="3" s="1"/>
  <c r="S833" i="3" s="1"/>
  <c r="AD833" i="3"/>
  <c r="AA833" i="3"/>
  <c r="T833" i="3" l="1"/>
  <c r="AH833" i="3" s="1"/>
  <c r="E833" i="3" l="1"/>
  <c r="H833" i="3" s="1"/>
  <c r="K833" i="3" s="1"/>
  <c r="AE833" i="3" s="1"/>
  <c r="AG833" i="3"/>
  <c r="D833" i="3"/>
  <c r="G833" i="3" s="1"/>
  <c r="F833" i="3" l="1"/>
  <c r="I833" i="3"/>
  <c r="J833" i="3"/>
  <c r="M833" i="3"/>
  <c r="N833" i="3" s="1"/>
  <c r="V833" i="3"/>
  <c r="A834" i="3"/>
  <c r="B834" i="3" s="1"/>
  <c r="L833" i="3" l="1"/>
  <c r="W833" i="3"/>
  <c r="AC834" i="3"/>
  <c r="P834" i="3"/>
  <c r="Q834" i="3" s="1"/>
  <c r="R834" i="3" s="1"/>
  <c r="S834" i="3" s="1"/>
  <c r="AA834" i="3"/>
  <c r="Z834" i="3"/>
  <c r="U833" i="3" l="1"/>
  <c r="Y832" i="3"/>
  <c r="T834" i="3"/>
  <c r="D834" i="3" l="1"/>
  <c r="G834" i="3" s="1"/>
  <c r="E834" i="3"/>
  <c r="H834" i="3" s="1"/>
  <c r="K834" i="3" s="1"/>
  <c r="AE834" i="3" s="1"/>
  <c r="AH834" i="3"/>
  <c r="AG834" i="3"/>
  <c r="F834" i="3" l="1"/>
  <c r="V834" i="3"/>
  <c r="A835" i="3"/>
  <c r="B835" i="3" s="1"/>
  <c r="I834" i="3"/>
  <c r="J834" i="3"/>
  <c r="AD834" i="3" s="1"/>
  <c r="M834" i="3"/>
  <c r="N834" i="3" s="1"/>
  <c r="W834" i="3" l="1"/>
  <c r="L834" i="3"/>
  <c r="Z835" i="3"/>
  <c r="P835" i="3"/>
  <c r="Q835" i="3" s="1"/>
  <c r="R835" i="3" s="1"/>
  <c r="S835" i="3" s="1"/>
  <c r="AC835" i="3"/>
  <c r="AA835" i="3"/>
  <c r="T835" i="3" l="1"/>
  <c r="U834" i="3"/>
  <c r="Y833" i="3"/>
  <c r="E835" i="3" l="1"/>
  <c r="H835" i="3" s="1"/>
  <c r="K835" i="3" s="1"/>
  <c r="AE835" i="3" s="1"/>
  <c r="AH835" i="3"/>
  <c r="AG835" i="3"/>
  <c r="D835" i="3"/>
  <c r="F835" i="3" l="1"/>
  <c r="G835" i="3"/>
  <c r="V835" i="3"/>
  <c r="A836" i="3"/>
  <c r="B836" i="3" s="1"/>
  <c r="I835" i="3" l="1"/>
  <c r="W835" i="3" s="1"/>
  <c r="J835" i="3"/>
  <c r="AD835" i="3" s="1"/>
  <c r="M835" i="3"/>
  <c r="N835" i="3" s="1"/>
  <c r="Z836" i="3"/>
  <c r="AA836" i="3"/>
  <c r="AC836" i="3"/>
  <c r="P836" i="3"/>
  <c r="Q836" i="3" s="1"/>
  <c r="R836" i="3" s="1"/>
  <c r="S836" i="3" s="1"/>
  <c r="T836" i="3" l="1"/>
  <c r="L835" i="3"/>
  <c r="AG836" i="3" l="1"/>
  <c r="U835" i="3"/>
  <c r="D836" i="3" s="1"/>
  <c r="AH836" i="3"/>
  <c r="Y834" i="3"/>
  <c r="E836" i="3" l="1"/>
  <c r="H836" i="3" s="1"/>
  <c r="K836" i="3" s="1"/>
  <c r="AE836" i="3" s="1"/>
  <c r="G836" i="3"/>
  <c r="F836" i="3" l="1"/>
  <c r="V836" i="3"/>
  <c r="A837" i="3"/>
  <c r="B837" i="3" s="1"/>
  <c r="I836" i="3"/>
  <c r="J836" i="3"/>
  <c r="AD836" i="3" s="1"/>
  <c r="M836" i="3"/>
  <c r="N836" i="3" s="1"/>
  <c r="L836" i="3" l="1"/>
  <c r="W836" i="3"/>
  <c r="P837" i="3"/>
  <c r="Q837" i="3" s="1"/>
  <c r="R837" i="3" s="1"/>
  <c r="S837" i="3" s="1"/>
  <c r="AA837" i="3"/>
  <c r="AC837" i="3"/>
  <c r="Z837" i="3"/>
  <c r="U836" i="3" l="1"/>
  <c r="Y835" i="3"/>
  <c r="T837" i="3"/>
  <c r="AH837" i="3" s="1"/>
  <c r="E837" i="3" l="1"/>
  <c r="H837" i="3" s="1"/>
  <c r="K837" i="3" s="1"/>
  <c r="AE837" i="3" s="1"/>
  <c r="D837" i="3"/>
  <c r="G837" i="3" s="1"/>
  <c r="AG837" i="3"/>
  <c r="F837" i="3" l="1"/>
  <c r="I837" i="3"/>
  <c r="J837" i="3"/>
  <c r="AD837" i="3" s="1"/>
  <c r="M837" i="3"/>
  <c r="N837" i="3" s="1"/>
  <c r="V837" i="3"/>
  <c r="A838" i="3"/>
  <c r="B838" i="3" s="1"/>
  <c r="W837" i="3" l="1"/>
  <c r="L837" i="3"/>
  <c r="P838" i="3"/>
  <c r="Q838" i="3" s="1"/>
  <c r="R838" i="3" s="1"/>
  <c r="S838" i="3" s="1"/>
  <c r="AA838" i="3"/>
  <c r="AC838" i="3"/>
  <c r="Z838" i="3"/>
  <c r="U837" i="3" l="1"/>
  <c r="Y836" i="3"/>
  <c r="T838" i="3"/>
  <c r="AH838" i="3" s="1"/>
  <c r="E838" i="3" l="1"/>
  <c r="H838" i="3" s="1"/>
  <c r="D838" i="3"/>
  <c r="AG838" i="3"/>
  <c r="K838" i="3" l="1"/>
  <c r="AE838" i="3" s="1"/>
  <c r="F838" i="3"/>
  <c r="G838" i="3"/>
  <c r="V838" i="3" l="1"/>
  <c r="A839" i="3"/>
  <c r="B839" i="3" s="1"/>
  <c r="I838" i="3"/>
  <c r="J838" i="3"/>
  <c r="AD838" i="3" s="1"/>
  <c r="M838" i="3"/>
  <c r="N838" i="3" s="1"/>
  <c r="W838" i="3" l="1"/>
  <c r="L838" i="3"/>
  <c r="AC839" i="3"/>
  <c r="Z839" i="3"/>
  <c r="AA839" i="3"/>
  <c r="P839" i="3"/>
  <c r="Q839" i="3" s="1"/>
  <c r="R839" i="3" s="1"/>
  <c r="S839" i="3" s="1"/>
  <c r="U838" i="3" l="1"/>
  <c r="Y837" i="3"/>
  <c r="T839" i="3"/>
  <c r="AG839" i="3" s="1"/>
  <c r="D839" i="3" l="1"/>
  <c r="E839" i="3"/>
  <c r="H839" i="3" s="1"/>
  <c r="AH839" i="3"/>
  <c r="F839" i="3" l="1"/>
  <c r="G839" i="3"/>
  <c r="K839" i="3"/>
  <c r="AE839" i="3" s="1"/>
  <c r="V839" i="3" l="1"/>
  <c r="A840" i="3"/>
  <c r="B840" i="3" s="1"/>
  <c r="I839" i="3"/>
  <c r="J839" i="3"/>
  <c r="AD839" i="3" s="1"/>
  <c r="M839" i="3"/>
  <c r="N839" i="3" s="1"/>
  <c r="W839" i="3" l="1"/>
  <c r="L839" i="3"/>
  <c r="AC840" i="3"/>
  <c r="P840" i="3"/>
  <c r="Q840" i="3" s="1"/>
  <c r="R840" i="3" s="1"/>
  <c r="S840" i="3" s="1"/>
  <c r="AA840" i="3"/>
  <c r="Z840" i="3"/>
  <c r="T840" i="3" l="1"/>
  <c r="U839" i="3"/>
  <c r="Y838" i="3"/>
  <c r="D840" i="3" l="1"/>
  <c r="G840" i="3" s="1"/>
  <c r="AG840" i="3"/>
  <c r="E840" i="3"/>
  <c r="H840" i="3" s="1"/>
  <c r="AH840" i="3"/>
  <c r="K840" i="3" l="1"/>
  <c r="AE840" i="3" s="1"/>
  <c r="I840" i="3"/>
  <c r="J840" i="3"/>
  <c r="AD840" i="3" s="1"/>
  <c r="M840" i="3"/>
  <c r="N840" i="3" s="1"/>
  <c r="F840" i="3"/>
  <c r="L840" i="3" l="1"/>
  <c r="V840" i="3"/>
  <c r="W840" i="3" s="1"/>
  <c r="A841" i="3"/>
  <c r="B841" i="3" s="1"/>
  <c r="U840" i="3" l="1"/>
  <c r="Y839" i="3"/>
  <c r="AA841" i="3"/>
  <c r="Z841" i="3"/>
  <c r="AC841" i="3"/>
  <c r="P841" i="3"/>
  <c r="Q841" i="3" s="1"/>
  <c r="R841" i="3" s="1"/>
  <c r="S841" i="3" s="1"/>
  <c r="T841" i="3" l="1"/>
  <c r="AH841" i="3" s="1"/>
  <c r="E841" i="3" l="1"/>
  <c r="H841" i="3" s="1"/>
  <c r="K841" i="3" s="1"/>
  <c r="AE841" i="3" s="1"/>
  <c r="AG841" i="3"/>
  <c r="D841" i="3"/>
  <c r="G841" i="3" s="1"/>
  <c r="F841" i="3" l="1"/>
  <c r="I841" i="3"/>
  <c r="J841" i="3"/>
  <c r="AD841" i="3" s="1"/>
  <c r="M841" i="3"/>
  <c r="N841" i="3" s="1"/>
  <c r="V841" i="3"/>
  <c r="A842" i="3"/>
  <c r="B842" i="3" s="1"/>
  <c r="W841" i="3" l="1"/>
  <c r="L841" i="3"/>
  <c r="P842" i="3"/>
  <c r="Q842" i="3" s="1"/>
  <c r="R842" i="3" s="1"/>
  <c r="S842" i="3" s="1"/>
  <c r="Z842" i="3"/>
  <c r="AC842" i="3"/>
  <c r="AA842" i="3"/>
  <c r="U841" i="3" l="1"/>
  <c r="Y840" i="3"/>
  <c r="T842" i="3"/>
  <c r="AG842" i="3" s="1"/>
  <c r="D842" i="3" l="1"/>
  <c r="G842" i="3" s="1"/>
  <c r="E842" i="3"/>
  <c r="H842" i="3" s="1"/>
  <c r="K842" i="3" s="1"/>
  <c r="AE842" i="3" s="1"/>
  <c r="AH842" i="3"/>
  <c r="F842" i="3" l="1"/>
  <c r="V842" i="3"/>
  <c r="A843" i="3"/>
  <c r="B843" i="3" s="1"/>
  <c r="I842" i="3"/>
  <c r="J842" i="3"/>
  <c r="AD842" i="3" s="1"/>
  <c r="M842" i="3"/>
  <c r="N842" i="3" s="1"/>
  <c r="W842" i="3" l="1"/>
  <c r="L842" i="3"/>
  <c r="AC843" i="3"/>
  <c r="AA843" i="3"/>
  <c r="Z843" i="3"/>
  <c r="P843" i="3"/>
  <c r="Q843" i="3" s="1"/>
  <c r="R843" i="3" s="1"/>
  <c r="S843" i="3" s="1"/>
  <c r="U842" i="3" l="1"/>
  <c r="Y841" i="3"/>
  <c r="T843" i="3"/>
  <c r="AG843" i="3" s="1"/>
  <c r="D843" i="3" l="1"/>
  <c r="E843" i="3"/>
  <c r="H843" i="3" s="1"/>
  <c r="AH843" i="3"/>
  <c r="F843" i="3" l="1"/>
  <c r="G843" i="3"/>
  <c r="K843" i="3"/>
  <c r="AE843" i="3" s="1"/>
  <c r="V843" i="3" l="1"/>
  <c r="A844" i="3"/>
  <c r="B844" i="3" s="1"/>
  <c r="I843" i="3"/>
  <c r="J843" i="3"/>
  <c r="AD843" i="3" s="1"/>
  <c r="M843" i="3"/>
  <c r="N843" i="3" s="1"/>
  <c r="W843" i="3" l="1"/>
  <c r="L843" i="3"/>
  <c r="AC844" i="3"/>
  <c r="P844" i="3"/>
  <c r="Q844" i="3" s="1"/>
  <c r="R844" i="3" s="1"/>
  <c r="S844" i="3" s="1"/>
  <c r="Z844" i="3"/>
  <c r="AA844" i="3"/>
  <c r="U843" i="3" l="1"/>
  <c r="Y842" i="3"/>
  <c r="T844" i="3"/>
  <c r="AH844" i="3" s="1"/>
  <c r="AG844" i="3" l="1"/>
  <c r="E844" i="3"/>
  <c r="H844" i="3" s="1"/>
  <c r="K844" i="3" s="1"/>
  <c r="AE844" i="3" s="1"/>
  <c r="D844" i="3"/>
  <c r="V844" i="3" l="1"/>
  <c r="A845" i="3"/>
  <c r="B845" i="3" s="1"/>
  <c r="F844" i="3"/>
  <c r="G844" i="3"/>
  <c r="I844" i="3" l="1"/>
  <c r="W844" i="3" s="1"/>
  <c r="J844" i="3"/>
  <c r="AD844" i="3" s="1"/>
  <c r="M844" i="3"/>
  <c r="N844" i="3" s="1"/>
  <c r="AC845" i="3"/>
  <c r="P845" i="3"/>
  <c r="Q845" i="3" s="1"/>
  <c r="R845" i="3" s="1"/>
  <c r="S845" i="3" s="1"/>
  <c r="Z845" i="3"/>
  <c r="AA845" i="3"/>
  <c r="T845" i="3" l="1"/>
  <c r="L844" i="3"/>
  <c r="AH845" i="3" l="1"/>
  <c r="U844" i="3"/>
  <c r="D845" i="3" s="1"/>
  <c r="AG845" i="3"/>
  <c r="Y843" i="3"/>
  <c r="E845" i="3" l="1"/>
  <c r="H845" i="3" s="1"/>
  <c r="K845" i="3" s="1"/>
  <c r="AE845" i="3" s="1"/>
  <c r="G845" i="3"/>
  <c r="F845" i="3" l="1"/>
  <c r="I845" i="3"/>
  <c r="J845" i="3"/>
  <c r="AD845" i="3" s="1"/>
  <c r="M845" i="3"/>
  <c r="N845" i="3" s="1"/>
  <c r="V845" i="3"/>
  <c r="A846" i="3"/>
  <c r="B846" i="3" s="1"/>
  <c r="W845" i="3" l="1"/>
  <c r="L845" i="3"/>
  <c r="P846" i="3"/>
  <c r="Q846" i="3" s="1"/>
  <c r="R846" i="3" s="1"/>
  <c r="S846" i="3" s="1"/>
  <c r="AC846" i="3"/>
  <c r="Z846" i="3"/>
  <c r="AA846" i="3"/>
  <c r="U845" i="3" l="1"/>
  <c r="Y844" i="3"/>
  <c r="T846" i="3"/>
  <c r="AH846" i="3" s="1"/>
  <c r="D846" i="3" l="1"/>
  <c r="G846" i="3" s="1"/>
  <c r="E846" i="3"/>
  <c r="H846" i="3" s="1"/>
  <c r="K846" i="3" s="1"/>
  <c r="AE846" i="3" s="1"/>
  <c r="AG846" i="3"/>
  <c r="F846" i="3" l="1"/>
  <c r="I846" i="3"/>
  <c r="J846" i="3"/>
  <c r="AD846" i="3" s="1"/>
  <c r="M846" i="3"/>
  <c r="N846" i="3" s="1"/>
  <c r="V846" i="3"/>
  <c r="A847" i="3"/>
  <c r="B847" i="3" s="1"/>
  <c r="W846" i="3" l="1"/>
  <c r="L846" i="3"/>
  <c r="AC847" i="3"/>
  <c r="P847" i="3"/>
  <c r="Q847" i="3" s="1"/>
  <c r="R847" i="3" s="1"/>
  <c r="S847" i="3" s="1"/>
  <c r="AA847" i="3"/>
  <c r="Z847" i="3"/>
  <c r="U846" i="3" l="1"/>
  <c r="Y845" i="3"/>
  <c r="T847" i="3"/>
  <c r="D847" i="3" l="1"/>
  <c r="G847" i="3" s="1"/>
  <c r="E847" i="3"/>
  <c r="H847" i="3" s="1"/>
  <c r="K847" i="3" s="1"/>
  <c r="AE847" i="3" s="1"/>
  <c r="AH847" i="3"/>
  <c r="AG847" i="3"/>
  <c r="F847" i="3" l="1"/>
  <c r="I847" i="3"/>
  <c r="J847" i="3"/>
  <c r="AD847" i="3" s="1"/>
  <c r="M847" i="3"/>
  <c r="N847" i="3" s="1"/>
  <c r="V847" i="3"/>
  <c r="A848" i="3"/>
  <c r="B848" i="3" s="1"/>
  <c r="W847" i="3" l="1"/>
  <c r="L847" i="3"/>
  <c r="AA848" i="3"/>
  <c r="P848" i="3"/>
  <c r="Q848" i="3" s="1"/>
  <c r="R848" i="3" s="1"/>
  <c r="S848" i="3" s="1"/>
  <c r="Z848" i="3"/>
  <c r="AC848" i="3"/>
  <c r="U847" i="3" l="1"/>
  <c r="Y846" i="3"/>
  <c r="T848" i="3"/>
  <c r="AG848" i="3" s="1"/>
  <c r="D848" i="3" l="1"/>
  <c r="AH848" i="3"/>
  <c r="E848" i="3"/>
  <c r="H848" i="3" s="1"/>
  <c r="F848" i="3" l="1"/>
  <c r="G848" i="3"/>
  <c r="K848" i="3"/>
  <c r="AE848" i="3" s="1"/>
  <c r="V848" i="3" l="1"/>
  <c r="A849" i="3"/>
  <c r="B849" i="3" s="1"/>
  <c r="I848" i="3"/>
  <c r="J848" i="3"/>
  <c r="AD848" i="3" s="1"/>
  <c r="M848" i="3"/>
  <c r="N848" i="3" s="1"/>
  <c r="W848" i="3" l="1"/>
  <c r="L848" i="3"/>
  <c r="P849" i="3"/>
  <c r="Q849" i="3" s="1"/>
  <c r="R849" i="3" s="1"/>
  <c r="S849" i="3" s="1"/>
  <c r="AC849" i="3"/>
  <c r="Z849" i="3"/>
  <c r="AA849" i="3"/>
  <c r="U848" i="3" l="1"/>
  <c r="Y847" i="3"/>
  <c r="T849" i="3"/>
  <c r="AG849" i="3" s="1"/>
  <c r="E849" i="3" l="1"/>
  <c r="H849" i="3" s="1"/>
  <c r="K849" i="3" s="1"/>
  <c r="AE849" i="3" s="1"/>
  <c r="D849" i="3"/>
  <c r="G849" i="3" s="1"/>
  <c r="AH849" i="3"/>
  <c r="F849" i="3" l="1"/>
  <c r="V849" i="3"/>
  <c r="A850" i="3"/>
  <c r="B850" i="3" s="1"/>
  <c r="I849" i="3"/>
  <c r="J849" i="3"/>
  <c r="AD849" i="3" s="1"/>
  <c r="M849" i="3"/>
  <c r="N849" i="3" s="1"/>
  <c r="W849" i="3" l="1"/>
  <c r="L849" i="3"/>
  <c r="AA850" i="3"/>
  <c r="AC850" i="3"/>
  <c r="P850" i="3"/>
  <c r="Q850" i="3" s="1"/>
  <c r="R850" i="3" s="1"/>
  <c r="S850" i="3" s="1"/>
  <c r="Z850" i="3"/>
  <c r="T850" i="3" l="1"/>
  <c r="AG850" i="3" s="1"/>
  <c r="U849" i="3"/>
  <c r="Y848" i="3"/>
  <c r="E850" i="3" l="1"/>
  <c r="H850" i="3" s="1"/>
  <c r="D850" i="3"/>
  <c r="AH850" i="3"/>
  <c r="K850" i="3" l="1"/>
  <c r="AE850" i="3" s="1"/>
  <c r="F850" i="3"/>
  <c r="G850" i="3"/>
  <c r="I850" i="3" l="1"/>
  <c r="J850" i="3"/>
  <c r="AD850" i="3" s="1"/>
  <c r="M850" i="3"/>
  <c r="N850" i="3" s="1"/>
  <c r="V850" i="3"/>
  <c r="A851" i="3"/>
  <c r="B851" i="3" s="1"/>
  <c r="W850" i="3" l="1"/>
  <c r="L850" i="3"/>
  <c r="P851" i="3"/>
  <c r="Q851" i="3" s="1"/>
  <c r="R851" i="3" s="1"/>
  <c r="S851" i="3" s="1"/>
  <c r="AA851" i="3"/>
  <c r="AC851" i="3"/>
  <c r="Z851" i="3"/>
  <c r="U850" i="3" l="1"/>
  <c r="Y849" i="3"/>
  <c r="T851" i="3"/>
  <c r="AH851" i="3" s="1"/>
  <c r="E851" i="3" l="1"/>
  <c r="H851" i="3" s="1"/>
  <c r="K851" i="3" s="1"/>
  <c r="AE851" i="3" s="1"/>
  <c r="AG851" i="3"/>
  <c r="D851" i="3"/>
  <c r="F851" i="3" l="1"/>
  <c r="G851" i="3"/>
  <c r="M851" i="3" s="1"/>
  <c r="N851" i="3" s="1"/>
  <c r="V851" i="3"/>
  <c r="A852" i="3"/>
  <c r="B852" i="3" s="1"/>
  <c r="I851" i="3" l="1"/>
  <c r="W851" i="3" s="1"/>
  <c r="J851" i="3"/>
  <c r="AC852" i="3"/>
  <c r="AA852" i="3"/>
  <c r="P852" i="3"/>
  <c r="Q852" i="3" s="1"/>
  <c r="R852" i="3" s="1"/>
  <c r="S852" i="3" s="1"/>
  <c r="Z852" i="3"/>
  <c r="L851" i="3" l="1"/>
  <c r="U851" i="3" s="1"/>
  <c r="AD851" i="3"/>
  <c r="T852" i="3"/>
  <c r="Y850" i="3" l="1"/>
  <c r="D852" i="3"/>
  <c r="G852" i="3" s="1"/>
  <c r="AH852" i="3"/>
  <c r="E852" i="3"/>
  <c r="H852" i="3" s="1"/>
  <c r="AG852" i="3"/>
  <c r="F852" i="3" l="1"/>
  <c r="I852" i="3"/>
  <c r="J852" i="3"/>
  <c r="AD852" i="3" s="1"/>
  <c r="M852" i="3"/>
  <c r="N852" i="3" s="1"/>
  <c r="K852" i="3"/>
  <c r="AE852" i="3" s="1"/>
  <c r="L852" i="3" l="1"/>
  <c r="V852" i="3"/>
  <c r="W852" i="3" s="1"/>
  <c r="A853" i="3"/>
  <c r="B853" i="3" s="1"/>
  <c r="U852" i="3" l="1"/>
  <c r="Y851" i="3"/>
  <c r="AC853" i="3"/>
  <c r="P853" i="3"/>
  <c r="Q853" i="3" s="1"/>
  <c r="R853" i="3" s="1"/>
  <c r="S853" i="3" s="1"/>
  <c r="Z853" i="3"/>
  <c r="AA853" i="3"/>
  <c r="T853" i="3" l="1"/>
  <c r="AG853" i="3" s="1"/>
  <c r="E853" i="3" l="1"/>
  <c r="H853" i="3" s="1"/>
  <c r="AH853" i="3"/>
  <c r="D853" i="3"/>
  <c r="K853" i="3" l="1"/>
  <c r="AE853" i="3" s="1"/>
  <c r="F853" i="3"/>
  <c r="G853" i="3"/>
  <c r="I853" i="3" l="1"/>
  <c r="J853" i="3"/>
  <c r="AD853" i="3" s="1"/>
  <c r="M853" i="3"/>
  <c r="N853" i="3" s="1"/>
  <c r="V853" i="3"/>
  <c r="A854" i="3"/>
  <c r="B854" i="3" s="1"/>
  <c r="W853" i="3" l="1"/>
  <c r="L853" i="3"/>
  <c r="Z854" i="3"/>
  <c r="P854" i="3"/>
  <c r="Q854" i="3" s="1"/>
  <c r="R854" i="3" s="1"/>
  <c r="S854" i="3" s="1"/>
  <c r="AC854" i="3"/>
  <c r="AA854" i="3"/>
  <c r="U853" i="3" l="1"/>
  <c r="Y852" i="3"/>
  <c r="T854" i="3"/>
  <c r="AG854" i="3" s="1"/>
  <c r="E854" i="3" l="1"/>
  <c r="H854" i="3" s="1"/>
  <c r="K854" i="3" s="1"/>
  <c r="AE854" i="3" s="1"/>
  <c r="AH854" i="3"/>
  <c r="D854" i="3"/>
  <c r="G854" i="3" s="1"/>
  <c r="F854" i="3" l="1"/>
  <c r="I854" i="3"/>
  <c r="J854" i="3"/>
  <c r="AD854" i="3" s="1"/>
  <c r="M854" i="3"/>
  <c r="N854" i="3" s="1"/>
  <c r="V854" i="3"/>
  <c r="A855" i="3"/>
  <c r="B855" i="3" s="1"/>
  <c r="W854" i="3" l="1"/>
  <c r="L854" i="3"/>
  <c r="Z855" i="3"/>
  <c r="P855" i="3"/>
  <c r="Q855" i="3" s="1"/>
  <c r="R855" i="3" s="1"/>
  <c r="S855" i="3" s="1"/>
  <c r="AA855" i="3"/>
  <c r="AC855" i="3"/>
  <c r="T855" i="3" l="1"/>
  <c r="AG855" i="3" s="1"/>
  <c r="U854" i="3"/>
  <c r="Y853" i="3"/>
  <c r="E855" i="3" l="1"/>
  <c r="H855" i="3" s="1"/>
  <c r="K855" i="3" s="1"/>
  <c r="AE855" i="3" s="1"/>
  <c r="D855" i="3"/>
  <c r="AH855" i="3"/>
  <c r="F855" i="3" l="1"/>
  <c r="G855" i="3"/>
  <c r="V855" i="3"/>
  <c r="A856" i="3"/>
  <c r="B856" i="3" s="1"/>
  <c r="AA856" i="3" l="1"/>
  <c r="P856" i="3"/>
  <c r="Q856" i="3" s="1"/>
  <c r="R856" i="3" s="1"/>
  <c r="S856" i="3" s="1"/>
  <c r="Z856" i="3"/>
  <c r="AC856" i="3"/>
  <c r="I855" i="3"/>
  <c r="W855" i="3" s="1"/>
  <c r="J855" i="3"/>
  <c r="AD855" i="3" s="1"/>
  <c r="M855" i="3"/>
  <c r="N855" i="3" s="1"/>
  <c r="L855" i="3" l="1"/>
  <c r="T856" i="3"/>
  <c r="U855" i="3" l="1"/>
  <c r="D856" i="3" s="1"/>
  <c r="AH856" i="3"/>
  <c r="AG856" i="3"/>
  <c r="Y854" i="3"/>
  <c r="G856" i="3" l="1"/>
  <c r="E856" i="3"/>
  <c r="H856" i="3" s="1"/>
  <c r="F856" i="3" l="1"/>
  <c r="K856" i="3"/>
  <c r="AE856" i="3" s="1"/>
  <c r="I856" i="3"/>
  <c r="J856" i="3"/>
  <c r="AD856" i="3" s="1"/>
  <c r="M856" i="3"/>
  <c r="N856" i="3" s="1"/>
  <c r="L856" i="3" l="1"/>
  <c r="V856" i="3"/>
  <c r="W856" i="3" s="1"/>
  <c r="A857" i="3"/>
  <c r="B857" i="3" s="1"/>
  <c r="Z857" i="3" l="1"/>
  <c r="AC857" i="3"/>
  <c r="AA857" i="3"/>
  <c r="P857" i="3"/>
  <c r="Q857" i="3" s="1"/>
  <c r="R857" i="3" s="1"/>
  <c r="S857" i="3" s="1"/>
  <c r="U856" i="3"/>
  <c r="Y855" i="3"/>
  <c r="T857" i="3" l="1"/>
  <c r="E857" i="3" l="1"/>
  <c r="H857" i="3" s="1"/>
  <c r="AG857" i="3"/>
  <c r="D857" i="3"/>
  <c r="AH857" i="3"/>
  <c r="K857" i="3" l="1"/>
  <c r="AE857" i="3" s="1"/>
  <c r="F857" i="3"/>
  <c r="G857" i="3"/>
  <c r="I857" i="3" l="1"/>
  <c r="J857" i="3"/>
  <c r="AD857" i="3" s="1"/>
  <c r="M857" i="3"/>
  <c r="N857" i="3" s="1"/>
  <c r="V857" i="3"/>
  <c r="A858" i="3"/>
  <c r="B858" i="3" s="1"/>
  <c r="W857" i="3" l="1"/>
  <c r="L857" i="3"/>
  <c r="AA858" i="3"/>
  <c r="Z858" i="3"/>
  <c r="P858" i="3"/>
  <c r="Q858" i="3" s="1"/>
  <c r="R858" i="3" s="1"/>
  <c r="S858" i="3" s="1"/>
  <c r="AC858" i="3"/>
  <c r="U857" i="3" l="1"/>
  <c r="Y856" i="3"/>
  <c r="T858" i="3"/>
  <c r="D858" i="3" l="1"/>
  <c r="G858" i="3" s="1"/>
  <c r="E858" i="3"/>
  <c r="H858" i="3" s="1"/>
  <c r="K858" i="3" s="1"/>
  <c r="AE858" i="3" s="1"/>
  <c r="AG858" i="3"/>
  <c r="AH858" i="3"/>
  <c r="F858" i="3" l="1"/>
  <c r="V858" i="3"/>
  <c r="A859" i="3"/>
  <c r="B859" i="3" s="1"/>
  <c r="I858" i="3"/>
  <c r="J858" i="3"/>
  <c r="AD858" i="3" s="1"/>
  <c r="M858" i="3"/>
  <c r="N858" i="3" s="1"/>
  <c r="W858" i="3" l="1"/>
  <c r="L858" i="3"/>
  <c r="AC859" i="3"/>
  <c r="P859" i="3"/>
  <c r="Q859" i="3" s="1"/>
  <c r="R859" i="3" s="1"/>
  <c r="S859" i="3" s="1"/>
  <c r="AA859" i="3"/>
  <c r="Z859" i="3"/>
  <c r="U858" i="3" l="1"/>
  <c r="Y857" i="3"/>
  <c r="T859" i="3"/>
  <c r="D859" i="3" l="1"/>
  <c r="G859" i="3" s="1"/>
  <c r="AH859" i="3"/>
  <c r="AG859" i="3"/>
  <c r="E859" i="3"/>
  <c r="H859" i="3" s="1"/>
  <c r="K859" i="3" s="1"/>
  <c r="AE859" i="3" s="1"/>
  <c r="F859" i="3" l="1"/>
  <c r="I859" i="3"/>
  <c r="J859" i="3"/>
  <c r="AD859" i="3" s="1"/>
  <c r="M859" i="3"/>
  <c r="N859" i="3" s="1"/>
  <c r="V859" i="3"/>
  <c r="A860" i="3"/>
  <c r="B860" i="3" s="1"/>
  <c r="W859" i="3" l="1"/>
  <c r="AC860" i="3"/>
  <c r="Z860" i="3"/>
  <c r="AA860" i="3"/>
  <c r="P860" i="3"/>
  <c r="Q860" i="3" s="1"/>
  <c r="R860" i="3" s="1"/>
  <c r="S860" i="3" s="1"/>
  <c r="L859" i="3"/>
  <c r="T860" i="3" l="1"/>
  <c r="U859" i="3"/>
  <c r="Y858" i="3"/>
  <c r="D860" i="3" l="1"/>
  <c r="G860" i="3" s="1"/>
  <c r="AG860" i="3"/>
  <c r="AH860" i="3"/>
  <c r="E860" i="3"/>
  <c r="H860" i="3" s="1"/>
  <c r="I860" i="3" l="1"/>
  <c r="J860" i="3"/>
  <c r="AD860" i="3" s="1"/>
  <c r="M860" i="3"/>
  <c r="N860" i="3" s="1"/>
  <c r="K860" i="3"/>
  <c r="AE860" i="3" s="1"/>
  <c r="F860" i="3"/>
  <c r="L860" i="3" l="1"/>
  <c r="V860" i="3"/>
  <c r="W860" i="3" s="1"/>
  <c r="A861" i="3"/>
  <c r="B861" i="3" s="1"/>
  <c r="U860" i="3" l="1"/>
  <c r="Y859" i="3"/>
  <c r="Z861" i="3"/>
  <c r="P861" i="3"/>
  <c r="Q861" i="3" s="1"/>
  <c r="R861" i="3" s="1"/>
  <c r="S861" i="3" s="1"/>
  <c r="AC861" i="3"/>
  <c r="AA861" i="3"/>
  <c r="T861" i="3" l="1"/>
  <c r="E861" i="3" s="1"/>
  <c r="H861" i="3" s="1"/>
  <c r="K861" i="3" l="1"/>
  <c r="AE861" i="3" s="1"/>
  <c r="D861" i="3"/>
  <c r="AH861" i="3"/>
  <c r="AG861" i="3"/>
  <c r="F861" i="3" l="1"/>
  <c r="G861" i="3"/>
  <c r="V861" i="3"/>
  <c r="A862" i="3"/>
  <c r="B862" i="3" s="1"/>
  <c r="Z862" i="3" l="1"/>
  <c r="P862" i="3"/>
  <c r="Q862" i="3" s="1"/>
  <c r="R862" i="3" s="1"/>
  <c r="S862" i="3" s="1"/>
  <c r="AC862" i="3"/>
  <c r="AA862" i="3"/>
  <c r="I861" i="3"/>
  <c r="W861" i="3" s="1"/>
  <c r="J861" i="3"/>
  <c r="AD861" i="3" s="1"/>
  <c r="M861" i="3"/>
  <c r="N861" i="3" s="1"/>
  <c r="T862" i="3" l="1"/>
  <c r="L861" i="3"/>
  <c r="AH862" i="3" l="1"/>
  <c r="U861" i="3"/>
  <c r="D862" i="3" s="1"/>
  <c r="AG862" i="3"/>
  <c r="Y860" i="3"/>
  <c r="E862" i="3" l="1"/>
  <c r="H862" i="3" s="1"/>
  <c r="K862" i="3" s="1"/>
  <c r="AE862" i="3" s="1"/>
  <c r="G862" i="3"/>
  <c r="F862" i="3" l="1"/>
  <c r="I862" i="3"/>
  <c r="J862" i="3"/>
  <c r="AD862" i="3" s="1"/>
  <c r="M862" i="3"/>
  <c r="N862" i="3" s="1"/>
  <c r="V862" i="3"/>
  <c r="A863" i="3"/>
  <c r="B863" i="3" s="1"/>
  <c r="W862" i="3" l="1"/>
  <c r="L862" i="3"/>
  <c r="AA863" i="3"/>
  <c r="Z863" i="3"/>
  <c r="P863" i="3"/>
  <c r="Q863" i="3" s="1"/>
  <c r="R863" i="3" s="1"/>
  <c r="S863" i="3" s="1"/>
  <c r="AC863" i="3"/>
  <c r="T863" i="3" l="1"/>
  <c r="U862" i="3"/>
  <c r="Y861" i="3"/>
  <c r="E863" i="3" l="1"/>
  <c r="H863" i="3" s="1"/>
  <c r="K863" i="3" s="1"/>
  <c r="AE863" i="3" s="1"/>
  <c r="D863" i="3"/>
  <c r="G863" i="3" s="1"/>
  <c r="AH863" i="3"/>
  <c r="AG863" i="3"/>
  <c r="F863" i="3" l="1"/>
  <c r="I863" i="3"/>
  <c r="J863" i="3"/>
  <c r="AD863" i="3" s="1"/>
  <c r="M863" i="3"/>
  <c r="N863" i="3" s="1"/>
  <c r="V863" i="3"/>
  <c r="A864" i="3"/>
  <c r="B864" i="3" s="1"/>
  <c r="W863" i="3" l="1"/>
  <c r="L863" i="3"/>
  <c r="AC864" i="3"/>
  <c r="Z864" i="3"/>
  <c r="AA864" i="3"/>
  <c r="P864" i="3"/>
  <c r="Q864" i="3" s="1"/>
  <c r="R864" i="3" s="1"/>
  <c r="S864" i="3" s="1"/>
  <c r="U863" i="3" l="1"/>
  <c r="Y862" i="3"/>
  <c r="T864" i="3"/>
  <c r="AH864" i="3" s="1"/>
  <c r="E864" i="3" l="1"/>
  <c r="H864" i="3" s="1"/>
  <c r="D864" i="3"/>
  <c r="AG864" i="3"/>
  <c r="K864" i="3" l="1"/>
  <c r="AE864" i="3" s="1"/>
  <c r="F864" i="3"/>
  <c r="G864" i="3"/>
  <c r="I864" i="3" l="1"/>
  <c r="J864" i="3"/>
  <c r="AD864" i="3" s="1"/>
  <c r="M864" i="3"/>
  <c r="N864" i="3" s="1"/>
  <c r="V864" i="3"/>
  <c r="A865" i="3"/>
  <c r="B865" i="3" s="1"/>
  <c r="W864" i="3" l="1"/>
  <c r="L864" i="3"/>
  <c r="AD865" i="3"/>
  <c r="P865" i="3"/>
  <c r="Q865" i="3" s="1"/>
  <c r="R865" i="3" s="1"/>
  <c r="S865" i="3" s="1"/>
  <c r="AC865" i="3"/>
  <c r="Z865" i="3"/>
  <c r="AA865" i="3"/>
  <c r="U864" i="3" l="1"/>
  <c r="Y863" i="3"/>
  <c r="T865" i="3"/>
  <c r="AG865" i="3" s="1"/>
  <c r="E865" i="3" l="1"/>
  <c r="H865" i="3" s="1"/>
  <c r="K865" i="3" s="1"/>
  <c r="AE865" i="3" s="1"/>
  <c r="D865" i="3"/>
  <c r="G865" i="3" s="1"/>
  <c r="AH865" i="3"/>
  <c r="F865" i="3" l="1"/>
  <c r="V865" i="3"/>
  <c r="A866" i="3"/>
  <c r="B866" i="3" s="1"/>
  <c r="I865" i="3"/>
  <c r="J865" i="3"/>
  <c r="M865" i="3"/>
  <c r="N865" i="3" s="1"/>
  <c r="W865" i="3" l="1"/>
  <c r="L865" i="3"/>
  <c r="P866" i="3"/>
  <c r="Q866" i="3" s="1"/>
  <c r="R866" i="3" s="1"/>
  <c r="S866" i="3" s="1"/>
  <c r="AA866" i="3"/>
  <c r="Z866" i="3"/>
  <c r="AC866" i="3"/>
  <c r="AD866" i="3"/>
  <c r="T866" i="3" l="1"/>
  <c r="U865" i="3"/>
  <c r="Y864" i="3"/>
  <c r="D866" i="3" l="1"/>
  <c r="G866" i="3" s="1"/>
  <c r="AG866" i="3"/>
  <c r="AH866" i="3"/>
  <c r="E866" i="3"/>
  <c r="H866" i="3" s="1"/>
  <c r="F866" i="3" l="1"/>
  <c r="K866" i="3"/>
  <c r="AE866" i="3" s="1"/>
  <c r="I866" i="3"/>
  <c r="J866" i="3"/>
  <c r="M866" i="3"/>
  <c r="N866" i="3" s="1"/>
  <c r="L866" i="3" l="1"/>
  <c r="V866" i="3"/>
  <c r="W866" i="3" s="1"/>
  <c r="A867" i="3"/>
  <c r="B867" i="3" s="1"/>
  <c r="Z867" i="3" l="1"/>
  <c r="AA867" i="3"/>
  <c r="P867" i="3"/>
  <c r="Q867" i="3" s="1"/>
  <c r="R867" i="3" s="1"/>
  <c r="S867" i="3" s="1"/>
  <c r="AC867" i="3"/>
  <c r="AD867" i="3"/>
  <c r="U866" i="3"/>
  <c r="Y865" i="3"/>
  <c r="T867" i="3" l="1"/>
  <c r="D867" i="3" s="1"/>
  <c r="AG867" i="3" l="1"/>
  <c r="E867" i="3"/>
  <c r="H867" i="3" s="1"/>
  <c r="K867" i="3" s="1"/>
  <c r="AE867" i="3" s="1"/>
  <c r="AH867" i="3"/>
  <c r="G867" i="3"/>
  <c r="F867" i="3" l="1"/>
  <c r="I867" i="3"/>
  <c r="J867" i="3"/>
  <c r="M867" i="3"/>
  <c r="N867" i="3" s="1"/>
  <c r="V867" i="3"/>
  <c r="A868" i="3"/>
  <c r="B868" i="3" s="1"/>
  <c r="W867" i="3" l="1"/>
  <c r="L867" i="3"/>
  <c r="AD868" i="3"/>
  <c r="Z868" i="3"/>
  <c r="AA868" i="3"/>
  <c r="AC868" i="3"/>
  <c r="P868" i="3"/>
  <c r="Q868" i="3" s="1"/>
  <c r="R868" i="3" s="1"/>
  <c r="S868" i="3" s="1"/>
  <c r="T868" i="3" l="1"/>
  <c r="U867" i="3"/>
  <c r="Y866" i="3"/>
  <c r="E868" i="3" l="1"/>
  <c r="H868" i="3" s="1"/>
  <c r="K868" i="3" s="1"/>
  <c r="AE868" i="3" s="1"/>
  <c r="AH868" i="3"/>
  <c r="D868" i="3"/>
  <c r="G868" i="3" s="1"/>
  <c r="AG868" i="3"/>
  <c r="F868" i="3" l="1"/>
  <c r="I868" i="3"/>
  <c r="J868" i="3"/>
  <c r="M868" i="3"/>
  <c r="N868" i="3" s="1"/>
  <c r="V868" i="3"/>
  <c r="A869" i="3"/>
  <c r="B869" i="3" s="1"/>
  <c r="W868" i="3" l="1"/>
  <c r="L868" i="3"/>
  <c r="P869" i="3"/>
  <c r="Q869" i="3" s="1"/>
  <c r="R869" i="3" s="1"/>
  <c r="S869" i="3" s="1"/>
  <c r="Z869" i="3"/>
  <c r="AC869" i="3"/>
  <c r="AA869" i="3"/>
  <c r="AD869" i="3"/>
  <c r="T869" i="3" l="1"/>
  <c r="U868" i="3"/>
  <c r="Y867" i="3"/>
  <c r="E869" i="3" l="1"/>
  <c r="H869" i="3" s="1"/>
  <c r="K869" i="3" s="1"/>
  <c r="AE869" i="3" s="1"/>
  <c r="AG869" i="3"/>
  <c r="D869" i="3"/>
  <c r="AH869" i="3"/>
  <c r="V869" i="3" l="1"/>
  <c r="A870" i="3"/>
  <c r="B870" i="3" s="1"/>
  <c r="F869" i="3"/>
  <c r="G869" i="3"/>
  <c r="I869" i="3" l="1"/>
  <c r="W869" i="3" s="1"/>
  <c r="J869" i="3"/>
  <c r="M869" i="3"/>
  <c r="N869" i="3" s="1"/>
  <c r="AD870" i="3"/>
  <c r="Z870" i="3"/>
  <c r="AA870" i="3"/>
  <c r="P870" i="3"/>
  <c r="Q870" i="3" s="1"/>
  <c r="R870" i="3" s="1"/>
  <c r="S870" i="3" s="1"/>
  <c r="AC870" i="3"/>
  <c r="L869" i="3" l="1"/>
  <c r="T870" i="3"/>
  <c r="U869" i="3" l="1"/>
  <c r="E870" i="3" s="1"/>
  <c r="H870" i="3" s="1"/>
  <c r="AH870" i="3"/>
  <c r="AG870" i="3"/>
  <c r="Y868" i="3"/>
  <c r="D870" i="3" l="1"/>
  <c r="G870" i="3" s="1"/>
  <c r="K870" i="3"/>
  <c r="AE870" i="3" s="1"/>
  <c r="F870" i="3" l="1"/>
  <c r="V870" i="3"/>
  <c r="A871" i="3"/>
  <c r="B871" i="3" s="1"/>
  <c r="I870" i="3"/>
  <c r="J870" i="3"/>
  <c r="M870" i="3"/>
  <c r="N870" i="3" s="1"/>
  <c r="W870" i="3" l="1"/>
  <c r="L870" i="3"/>
  <c r="Z871" i="3"/>
  <c r="P871" i="3"/>
  <c r="Q871" i="3" s="1"/>
  <c r="R871" i="3" s="1"/>
  <c r="S871" i="3" s="1"/>
  <c r="AD871" i="3"/>
  <c r="AA871" i="3"/>
  <c r="AC871" i="3"/>
  <c r="T871" i="3" l="1"/>
  <c r="AH871" i="3" s="1"/>
  <c r="U870" i="3"/>
  <c r="Y869" i="3"/>
  <c r="E871" i="3" l="1"/>
  <c r="H871" i="3" s="1"/>
  <c r="K871" i="3" s="1"/>
  <c r="AE871" i="3" s="1"/>
  <c r="AG871" i="3"/>
  <c r="D871" i="3"/>
  <c r="F871" i="3" l="1"/>
  <c r="G871" i="3"/>
  <c r="V871" i="3"/>
  <c r="A872" i="3"/>
  <c r="B872" i="3" s="1"/>
  <c r="AC872" i="3" l="1"/>
  <c r="AA872" i="3"/>
  <c r="P872" i="3"/>
  <c r="Q872" i="3" s="1"/>
  <c r="R872" i="3" s="1"/>
  <c r="S872" i="3" s="1"/>
  <c r="Z872" i="3"/>
  <c r="AD872" i="3"/>
  <c r="I871" i="3"/>
  <c r="W871" i="3" s="1"/>
  <c r="J871" i="3"/>
  <c r="M871" i="3"/>
  <c r="N871" i="3" s="1"/>
  <c r="L871" i="3" l="1"/>
  <c r="T872" i="3"/>
  <c r="AG872" i="3" l="1"/>
  <c r="AH872" i="3"/>
  <c r="U871" i="3"/>
  <c r="E872" i="3" s="1"/>
  <c r="H872" i="3" s="1"/>
  <c r="Y870" i="3"/>
  <c r="D872" i="3" l="1"/>
  <c r="G872" i="3" s="1"/>
  <c r="K872" i="3"/>
  <c r="AE872" i="3" s="1"/>
  <c r="F872" i="3" l="1"/>
  <c r="I872" i="3"/>
  <c r="J872" i="3"/>
  <c r="M872" i="3"/>
  <c r="N872" i="3" s="1"/>
  <c r="V872" i="3"/>
  <c r="A873" i="3"/>
  <c r="B873" i="3" s="1"/>
  <c r="W872" i="3" l="1"/>
  <c r="L872" i="3"/>
  <c r="AA873" i="3"/>
  <c r="AC873" i="3"/>
  <c r="AD873" i="3"/>
  <c r="P873" i="3"/>
  <c r="Q873" i="3" s="1"/>
  <c r="R873" i="3" s="1"/>
  <c r="S873" i="3" s="1"/>
  <c r="Z873" i="3"/>
  <c r="T873" i="3" l="1"/>
  <c r="AH873" i="3" s="1"/>
  <c r="U872" i="3"/>
  <c r="Y871" i="3"/>
  <c r="AG873" i="3" l="1"/>
  <c r="E873" i="3"/>
  <c r="H873" i="3" s="1"/>
  <c r="D873" i="3"/>
  <c r="K873" i="3" l="1"/>
  <c r="AE873" i="3" s="1"/>
  <c r="F873" i="3"/>
  <c r="G873" i="3"/>
  <c r="I873" i="3" l="1"/>
  <c r="J873" i="3"/>
  <c r="M873" i="3"/>
  <c r="N873" i="3" s="1"/>
  <c r="V873" i="3"/>
  <c r="A874" i="3"/>
  <c r="B874" i="3" s="1"/>
  <c r="W873" i="3" l="1"/>
  <c r="L873" i="3"/>
  <c r="AA874" i="3"/>
  <c r="P874" i="3"/>
  <c r="Q874" i="3" s="1"/>
  <c r="R874" i="3" s="1"/>
  <c r="S874" i="3" s="1"/>
  <c r="Z874" i="3"/>
  <c r="AC874" i="3"/>
  <c r="T874" i="3" l="1"/>
  <c r="AH874" i="3" s="1"/>
  <c r="U873" i="3"/>
  <c r="Y872" i="3"/>
  <c r="E874" i="3" l="1"/>
  <c r="H874" i="3" s="1"/>
  <c r="D874" i="3"/>
  <c r="AG874" i="3"/>
  <c r="K874" i="3" l="1"/>
  <c r="AE874" i="3" s="1"/>
  <c r="F874" i="3"/>
  <c r="G874" i="3"/>
  <c r="I874" i="3" l="1"/>
  <c r="J874" i="3"/>
  <c r="AD874" i="3" s="1"/>
  <c r="M874" i="3"/>
  <c r="N874" i="3" s="1"/>
  <c r="V874" i="3"/>
  <c r="A875" i="3"/>
  <c r="B875" i="3" s="1"/>
  <c r="W874" i="3" l="1"/>
  <c r="L874" i="3"/>
  <c r="AA875" i="3"/>
  <c r="Z875" i="3"/>
  <c r="P875" i="3"/>
  <c r="Q875" i="3" s="1"/>
  <c r="R875" i="3" s="1"/>
  <c r="S875" i="3" s="1"/>
  <c r="AD875" i="3"/>
  <c r="AC875" i="3"/>
  <c r="T875" i="3" l="1"/>
  <c r="U874" i="3"/>
  <c r="Y873" i="3"/>
  <c r="D875" i="3" l="1"/>
  <c r="G875" i="3" s="1"/>
  <c r="E875" i="3"/>
  <c r="H875" i="3" s="1"/>
  <c r="K875" i="3" s="1"/>
  <c r="AE875" i="3" s="1"/>
  <c r="AH875" i="3"/>
  <c r="AG875" i="3"/>
  <c r="F875" i="3" l="1"/>
  <c r="V875" i="3"/>
  <c r="A876" i="3"/>
  <c r="B876" i="3" s="1"/>
  <c r="I875" i="3"/>
  <c r="J875" i="3"/>
  <c r="M875" i="3"/>
  <c r="N875" i="3" s="1"/>
  <c r="W875" i="3" l="1"/>
  <c r="L875" i="3"/>
  <c r="AC876" i="3"/>
  <c r="P876" i="3"/>
  <c r="Q876" i="3" s="1"/>
  <c r="R876" i="3" s="1"/>
  <c r="S876" i="3" s="1"/>
  <c r="Z876" i="3"/>
  <c r="AA876" i="3"/>
  <c r="AD876" i="3"/>
  <c r="U875" i="3" l="1"/>
  <c r="Y874" i="3"/>
  <c r="T876" i="3"/>
  <c r="AG876" i="3" s="1"/>
  <c r="D876" i="3" l="1"/>
  <c r="E876" i="3"/>
  <c r="H876" i="3" s="1"/>
  <c r="AH876" i="3"/>
  <c r="K876" i="3" l="1"/>
  <c r="AE876" i="3" s="1"/>
  <c r="F876" i="3"/>
  <c r="G876" i="3"/>
  <c r="I876" i="3" l="1"/>
  <c r="J876" i="3"/>
  <c r="M876" i="3"/>
  <c r="N876" i="3" s="1"/>
  <c r="V876" i="3"/>
  <c r="A877" i="3"/>
  <c r="B877" i="3" s="1"/>
  <c r="W876" i="3" l="1"/>
  <c r="L876" i="3"/>
  <c r="P877" i="3"/>
  <c r="Q877" i="3" s="1"/>
  <c r="R877" i="3" s="1"/>
  <c r="S877" i="3" s="1"/>
  <c r="AA877" i="3"/>
  <c r="Z877" i="3"/>
  <c r="AD877" i="3"/>
  <c r="AC877" i="3"/>
  <c r="U876" i="3" l="1"/>
  <c r="Y875" i="3"/>
  <c r="T877" i="3"/>
  <c r="D877" i="3" l="1"/>
  <c r="G877" i="3" s="1"/>
  <c r="AH877" i="3"/>
  <c r="AG877" i="3"/>
  <c r="E877" i="3"/>
  <c r="H877" i="3" s="1"/>
  <c r="I877" i="3" l="1"/>
  <c r="J877" i="3"/>
  <c r="M877" i="3"/>
  <c r="N877" i="3" s="1"/>
  <c r="K877" i="3"/>
  <c r="AE877" i="3" s="1"/>
  <c r="F877" i="3"/>
  <c r="V877" i="3" l="1"/>
  <c r="W877" i="3" s="1"/>
  <c r="A878" i="3"/>
  <c r="B878" i="3" s="1"/>
  <c r="L877" i="3"/>
  <c r="U877" i="3" l="1"/>
  <c r="Y876" i="3"/>
  <c r="Z878" i="3"/>
  <c r="AD878" i="3"/>
  <c r="AC878" i="3"/>
  <c r="AA878" i="3"/>
  <c r="P878" i="3"/>
  <c r="Q878" i="3" s="1"/>
  <c r="R878" i="3" s="1"/>
  <c r="S878" i="3" s="1"/>
  <c r="T878" i="3" l="1"/>
  <c r="E878" i="3" s="1"/>
  <c r="H878" i="3" s="1"/>
  <c r="D878" i="3" l="1"/>
  <c r="G878" i="3" s="1"/>
  <c r="AG878" i="3"/>
  <c r="AH878" i="3"/>
  <c r="K878" i="3"/>
  <c r="AE878" i="3" s="1"/>
  <c r="F878" i="3" l="1"/>
  <c r="I878" i="3"/>
  <c r="J878" i="3"/>
  <c r="M878" i="3"/>
  <c r="N878" i="3" s="1"/>
  <c r="V878" i="3"/>
  <c r="A879" i="3"/>
  <c r="B879" i="3" s="1"/>
  <c r="W878" i="3" l="1"/>
  <c r="L878" i="3"/>
  <c r="AC879" i="3"/>
  <c r="AD879" i="3"/>
  <c r="P879" i="3"/>
  <c r="Q879" i="3" s="1"/>
  <c r="R879" i="3" s="1"/>
  <c r="S879" i="3" s="1"/>
  <c r="AA879" i="3"/>
  <c r="Z879" i="3"/>
  <c r="T879" i="3" l="1"/>
  <c r="AG879" i="3" s="1"/>
  <c r="U878" i="3"/>
  <c r="Y877" i="3"/>
  <c r="E879" i="3" l="1"/>
  <c r="H879" i="3" s="1"/>
  <c r="D879" i="3"/>
  <c r="AH879" i="3"/>
  <c r="F879" i="3" l="1"/>
  <c r="G879" i="3"/>
  <c r="K879" i="3"/>
  <c r="AE879" i="3" s="1"/>
  <c r="I879" i="3" l="1"/>
  <c r="J879" i="3"/>
  <c r="M879" i="3"/>
  <c r="N879" i="3" s="1"/>
  <c r="V879" i="3"/>
  <c r="A880" i="3"/>
  <c r="B880" i="3" s="1"/>
  <c r="W879" i="3" l="1"/>
  <c r="L879" i="3"/>
  <c r="AD880" i="3"/>
  <c r="AA880" i="3"/>
  <c r="AC880" i="3"/>
  <c r="Z880" i="3"/>
  <c r="P880" i="3"/>
  <c r="Q880" i="3" s="1"/>
  <c r="R880" i="3" s="1"/>
  <c r="S880" i="3" s="1"/>
  <c r="T880" i="3" l="1"/>
  <c r="AG880" i="3" s="1"/>
  <c r="U879" i="3"/>
  <c r="Y878" i="3"/>
  <c r="D880" i="3" l="1"/>
  <c r="AH880" i="3"/>
  <c r="E880" i="3"/>
  <c r="H880" i="3" s="1"/>
  <c r="F880" i="3" l="1"/>
  <c r="G880" i="3"/>
  <c r="K880" i="3"/>
  <c r="AE880" i="3" s="1"/>
  <c r="V880" i="3" l="1"/>
  <c r="A881" i="3"/>
  <c r="B881" i="3" s="1"/>
  <c r="I880" i="3"/>
  <c r="J880" i="3"/>
  <c r="M880" i="3"/>
  <c r="N880" i="3" s="1"/>
  <c r="W880" i="3" l="1"/>
  <c r="L880" i="3"/>
  <c r="AA881" i="3"/>
  <c r="AD881" i="3"/>
  <c r="P881" i="3"/>
  <c r="Q881" i="3" s="1"/>
  <c r="R881" i="3" s="1"/>
  <c r="S881" i="3" s="1"/>
  <c r="Z881" i="3"/>
  <c r="AC881" i="3"/>
  <c r="U880" i="3" l="1"/>
  <c r="Y879" i="3"/>
  <c r="T881" i="3"/>
  <c r="E881" i="3" l="1"/>
  <c r="H881" i="3" s="1"/>
  <c r="K881" i="3" s="1"/>
  <c r="AE881" i="3" s="1"/>
  <c r="D881" i="3"/>
  <c r="AG881" i="3"/>
  <c r="AH881" i="3"/>
  <c r="F881" i="3" l="1"/>
  <c r="G881" i="3"/>
  <c r="I881" i="3" s="1"/>
  <c r="V881" i="3"/>
  <c r="A882" i="3"/>
  <c r="B882" i="3" s="1"/>
  <c r="W881" i="3" l="1"/>
  <c r="M881" i="3"/>
  <c r="N881" i="3" s="1"/>
  <c r="J881" i="3"/>
  <c r="L881" i="3" s="1"/>
  <c r="Z882" i="3"/>
  <c r="P882" i="3"/>
  <c r="Q882" i="3" s="1"/>
  <c r="R882" i="3" s="1"/>
  <c r="S882" i="3" s="1"/>
  <c r="AD882" i="3"/>
  <c r="AC882" i="3"/>
  <c r="AA882" i="3"/>
  <c r="T882" i="3" l="1"/>
  <c r="AG882" i="3" s="1"/>
  <c r="U881" i="3"/>
  <c r="Y880" i="3"/>
  <c r="AH882" i="3" l="1"/>
  <c r="D882" i="3"/>
  <c r="E882" i="3"/>
  <c r="H882" i="3" s="1"/>
  <c r="F882" i="3" l="1"/>
  <c r="G882" i="3"/>
  <c r="K882" i="3"/>
  <c r="AE882" i="3" s="1"/>
  <c r="I882" i="3" l="1"/>
  <c r="J882" i="3"/>
  <c r="M882" i="3"/>
  <c r="N882" i="3" s="1"/>
  <c r="V882" i="3"/>
  <c r="A883" i="3"/>
  <c r="B883" i="3" s="1"/>
  <c r="W882" i="3" l="1"/>
  <c r="L882" i="3"/>
  <c r="AC883" i="3"/>
  <c r="AA883" i="3"/>
  <c r="Z883" i="3"/>
  <c r="AD883" i="3"/>
  <c r="P883" i="3"/>
  <c r="Q883" i="3" s="1"/>
  <c r="R883" i="3" s="1"/>
  <c r="S883" i="3" s="1"/>
  <c r="T883" i="3" l="1"/>
  <c r="AG883" i="3" s="1"/>
  <c r="U882" i="3"/>
  <c r="Y881" i="3"/>
  <c r="E883" i="3" l="1"/>
  <c r="H883" i="3" s="1"/>
  <c r="K883" i="3" s="1"/>
  <c r="AE883" i="3" s="1"/>
  <c r="D883" i="3"/>
  <c r="AH883" i="3"/>
  <c r="V883" i="3" l="1"/>
  <c r="A884" i="3"/>
  <c r="B884" i="3" s="1"/>
  <c r="F883" i="3"/>
  <c r="G883" i="3"/>
  <c r="I883" i="3" l="1"/>
  <c r="W883" i="3" s="1"/>
  <c r="J883" i="3"/>
  <c r="M883" i="3"/>
  <c r="N883" i="3" s="1"/>
  <c r="AA884" i="3"/>
  <c r="Z884" i="3"/>
  <c r="P884" i="3"/>
  <c r="Q884" i="3" s="1"/>
  <c r="R884" i="3" s="1"/>
  <c r="S884" i="3" s="1"/>
  <c r="AC884" i="3"/>
  <c r="T884" i="3" l="1"/>
  <c r="L883" i="3"/>
  <c r="AG884" i="3" l="1"/>
  <c r="U883" i="3"/>
  <c r="D884" i="3" s="1"/>
  <c r="AH884" i="3"/>
  <c r="Y882" i="3"/>
  <c r="E884" i="3" l="1"/>
  <c r="H884" i="3" s="1"/>
  <c r="K884" i="3" s="1"/>
  <c r="AE884" i="3" s="1"/>
  <c r="G884" i="3"/>
  <c r="F884" i="3" l="1"/>
  <c r="V884" i="3"/>
  <c r="A885" i="3"/>
  <c r="B885" i="3" s="1"/>
  <c r="I884" i="3"/>
  <c r="J884" i="3"/>
  <c r="AD884" i="3" s="1"/>
  <c r="M884" i="3"/>
  <c r="N884" i="3" s="1"/>
  <c r="W884" i="3" l="1"/>
  <c r="L884" i="3"/>
  <c r="P885" i="3"/>
  <c r="Q885" i="3" s="1"/>
  <c r="R885" i="3" s="1"/>
  <c r="S885" i="3" s="1"/>
  <c r="AD885" i="3"/>
  <c r="Z885" i="3"/>
  <c r="AC885" i="3"/>
  <c r="AA885" i="3"/>
  <c r="U884" i="3" l="1"/>
  <c r="Y883" i="3"/>
  <c r="T885" i="3"/>
  <c r="AH885" i="3" s="1"/>
  <c r="D885" i="3" l="1"/>
  <c r="G885" i="3" s="1"/>
  <c r="E885" i="3"/>
  <c r="H885" i="3" s="1"/>
  <c r="K885" i="3" s="1"/>
  <c r="AE885" i="3" s="1"/>
  <c r="AG885" i="3"/>
  <c r="F885" i="3" l="1"/>
  <c r="V885" i="3"/>
  <c r="A886" i="3"/>
  <c r="B886" i="3" s="1"/>
  <c r="I885" i="3"/>
  <c r="J885" i="3"/>
  <c r="M885" i="3"/>
  <c r="N885" i="3" s="1"/>
  <c r="W885" i="3" l="1"/>
  <c r="L885" i="3"/>
  <c r="P886" i="3"/>
  <c r="Q886" i="3" s="1"/>
  <c r="R886" i="3" s="1"/>
  <c r="S886" i="3" s="1"/>
  <c r="AA886" i="3"/>
  <c r="AC886" i="3"/>
  <c r="AD886" i="3"/>
  <c r="Z886" i="3"/>
  <c r="U885" i="3" l="1"/>
  <c r="Y884" i="3"/>
  <c r="T886" i="3"/>
  <c r="E886" i="3" l="1"/>
  <c r="H886" i="3" s="1"/>
  <c r="K886" i="3" s="1"/>
  <c r="AE886" i="3" s="1"/>
  <c r="AH886" i="3"/>
  <c r="AG886" i="3"/>
  <c r="D886" i="3"/>
  <c r="F886" i="3" l="1"/>
  <c r="G886" i="3"/>
  <c r="V886" i="3"/>
  <c r="A887" i="3"/>
  <c r="B887" i="3" s="1"/>
  <c r="I886" i="3" l="1"/>
  <c r="W886" i="3" s="1"/>
  <c r="J886" i="3"/>
  <c r="M886" i="3"/>
  <c r="N886" i="3" s="1"/>
  <c r="P887" i="3"/>
  <c r="Q887" i="3" s="1"/>
  <c r="R887" i="3" s="1"/>
  <c r="S887" i="3" s="1"/>
  <c r="Z887" i="3"/>
  <c r="AD887" i="3"/>
  <c r="AA887" i="3"/>
  <c r="AC887" i="3"/>
  <c r="T887" i="3" l="1"/>
  <c r="L886" i="3"/>
  <c r="AG887" i="3" l="1"/>
  <c r="AH887" i="3"/>
  <c r="U886" i="3"/>
  <c r="D887" i="3" s="1"/>
  <c r="Y885" i="3"/>
  <c r="E887" i="3" l="1"/>
  <c r="H887" i="3" s="1"/>
  <c r="K887" i="3" s="1"/>
  <c r="AE887" i="3" s="1"/>
  <c r="G887" i="3"/>
  <c r="F887" i="3" l="1"/>
  <c r="I887" i="3"/>
  <c r="J887" i="3"/>
  <c r="M887" i="3"/>
  <c r="N887" i="3" s="1"/>
  <c r="V887" i="3"/>
  <c r="A888" i="3"/>
  <c r="B888" i="3" s="1"/>
  <c r="W887" i="3" l="1"/>
  <c r="L887" i="3"/>
  <c r="AC888" i="3"/>
  <c r="AD888" i="3"/>
  <c r="AA888" i="3"/>
  <c r="Z888" i="3"/>
  <c r="P888" i="3"/>
  <c r="Q888" i="3" s="1"/>
  <c r="R888" i="3" s="1"/>
  <c r="S888" i="3" s="1"/>
  <c r="T888" i="3" l="1"/>
  <c r="U887" i="3"/>
  <c r="Y886" i="3"/>
  <c r="E888" i="3" l="1"/>
  <c r="H888" i="3" s="1"/>
  <c r="K888" i="3" s="1"/>
  <c r="AE888" i="3" s="1"/>
  <c r="D888" i="3"/>
  <c r="G888" i="3" s="1"/>
  <c r="AG888" i="3"/>
  <c r="AH888" i="3"/>
  <c r="F888" i="3" l="1"/>
  <c r="I888" i="3"/>
  <c r="J888" i="3"/>
  <c r="M888" i="3"/>
  <c r="N888" i="3" s="1"/>
  <c r="V888" i="3"/>
  <c r="A889" i="3"/>
  <c r="B889" i="3" s="1"/>
  <c r="W888" i="3" l="1"/>
  <c r="L888" i="3"/>
  <c r="AA889" i="3"/>
  <c r="Z889" i="3"/>
  <c r="AD889" i="3"/>
  <c r="P889" i="3"/>
  <c r="Q889" i="3" s="1"/>
  <c r="R889" i="3" s="1"/>
  <c r="S889" i="3" s="1"/>
  <c r="AC889" i="3"/>
  <c r="T889" i="3" l="1"/>
  <c r="AG889" i="3" s="1"/>
  <c r="U888" i="3"/>
  <c r="Y887" i="3"/>
  <c r="AH889" i="3" l="1"/>
  <c r="D889" i="3"/>
  <c r="G889" i="3" s="1"/>
  <c r="E889" i="3"/>
  <c r="H889" i="3" s="1"/>
  <c r="I889" i="3" l="1"/>
  <c r="J889" i="3"/>
  <c r="M889" i="3"/>
  <c r="N889" i="3" s="1"/>
  <c r="K889" i="3"/>
  <c r="AE889" i="3" s="1"/>
  <c r="F889" i="3"/>
  <c r="L889" i="3" l="1"/>
  <c r="V889" i="3"/>
  <c r="W889" i="3" s="1"/>
  <c r="A890" i="3"/>
  <c r="B890" i="3" s="1"/>
  <c r="AA890" i="3" l="1"/>
  <c r="P890" i="3"/>
  <c r="Q890" i="3" s="1"/>
  <c r="R890" i="3" s="1"/>
  <c r="S890" i="3" s="1"/>
  <c r="Z890" i="3"/>
  <c r="AC890" i="3"/>
  <c r="AD890" i="3"/>
  <c r="U889" i="3"/>
  <c r="Y888" i="3"/>
  <c r="T890" i="3" l="1"/>
  <c r="AG890" i="3" s="1"/>
  <c r="E890" i="3" l="1"/>
  <c r="H890" i="3" s="1"/>
  <c r="K890" i="3" s="1"/>
  <c r="AE890" i="3" s="1"/>
  <c r="AH890" i="3"/>
  <c r="D890" i="3"/>
  <c r="F890" i="3" l="1"/>
  <c r="G890" i="3"/>
  <c r="V890" i="3"/>
  <c r="A891" i="3"/>
  <c r="B891" i="3" s="1"/>
  <c r="AD891" i="3" l="1"/>
  <c r="P891" i="3"/>
  <c r="Q891" i="3" s="1"/>
  <c r="R891" i="3" s="1"/>
  <c r="S891" i="3" s="1"/>
  <c r="AC891" i="3"/>
  <c r="Z891" i="3"/>
  <c r="AA891" i="3"/>
  <c r="I890" i="3"/>
  <c r="W890" i="3" s="1"/>
  <c r="J890" i="3"/>
  <c r="M890" i="3"/>
  <c r="N890" i="3" s="1"/>
  <c r="L890" i="3" l="1"/>
  <c r="T891" i="3"/>
  <c r="U890" i="3" l="1"/>
  <c r="D891" i="3" s="1"/>
  <c r="AH891" i="3"/>
  <c r="AG891" i="3"/>
  <c r="Y889" i="3"/>
  <c r="E891" i="3" l="1"/>
  <c r="H891" i="3" s="1"/>
  <c r="K891" i="3" s="1"/>
  <c r="AE891" i="3" s="1"/>
  <c r="G891" i="3"/>
  <c r="F891" i="3" l="1"/>
  <c r="I891" i="3"/>
  <c r="J891" i="3"/>
  <c r="M891" i="3"/>
  <c r="N891" i="3" s="1"/>
  <c r="V891" i="3"/>
  <c r="A892" i="3"/>
  <c r="B892" i="3" s="1"/>
  <c r="W891" i="3" l="1"/>
  <c r="L891" i="3"/>
  <c r="P892" i="3"/>
  <c r="Q892" i="3" s="1"/>
  <c r="R892" i="3" s="1"/>
  <c r="S892" i="3" s="1"/>
  <c r="AC892" i="3"/>
  <c r="AD892" i="3"/>
  <c r="Z892" i="3"/>
  <c r="AA892" i="3"/>
  <c r="U891" i="3" l="1"/>
  <c r="Y890" i="3"/>
  <c r="T892" i="3"/>
  <c r="AG892" i="3" s="1"/>
  <c r="AH892" i="3" l="1"/>
  <c r="D892" i="3"/>
  <c r="G892" i="3" s="1"/>
  <c r="E892" i="3"/>
  <c r="H892" i="3" s="1"/>
  <c r="F892" i="3" l="1"/>
  <c r="I892" i="3"/>
  <c r="J892" i="3"/>
  <c r="M892" i="3"/>
  <c r="N892" i="3" s="1"/>
  <c r="K892" i="3"/>
  <c r="AE892" i="3" s="1"/>
  <c r="V892" i="3" l="1"/>
  <c r="W892" i="3" s="1"/>
  <c r="A893" i="3"/>
  <c r="B893" i="3" s="1"/>
  <c r="L892" i="3"/>
  <c r="U892" i="3" l="1"/>
  <c r="Y891" i="3"/>
  <c r="AC893" i="3"/>
  <c r="P893" i="3"/>
  <c r="Q893" i="3" s="1"/>
  <c r="R893" i="3" s="1"/>
  <c r="S893" i="3" s="1"/>
  <c r="AD893" i="3"/>
  <c r="AA893" i="3"/>
  <c r="Z893" i="3"/>
  <c r="T893" i="3" l="1"/>
  <c r="E893" i="3" s="1"/>
  <c r="H893" i="3" s="1"/>
  <c r="AH893" i="3" l="1"/>
  <c r="D893" i="3"/>
  <c r="F893" i="3" s="1"/>
  <c r="AG893" i="3"/>
  <c r="K893" i="3"/>
  <c r="AE893" i="3" s="1"/>
  <c r="G893" i="3" l="1"/>
  <c r="M893" i="3" s="1"/>
  <c r="N893" i="3" s="1"/>
  <c r="V893" i="3"/>
  <c r="A894" i="3"/>
  <c r="B894" i="3" s="1"/>
  <c r="I893" i="3" l="1"/>
  <c r="W893" i="3" s="1"/>
  <c r="J893" i="3"/>
  <c r="L893" i="3" s="1"/>
  <c r="Z894" i="3"/>
  <c r="P894" i="3"/>
  <c r="Q894" i="3" s="1"/>
  <c r="R894" i="3" s="1"/>
  <c r="S894" i="3" s="1"/>
  <c r="AC894" i="3"/>
  <c r="AA894" i="3"/>
  <c r="U893" i="3" l="1"/>
  <c r="Y892" i="3"/>
  <c r="T894" i="3"/>
  <c r="AH894" i="3" s="1"/>
  <c r="D894" i="3" l="1"/>
  <c r="G894" i="3" s="1"/>
  <c r="AG894" i="3"/>
  <c r="E894" i="3"/>
  <c r="H894" i="3" s="1"/>
  <c r="F894" i="3" l="1"/>
  <c r="I894" i="3"/>
  <c r="J894" i="3"/>
  <c r="AD894" i="3" s="1"/>
  <c r="M894" i="3"/>
  <c r="N894" i="3" s="1"/>
  <c r="K894" i="3"/>
  <c r="AE894" i="3" s="1"/>
  <c r="V894" i="3" l="1"/>
  <c r="W894" i="3" s="1"/>
  <c r="A895" i="3"/>
  <c r="B895" i="3" s="1"/>
  <c r="L894" i="3"/>
  <c r="U894" i="3" l="1"/>
  <c r="Y893" i="3"/>
  <c r="AD895" i="3"/>
  <c r="P895" i="3"/>
  <c r="Q895" i="3" s="1"/>
  <c r="R895" i="3" s="1"/>
  <c r="S895" i="3" s="1"/>
  <c r="AA895" i="3"/>
  <c r="AC895" i="3"/>
  <c r="Z895" i="3"/>
  <c r="T895" i="3" l="1"/>
  <c r="AH895" i="3" s="1"/>
  <c r="E895" i="3" l="1"/>
  <c r="H895" i="3" s="1"/>
  <c r="K895" i="3" s="1"/>
  <c r="AE895" i="3" s="1"/>
  <c r="D895" i="3"/>
  <c r="AG895" i="3"/>
  <c r="F895" i="3" l="1"/>
  <c r="G895" i="3"/>
  <c r="V895" i="3"/>
  <c r="A896" i="3"/>
  <c r="B896" i="3" s="1"/>
  <c r="I895" i="3" l="1"/>
  <c r="W895" i="3" s="1"/>
  <c r="J895" i="3"/>
  <c r="M895" i="3"/>
  <c r="N895" i="3" s="1"/>
  <c r="Z896" i="3"/>
  <c r="P896" i="3"/>
  <c r="Q896" i="3" s="1"/>
  <c r="R896" i="3" s="1"/>
  <c r="S896" i="3" s="1"/>
  <c r="AC896" i="3"/>
  <c r="AD896" i="3"/>
  <c r="AA896" i="3"/>
  <c r="T896" i="3" l="1"/>
  <c r="L895" i="3"/>
  <c r="AG896" i="3" l="1"/>
  <c r="AH896" i="3"/>
  <c r="U895" i="3"/>
  <c r="E896" i="3" s="1"/>
  <c r="H896" i="3" s="1"/>
  <c r="Y894" i="3"/>
  <c r="D896" i="3" l="1"/>
  <c r="G896" i="3" s="1"/>
  <c r="K896" i="3"/>
  <c r="AE896" i="3" s="1"/>
  <c r="F896" i="3" l="1"/>
  <c r="V896" i="3"/>
  <c r="A897" i="3"/>
  <c r="B897" i="3" s="1"/>
  <c r="I896" i="3"/>
  <c r="J896" i="3"/>
  <c r="M896" i="3"/>
  <c r="N896" i="3" s="1"/>
  <c r="W896" i="3" l="1"/>
  <c r="L896" i="3"/>
  <c r="Z897" i="3"/>
  <c r="AC897" i="3"/>
  <c r="AA897" i="3"/>
  <c r="P897" i="3"/>
  <c r="Q897" i="3" s="1"/>
  <c r="R897" i="3" s="1"/>
  <c r="S897" i="3" s="1"/>
  <c r="AD897" i="3"/>
  <c r="U896" i="3" l="1"/>
  <c r="Y895" i="3"/>
  <c r="T897" i="3"/>
  <c r="D897" i="3" l="1"/>
  <c r="E897" i="3"/>
  <c r="H897" i="3" s="1"/>
  <c r="AH897" i="3"/>
  <c r="AG897" i="3"/>
  <c r="F897" i="3" l="1"/>
  <c r="G897" i="3"/>
  <c r="M897" i="3" s="1"/>
  <c r="N897" i="3" s="1"/>
  <c r="K897" i="3"/>
  <c r="AE897" i="3" s="1"/>
  <c r="I897" i="3" l="1"/>
  <c r="J897" i="3"/>
  <c r="L897" i="3" s="1"/>
  <c r="V897" i="3"/>
  <c r="A898" i="3"/>
  <c r="B898" i="3" s="1"/>
  <c r="W897" i="3" l="1"/>
  <c r="AA898" i="3"/>
  <c r="AD898" i="3"/>
  <c r="P898" i="3"/>
  <c r="Q898" i="3" s="1"/>
  <c r="R898" i="3" s="1"/>
  <c r="S898" i="3" s="1"/>
  <c r="Z898" i="3"/>
  <c r="AC898" i="3"/>
  <c r="U897" i="3"/>
  <c r="Y896" i="3"/>
  <c r="T898" i="3" l="1"/>
  <c r="D898" i="3" s="1"/>
  <c r="G898" i="3" l="1"/>
  <c r="AG898" i="3"/>
  <c r="E898" i="3"/>
  <c r="H898" i="3" s="1"/>
  <c r="AH898" i="3"/>
  <c r="F898" i="3" l="1"/>
  <c r="I898" i="3"/>
  <c r="J898" i="3"/>
  <c r="M898" i="3"/>
  <c r="N898" i="3" s="1"/>
  <c r="K898" i="3"/>
  <c r="AE898" i="3" s="1"/>
  <c r="V898" i="3" l="1"/>
  <c r="W898" i="3" s="1"/>
  <c r="A899" i="3"/>
  <c r="B899" i="3" s="1"/>
  <c r="L898" i="3"/>
  <c r="U898" i="3" l="1"/>
  <c r="Y897" i="3"/>
  <c r="AC899" i="3"/>
  <c r="Z899" i="3"/>
  <c r="P899" i="3"/>
  <c r="Q899" i="3" s="1"/>
  <c r="R899" i="3" s="1"/>
  <c r="S899" i="3" s="1"/>
  <c r="AD899" i="3"/>
  <c r="AA899" i="3"/>
  <c r="T899" i="3" l="1"/>
  <c r="E899" i="3" s="1"/>
  <c r="H899" i="3" s="1"/>
  <c r="D899" i="3" l="1"/>
  <c r="G899" i="3" s="1"/>
  <c r="AG899" i="3"/>
  <c r="AH899" i="3"/>
  <c r="K899" i="3"/>
  <c r="AE899" i="3" s="1"/>
  <c r="F899" i="3" l="1"/>
  <c r="I899" i="3"/>
  <c r="J899" i="3"/>
  <c r="M899" i="3"/>
  <c r="N899" i="3" s="1"/>
  <c r="V899" i="3"/>
  <c r="A900" i="3"/>
  <c r="B900" i="3" s="1"/>
  <c r="W899" i="3" l="1"/>
  <c r="L899" i="3"/>
  <c r="P900" i="3"/>
  <c r="Q900" i="3" s="1"/>
  <c r="R900" i="3" s="1"/>
  <c r="S900" i="3" s="1"/>
  <c r="AC900" i="3"/>
  <c r="Z900" i="3"/>
  <c r="AD900" i="3"/>
  <c r="AA900" i="3"/>
  <c r="U899" i="3" l="1"/>
  <c r="Y898" i="3"/>
  <c r="T900" i="3"/>
  <c r="D900" i="3" l="1"/>
  <c r="G900" i="3" s="1"/>
  <c r="AH900" i="3"/>
  <c r="AG900" i="3"/>
  <c r="E900" i="3"/>
  <c r="H900" i="3" s="1"/>
  <c r="K900" i="3" s="1"/>
  <c r="AE900" i="3" s="1"/>
  <c r="F900" i="3" l="1"/>
  <c r="V900" i="3"/>
  <c r="A901" i="3"/>
  <c r="B901" i="3" s="1"/>
  <c r="I900" i="3"/>
  <c r="J900" i="3"/>
  <c r="M900" i="3"/>
  <c r="N900" i="3" s="1"/>
  <c r="L900" i="3" l="1"/>
  <c r="W900" i="3"/>
  <c r="AD901" i="3"/>
  <c r="P901" i="3"/>
  <c r="Q901" i="3" s="1"/>
  <c r="R901" i="3" s="1"/>
  <c r="S901" i="3" s="1"/>
  <c r="AA901" i="3"/>
  <c r="AC901" i="3"/>
  <c r="Z901" i="3"/>
  <c r="U900" i="3" l="1"/>
  <c r="Y899" i="3"/>
  <c r="T901" i="3"/>
  <c r="E901" i="3" l="1"/>
  <c r="H901" i="3" s="1"/>
  <c r="K901" i="3" s="1"/>
  <c r="AE901" i="3" s="1"/>
  <c r="AG901" i="3"/>
  <c r="D901" i="3"/>
  <c r="AH901" i="3"/>
  <c r="F901" i="3" l="1"/>
  <c r="G901" i="3"/>
  <c r="V901" i="3"/>
  <c r="A902" i="3"/>
  <c r="B902" i="3" s="1"/>
  <c r="AD902" i="3" l="1"/>
  <c r="AC902" i="3"/>
  <c r="P902" i="3"/>
  <c r="Q902" i="3" s="1"/>
  <c r="R902" i="3" s="1"/>
  <c r="S902" i="3" s="1"/>
  <c r="Z902" i="3"/>
  <c r="AA902" i="3"/>
  <c r="I901" i="3"/>
  <c r="W901" i="3" s="1"/>
  <c r="J901" i="3"/>
  <c r="M901" i="3"/>
  <c r="N901" i="3" s="1"/>
  <c r="T902" i="3" l="1"/>
  <c r="L901" i="3"/>
  <c r="U901" i="3" l="1"/>
  <c r="E902" i="3" s="1"/>
  <c r="H902" i="3" s="1"/>
  <c r="AH902" i="3"/>
  <c r="AG902" i="3"/>
  <c r="Y900" i="3"/>
  <c r="D902" i="3" l="1"/>
  <c r="F902" i="3" s="1"/>
  <c r="K902" i="3"/>
  <c r="AE902" i="3" s="1"/>
  <c r="G902" i="3" l="1"/>
  <c r="J902" i="3" s="1"/>
  <c r="V902" i="3"/>
  <c r="A903" i="3"/>
  <c r="B903" i="3" s="1"/>
  <c r="M902" i="3" l="1"/>
  <c r="N902" i="3" s="1"/>
  <c r="I902" i="3"/>
  <c r="W902" i="3" s="1"/>
  <c r="L902" i="3"/>
  <c r="Z903" i="3"/>
  <c r="AC903" i="3"/>
  <c r="P903" i="3"/>
  <c r="Q903" i="3" s="1"/>
  <c r="R903" i="3" s="1"/>
  <c r="S903" i="3" s="1"/>
  <c r="AD903" i="3"/>
  <c r="AA903" i="3"/>
  <c r="T903" i="3" l="1"/>
  <c r="AH903" i="3" s="1"/>
  <c r="U902" i="3"/>
  <c r="Y901" i="3"/>
  <c r="D903" i="3" l="1"/>
  <c r="E903" i="3"/>
  <c r="H903" i="3" s="1"/>
  <c r="AG903" i="3"/>
  <c r="K903" i="3" l="1"/>
  <c r="AE903" i="3" s="1"/>
  <c r="F903" i="3"/>
  <c r="G903" i="3"/>
  <c r="I903" i="3" l="1"/>
  <c r="J903" i="3"/>
  <c r="M903" i="3"/>
  <c r="N903" i="3" s="1"/>
  <c r="V903" i="3"/>
  <c r="A904" i="3"/>
  <c r="B904" i="3" s="1"/>
  <c r="W903" i="3" l="1"/>
  <c r="L903" i="3"/>
  <c r="AC904" i="3"/>
  <c r="Z904" i="3"/>
  <c r="P904" i="3"/>
  <c r="Q904" i="3" s="1"/>
  <c r="R904" i="3" s="1"/>
  <c r="S904" i="3" s="1"/>
  <c r="AA904" i="3"/>
  <c r="U903" i="3" l="1"/>
  <c r="Y902" i="3"/>
  <c r="T904" i="3"/>
  <c r="AH904" i="3" s="1"/>
  <c r="E904" i="3" l="1"/>
  <c r="H904" i="3" s="1"/>
  <c r="AG904" i="3"/>
  <c r="D904" i="3"/>
  <c r="K904" i="3" l="1"/>
  <c r="AE904" i="3" s="1"/>
  <c r="F904" i="3"/>
  <c r="G904" i="3"/>
  <c r="V904" i="3" l="1"/>
  <c r="A905" i="3"/>
  <c r="B905" i="3" s="1"/>
  <c r="I904" i="3"/>
  <c r="J904" i="3"/>
  <c r="AD904" i="3" s="1"/>
  <c r="M904" i="3"/>
  <c r="N904" i="3" s="1"/>
  <c r="L904" i="3" l="1"/>
  <c r="W904" i="3"/>
  <c r="AA905" i="3"/>
  <c r="Z905" i="3"/>
  <c r="AD905" i="3"/>
  <c r="AC905" i="3"/>
  <c r="P905" i="3"/>
  <c r="Q905" i="3" s="1"/>
  <c r="R905" i="3" s="1"/>
  <c r="S905" i="3" s="1"/>
  <c r="U904" i="3" l="1"/>
  <c r="Y903" i="3"/>
  <c r="T905" i="3"/>
  <c r="D905" i="3" l="1"/>
  <c r="G905" i="3" s="1"/>
  <c r="E905" i="3"/>
  <c r="H905" i="3" s="1"/>
  <c r="K905" i="3" s="1"/>
  <c r="AE905" i="3" s="1"/>
  <c r="AG905" i="3"/>
  <c r="AH905" i="3"/>
  <c r="F905" i="3" l="1"/>
  <c r="I905" i="3"/>
  <c r="J905" i="3"/>
  <c r="M905" i="3"/>
  <c r="N905" i="3" s="1"/>
  <c r="V905" i="3"/>
  <c r="A906" i="3"/>
  <c r="B906" i="3" s="1"/>
  <c r="L905" i="3" l="1"/>
  <c r="W905" i="3"/>
  <c r="AC906" i="3"/>
  <c r="P906" i="3"/>
  <c r="Q906" i="3" s="1"/>
  <c r="R906" i="3" s="1"/>
  <c r="S906" i="3" s="1"/>
  <c r="Z906" i="3"/>
  <c r="AD906" i="3"/>
  <c r="AA906" i="3"/>
  <c r="T906" i="3" l="1"/>
  <c r="U905" i="3"/>
  <c r="Y904" i="3"/>
  <c r="D906" i="3" l="1"/>
  <c r="G906" i="3" s="1"/>
  <c r="AG906" i="3"/>
  <c r="E906" i="3"/>
  <c r="H906" i="3" s="1"/>
  <c r="AH906" i="3"/>
  <c r="F906" i="3" l="1"/>
  <c r="I906" i="3"/>
  <c r="J906" i="3"/>
  <c r="M906" i="3"/>
  <c r="N906" i="3" s="1"/>
  <c r="K906" i="3"/>
  <c r="AE906" i="3" s="1"/>
  <c r="V906" i="3" l="1"/>
  <c r="W906" i="3" s="1"/>
  <c r="A907" i="3"/>
  <c r="B907" i="3" s="1"/>
  <c r="L906" i="3"/>
  <c r="U906" i="3" l="1"/>
  <c r="Y905" i="3"/>
  <c r="Z907" i="3"/>
  <c r="AC907" i="3"/>
  <c r="AA907" i="3"/>
  <c r="P907" i="3"/>
  <c r="Q907" i="3" s="1"/>
  <c r="R907" i="3" s="1"/>
  <c r="S907" i="3" s="1"/>
  <c r="AD907" i="3"/>
  <c r="T907" i="3" l="1"/>
  <c r="AG907" i="3" s="1"/>
  <c r="E907" i="3" l="1"/>
  <c r="H907" i="3" s="1"/>
  <c r="K907" i="3" s="1"/>
  <c r="AE907" i="3" s="1"/>
  <c r="D907" i="3"/>
  <c r="AH907" i="3"/>
  <c r="V907" i="3" l="1"/>
  <c r="A908" i="3"/>
  <c r="B908" i="3" s="1"/>
  <c r="F907" i="3"/>
  <c r="G907" i="3"/>
  <c r="I907" i="3" l="1"/>
  <c r="W907" i="3" s="1"/>
  <c r="J907" i="3"/>
  <c r="M907" i="3"/>
  <c r="N907" i="3" s="1"/>
  <c r="P908" i="3"/>
  <c r="Q908" i="3" s="1"/>
  <c r="R908" i="3" s="1"/>
  <c r="S908" i="3" s="1"/>
  <c r="AA908" i="3"/>
  <c r="Z908" i="3"/>
  <c r="AD908" i="3"/>
  <c r="AC908" i="3"/>
  <c r="T908" i="3" l="1"/>
  <c r="L907" i="3"/>
  <c r="AG908" i="3" l="1"/>
  <c r="AH908" i="3"/>
  <c r="U907" i="3"/>
  <c r="E908" i="3" s="1"/>
  <c r="H908" i="3" s="1"/>
  <c r="Y906" i="3"/>
  <c r="D908" i="3" l="1"/>
  <c r="G908" i="3" s="1"/>
  <c r="K908" i="3"/>
  <c r="AE908" i="3" s="1"/>
  <c r="F908" i="3" l="1"/>
  <c r="I908" i="3"/>
  <c r="J908" i="3"/>
  <c r="M908" i="3"/>
  <c r="N908" i="3" s="1"/>
  <c r="V908" i="3"/>
  <c r="A909" i="3"/>
  <c r="B909" i="3" s="1"/>
  <c r="W908" i="3" l="1"/>
  <c r="L908" i="3"/>
  <c r="AA909" i="3"/>
  <c r="Z909" i="3"/>
  <c r="P909" i="3"/>
  <c r="Q909" i="3" s="1"/>
  <c r="R909" i="3" s="1"/>
  <c r="S909" i="3" s="1"/>
  <c r="AD909" i="3"/>
  <c r="AC909" i="3"/>
  <c r="U908" i="3" l="1"/>
  <c r="Y907" i="3"/>
  <c r="T909" i="3"/>
  <c r="AH909" i="3" s="1"/>
  <c r="AG909" i="3" l="1"/>
  <c r="D909" i="3"/>
  <c r="G909" i="3" s="1"/>
  <c r="E909" i="3"/>
  <c r="H909" i="3" s="1"/>
  <c r="K909" i="3" s="1"/>
  <c r="AE909" i="3" s="1"/>
  <c r="F909" i="3" l="1"/>
  <c r="V909" i="3"/>
  <c r="A910" i="3"/>
  <c r="B910" i="3" s="1"/>
  <c r="I909" i="3"/>
  <c r="J909" i="3"/>
  <c r="M909" i="3"/>
  <c r="N909" i="3" s="1"/>
  <c r="W909" i="3" l="1"/>
  <c r="L909" i="3"/>
  <c r="AA910" i="3"/>
  <c r="AC910" i="3"/>
  <c r="P910" i="3"/>
  <c r="Q910" i="3" s="1"/>
  <c r="R910" i="3" s="1"/>
  <c r="S910" i="3" s="1"/>
  <c r="AD910" i="3"/>
  <c r="Z910" i="3"/>
  <c r="U909" i="3" l="1"/>
  <c r="Y908" i="3"/>
  <c r="T910" i="3"/>
  <c r="AH910" i="3" s="1"/>
  <c r="D910" i="3" l="1"/>
  <c r="G910" i="3" s="1"/>
  <c r="AG910" i="3"/>
  <c r="E910" i="3"/>
  <c r="H910" i="3" s="1"/>
  <c r="F910" i="3" l="1"/>
  <c r="I910" i="3"/>
  <c r="J910" i="3"/>
  <c r="M910" i="3"/>
  <c r="N910" i="3" s="1"/>
  <c r="K910" i="3"/>
  <c r="AE910" i="3" s="1"/>
  <c r="V910" i="3" l="1"/>
  <c r="W910" i="3" s="1"/>
  <c r="A911" i="3"/>
  <c r="B911" i="3" s="1"/>
  <c r="L910" i="3"/>
  <c r="U910" i="3" l="1"/>
  <c r="Y909" i="3"/>
  <c r="AD911" i="3"/>
  <c r="AA911" i="3"/>
  <c r="P911" i="3"/>
  <c r="Q911" i="3" s="1"/>
  <c r="R911" i="3" s="1"/>
  <c r="S911" i="3" s="1"/>
  <c r="Z911" i="3"/>
  <c r="AC911" i="3"/>
  <c r="T911" i="3" l="1"/>
  <c r="E911" i="3" s="1"/>
  <c r="H911" i="3" s="1"/>
  <c r="AH911" i="3" l="1"/>
  <c r="D911" i="3"/>
  <c r="G911" i="3" s="1"/>
  <c r="AG911" i="3"/>
  <c r="K911" i="3"/>
  <c r="AE911" i="3" s="1"/>
  <c r="F911" i="3" l="1"/>
  <c r="I911" i="3"/>
  <c r="J911" i="3"/>
  <c r="M911" i="3"/>
  <c r="N911" i="3" s="1"/>
  <c r="V911" i="3"/>
  <c r="A912" i="3"/>
  <c r="B912" i="3" s="1"/>
  <c r="W911" i="3" l="1"/>
  <c r="L911" i="3"/>
  <c r="AA912" i="3"/>
  <c r="AD912" i="3"/>
  <c r="AC912" i="3"/>
  <c r="P912" i="3"/>
  <c r="Q912" i="3" s="1"/>
  <c r="R912" i="3" s="1"/>
  <c r="S912" i="3" s="1"/>
  <c r="Z912" i="3"/>
  <c r="T912" i="3" l="1"/>
  <c r="U911" i="3"/>
  <c r="Y910" i="3"/>
  <c r="D912" i="3" l="1"/>
  <c r="G912" i="3" s="1"/>
  <c r="AG912" i="3"/>
  <c r="AH912" i="3"/>
  <c r="E912" i="3"/>
  <c r="H912" i="3" s="1"/>
  <c r="I912" i="3" l="1"/>
  <c r="J912" i="3"/>
  <c r="M912" i="3"/>
  <c r="N912" i="3" s="1"/>
  <c r="F912" i="3"/>
  <c r="K912" i="3"/>
  <c r="AE912" i="3" s="1"/>
  <c r="L912" i="3" l="1"/>
  <c r="V912" i="3"/>
  <c r="W912" i="3" s="1"/>
  <c r="A913" i="3"/>
  <c r="B913" i="3" s="1"/>
  <c r="U912" i="3" l="1"/>
  <c r="Y911" i="3"/>
  <c r="Z913" i="3"/>
  <c r="AD913" i="3"/>
  <c r="P913" i="3"/>
  <c r="Q913" i="3" s="1"/>
  <c r="R913" i="3" s="1"/>
  <c r="S913" i="3" s="1"/>
  <c r="AA913" i="3"/>
  <c r="AC913" i="3"/>
  <c r="T913" i="3" l="1"/>
  <c r="AH913" i="3" s="1"/>
  <c r="D913" i="3" l="1"/>
  <c r="G913" i="3" s="1"/>
  <c r="AG913" i="3"/>
  <c r="E913" i="3"/>
  <c r="H913" i="3" s="1"/>
  <c r="F913" i="3" l="1"/>
  <c r="I913" i="3"/>
  <c r="J913" i="3"/>
  <c r="M913" i="3"/>
  <c r="N913" i="3" s="1"/>
  <c r="K913" i="3"/>
  <c r="AE913" i="3" s="1"/>
  <c r="V913" i="3" l="1"/>
  <c r="W913" i="3" s="1"/>
  <c r="A914" i="3"/>
  <c r="B914" i="3" s="1"/>
  <c r="L913" i="3"/>
  <c r="U913" i="3" l="1"/>
  <c r="Y912" i="3"/>
  <c r="AA914" i="3"/>
  <c r="Z914" i="3"/>
  <c r="AC914" i="3"/>
  <c r="P914" i="3"/>
  <c r="Q914" i="3" s="1"/>
  <c r="R914" i="3" s="1"/>
  <c r="S914" i="3" s="1"/>
  <c r="T914" i="3" l="1"/>
  <c r="D914" i="3" s="1"/>
  <c r="E914" i="3" l="1"/>
  <c r="H914" i="3" s="1"/>
  <c r="K914" i="3" s="1"/>
  <c r="AE914" i="3" s="1"/>
  <c r="G914" i="3"/>
  <c r="AH914" i="3"/>
  <c r="AG914" i="3"/>
  <c r="F914" i="3" l="1"/>
  <c r="I914" i="3"/>
  <c r="J914" i="3"/>
  <c r="AD914" i="3" s="1"/>
  <c r="M914" i="3"/>
  <c r="N914" i="3" s="1"/>
  <c r="V914" i="3"/>
  <c r="A915" i="3"/>
  <c r="B915" i="3" s="1"/>
  <c r="W914" i="3" l="1"/>
  <c r="L914" i="3"/>
  <c r="P915" i="3"/>
  <c r="Q915" i="3" s="1"/>
  <c r="R915" i="3" s="1"/>
  <c r="S915" i="3" s="1"/>
  <c r="AA915" i="3"/>
  <c r="AC915" i="3"/>
  <c r="Z915" i="3"/>
  <c r="AD915" i="3"/>
  <c r="U914" i="3" l="1"/>
  <c r="Y913" i="3"/>
  <c r="T915" i="3"/>
  <c r="AH915" i="3" s="1"/>
  <c r="E915" i="3" l="1"/>
  <c r="H915" i="3" s="1"/>
  <c r="D915" i="3"/>
  <c r="AG915" i="3"/>
  <c r="K915" i="3" l="1"/>
  <c r="AE915" i="3" s="1"/>
  <c r="F915" i="3"/>
  <c r="G915" i="3"/>
  <c r="I915" i="3" l="1"/>
  <c r="J915" i="3"/>
  <c r="M915" i="3"/>
  <c r="N915" i="3" s="1"/>
  <c r="V915" i="3"/>
  <c r="A916" i="3"/>
  <c r="B916" i="3" s="1"/>
  <c r="W915" i="3" l="1"/>
  <c r="L915" i="3"/>
  <c r="AC916" i="3"/>
  <c r="AA916" i="3"/>
  <c r="Z916" i="3"/>
  <c r="P916" i="3"/>
  <c r="Q916" i="3" s="1"/>
  <c r="R916" i="3" s="1"/>
  <c r="S916" i="3" s="1"/>
  <c r="AD916" i="3"/>
  <c r="U915" i="3" l="1"/>
  <c r="Y914" i="3"/>
  <c r="T916" i="3"/>
  <c r="D916" i="3" l="1"/>
  <c r="G916" i="3" s="1"/>
  <c r="AG916" i="3"/>
  <c r="AH916" i="3"/>
  <c r="E916" i="3"/>
  <c r="H916" i="3" s="1"/>
  <c r="K916" i="3" l="1"/>
  <c r="AE916" i="3" s="1"/>
  <c r="I916" i="3"/>
  <c r="J916" i="3"/>
  <c r="M916" i="3"/>
  <c r="N916" i="3" s="1"/>
  <c r="F916" i="3"/>
  <c r="L916" i="3" l="1"/>
  <c r="V916" i="3"/>
  <c r="W916" i="3" s="1"/>
  <c r="A917" i="3"/>
  <c r="B917" i="3" s="1"/>
  <c r="U916" i="3" l="1"/>
  <c r="Y915" i="3"/>
  <c r="AD917" i="3"/>
  <c r="AC917" i="3"/>
  <c r="Z917" i="3"/>
  <c r="P917" i="3"/>
  <c r="Q917" i="3" s="1"/>
  <c r="R917" i="3" s="1"/>
  <c r="S917" i="3" s="1"/>
  <c r="AA917" i="3"/>
  <c r="T917" i="3" l="1"/>
  <c r="AG917" i="3" s="1"/>
  <c r="E917" i="3" l="1"/>
  <c r="H917" i="3" s="1"/>
  <c r="K917" i="3" s="1"/>
  <c r="AE917" i="3" s="1"/>
  <c r="AH917" i="3"/>
  <c r="D917" i="3"/>
  <c r="F917" i="3" l="1"/>
  <c r="G917" i="3"/>
  <c r="J917" i="3" s="1"/>
  <c r="V917" i="3"/>
  <c r="A918" i="3"/>
  <c r="B918" i="3" s="1"/>
  <c r="M917" i="3" l="1"/>
  <c r="N917" i="3" s="1"/>
  <c r="I917" i="3"/>
  <c r="W917" i="3" s="1"/>
  <c r="L917" i="3"/>
  <c r="AC918" i="3"/>
  <c r="AD918" i="3"/>
  <c r="AA918" i="3"/>
  <c r="Z918" i="3"/>
  <c r="P918" i="3"/>
  <c r="Q918" i="3" s="1"/>
  <c r="R918" i="3" s="1"/>
  <c r="S918" i="3" s="1"/>
  <c r="T918" i="3" l="1"/>
  <c r="U917" i="3"/>
  <c r="Y916" i="3"/>
  <c r="E918" i="3" l="1"/>
  <c r="H918" i="3" s="1"/>
  <c r="K918" i="3" s="1"/>
  <c r="AE918" i="3" s="1"/>
  <c r="AH918" i="3"/>
  <c r="D918" i="3"/>
  <c r="G918" i="3" s="1"/>
  <c r="AG918" i="3"/>
  <c r="F918" i="3" l="1"/>
  <c r="I918" i="3"/>
  <c r="J918" i="3"/>
  <c r="M918" i="3"/>
  <c r="N918" i="3" s="1"/>
  <c r="V918" i="3"/>
  <c r="A919" i="3"/>
  <c r="B919" i="3" s="1"/>
  <c r="L918" i="3" l="1"/>
  <c r="W918" i="3"/>
  <c r="P919" i="3"/>
  <c r="Q919" i="3" s="1"/>
  <c r="R919" i="3" s="1"/>
  <c r="S919" i="3" s="1"/>
  <c r="Z919" i="3"/>
  <c r="AC919" i="3"/>
  <c r="AD919" i="3"/>
  <c r="AA919" i="3"/>
  <c r="U918" i="3" l="1"/>
  <c r="Y917" i="3"/>
  <c r="T919" i="3"/>
  <c r="AG919" i="3" s="1"/>
  <c r="E919" i="3" l="1"/>
  <c r="H919" i="3" s="1"/>
  <c r="K919" i="3" s="1"/>
  <c r="AE919" i="3" s="1"/>
  <c r="AH919" i="3"/>
  <c r="D919" i="3"/>
  <c r="V919" i="3" l="1"/>
  <c r="A920" i="3"/>
  <c r="B920" i="3" s="1"/>
  <c r="F919" i="3"/>
  <c r="G919" i="3"/>
  <c r="I919" i="3" l="1"/>
  <c r="W919" i="3" s="1"/>
  <c r="J919" i="3"/>
  <c r="M919" i="3"/>
  <c r="N919" i="3" s="1"/>
  <c r="AD920" i="3"/>
  <c r="AC920" i="3"/>
  <c r="P920" i="3"/>
  <c r="Q920" i="3" s="1"/>
  <c r="R920" i="3" s="1"/>
  <c r="S920" i="3" s="1"/>
  <c r="AA920" i="3"/>
  <c r="Z920" i="3"/>
  <c r="T920" i="3" l="1"/>
  <c r="L919" i="3"/>
  <c r="AH920" i="3" l="1"/>
  <c r="U919" i="3"/>
  <c r="E920" i="3" s="1"/>
  <c r="H920" i="3" s="1"/>
  <c r="AG920" i="3"/>
  <c r="Y918" i="3"/>
  <c r="D920" i="3" l="1"/>
  <c r="G920" i="3" s="1"/>
  <c r="K920" i="3"/>
  <c r="AE920" i="3" s="1"/>
  <c r="F920" i="3" l="1"/>
  <c r="V920" i="3"/>
  <c r="A921" i="3"/>
  <c r="B921" i="3" s="1"/>
  <c r="I920" i="3"/>
  <c r="J920" i="3"/>
  <c r="M920" i="3"/>
  <c r="N920" i="3" s="1"/>
  <c r="W920" i="3" l="1"/>
  <c r="L920" i="3"/>
  <c r="AA921" i="3"/>
  <c r="Z921" i="3"/>
  <c r="P921" i="3"/>
  <c r="Q921" i="3" s="1"/>
  <c r="R921" i="3" s="1"/>
  <c r="S921" i="3" s="1"/>
  <c r="AD921" i="3"/>
  <c r="AC921" i="3"/>
  <c r="U920" i="3" l="1"/>
  <c r="Y919" i="3"/>
  <c r="T921" i="3"/>
  <c r="AG921" i="3" s="1"/>
  <c r="E921" i="3" l="1"/>
  <c r="H921" i="3" s="1"/>
  <c r="K921" i="3" s="1"/>
  <c r="AE921" i="3" s="1"/>
  <c r="AH921" i="3"/>
  <c r="D921" i="3"/>
  <c r="G921" i="3" s="1"/>
  <c r="F921" i="3" l="1"/>
  <c r="I921" i="3"/>
  <c r="J921" i="3"/>
  <c r="M921" i="3"/>
  <c r="N921" i="3" s="1"/>
  <c r="V921" i="3"/>
  <c r="A922" i="3"/>
  <c r="B922" i="3" s="1"/>
  <c r="W921" i="3" l="1"/>
  <c r="L921" i="3"/>
  <c r="AC922" i="3"/>
  <c r="AA922" i="3"/>
  <c r="Z922" i="3"/>
  <c r="P922" i="3"/>
  <c r="Q922" i="3" s="1"/>
  <c r="R922" i="3" s="1"/>
  <c r="S922" i="3" s="1"/>
  <c r="AD922" i="3"/>
  <c r="U921" i="3" l="1"/>
  <c r="Y920" i="3"/>
  <c r="T922" i="3"/>
  <c r="E922" i="3" l="1"/>
  <c r="H922" i="3" s="1"/>
  <c r="K922" i="3" s="1"/>
  <c r="AE922" i="3" s="1"/>
  <c r="AH922" i="3"/>
  <c r="D922" i="3"/>
  <c r="AG922" i="3"/>
  <c r="F922" i="3" l="1"/>
  <c r="G922" i="3"/>
  <c r="V922" i="3"/>
  <c r="A923" i="3"/>
  <c r="B923" i="3" s="1"/>
  <c r="AD923" i="3" l="1"/>
  <c r="AC923" i="3"/>
  <c r="Z923" i="3"/>
  <c r="AA923" i="3"/>
  <c r="P923" i="3"/>
  <c r="Q923" i="3" s="1"/>
  <c r="R923" i="3" s="1"/>
  <c r="S923" i="3" s="1"/>
  <c r="I922" i="3"/>
  <c r="W922" i="3" s="1"/>
  <c r="J922" i="3"/>
  <c r="M922" i="3"/>
  <c r="N922" i="3" s="1"/>
  <c r="L922" i="3" l="1"/>
  <c r="T923" i="3"/>
  <c r="AH923" i="3" l="1"/>
  <c r="AG923" i="3"/>
  <c r="U922" i="3"/>
  <c r="D923" i="3" s="1"/>
  <c r="Y921" i="3"/>
  <c r="E923" i="3" l="1"/>
  <c r="H923" i="3" s="1"/>
  <c r="K923" i="3" s="1"/>
  <c r="AE923" i="3" s="1"/>
  <c r="G923" i="3"/>
  <c r="F923" i="3" l="1"/>
  <c r="V923" i="3"/>
  <c r="A924" i="3"/>
  <c r="B924" i="3" s="1"/>
  <c r="I923" i="3"/>
  <c r="J923" i="3"/>
  <c r="M923" i="3"/>
  <c r="N923" i="3" s="1"/>
  <c r="W923" i="3" l="1"/>
  <c r="L923" i="3"/>
  <c r="Z924" i="3"/>
  <c r="AC924" i="3"/>
  <c r="P924" i="3"/>
  <c r="Q924" i="3" s="1"/>
  <c r="R924" i="3" s="1"/>
  <c r="S924" i="3" s="1"/>
  <c r="AA924" i="3"/>
  <c r="U923" i="3" l="1"/>
  <c r="Y922" i="3"/>
  <c r="T924" i="3"/>
  <c r="AH924" i="3" s="1"/>
  <c r="D924" i="3" l="1"/>
  <c r="G924" i="3" s="1"/>
  <c r="AG924" i="3"/>
  <c r="E924" i="3"/>
  <c r="H924" i="3" s="1"/>
  <c r="K924" i="3" s="1"/>
  <c r="AE924" i="3" s="1"/>
  <c r="F924" i="3" l="1"/>
  <c r="I924" i="3"/>
  <c r="J924" i="3"/>
  <c r="AD924" i="3" s="1"/>
  <c r="M924" i="3"/>
  <c r="N924" i="3" s="1"/>
  <c r="V924" i="3"/>
  <c r="A925" i="3"/>
  <c r="B925" i="3" s="1"/>
  <c r="W924" i="3" l="1"/>
  <c r="L924" i="3"/>
  <c r="Z925" i="3"/>
  <c r="AA925" i="3"/>
  <c r="AD925" i="3"/>
  <c r="AC925" i="3"/>
  <c r="P925" i="3"/>
  <c r="Q925" i="3" s="1"/>
  <c r="R925" i="3" s="1"/>
  <c r="S925" i="3" s="1"/>
  <c r="T925" i="3" l="1"/>
  <c r="AG925" i="3" s="1"/>
  <c r="U924" i="3"/>
  <c r="Y923" i="3"/>
  <c r="AH925" i="3" l="1"/>
  <c r="E925" i="3"/>
  <c r="H925" i="3" s="1"/>
  <c r="D925" i="3"/>
  <c r="K925" i="3" l="1"/>
  <c r="AE925" i="3" s="1"/>
  <c r="F925" i="3"/>
  <c r="G925" i="3"/>
  <c r="I925" i="3" l="1"/>
  <c r="J925" i="3"/>
  <c r="M925" i="3"/>
  <c r="N925" i="3" s="1"/>
  <c r="V925" i="3"/>
  <c r="A926" i="3"/>
  <c r="B926" i="3" s="1"/>
  <c r="W925" i="3" l="1"/>
  <c r="L925" i="3"/>
  <c r="AC926" i="3"/>
  <c r="AA926" i="3"/>
  <c r="AD926" i="3"/>
  <c r="P926" i="3"/>
  <c r="Q926" i="3" s="1"/>
  <c r="R926" i="3" s="1"/>
  <c r="S926" i="3" s="1"/>
  <c r="Z926" i="3"/>
  <c r="U925" i="3" l="1"/>
  <c r="Y924" i="3"/>
  <c r="T926" i="3"/>
  <c r="AG926" i="3" s="1"/>
  <c r="E926" i="3" l="1"/>
  <c r="H926" i="3" s="1"/>
  <c r="K926" i="3" s="1"/>
  <c r="AE926" i="3" s="1"/>
  <c r="AH926" i="3"/>
  <c r="D926" i="3"/>
  <c r="V926" i="3" l="1"/>
  <c r="A927" i="3"/>
  <c r="B927" i="3" s="1"/>
  <c r="F926" i="3"/>
  <c r="G926" i="3"/>
  <c r="I926" i="3" l="1"/>
  <c r="W926" i="3" s="1"/>
  <c r="J926" i="3"/>
  <c r="M926" i="3"/>
  <c r="N926" i="3" s="1"/>
  <c r="AD927" i="3"/>
  <c r="Z927" i="3"/>
  <c r="P927" i="3"/>
  <c r="Q927" i="3" s="1"/>
  <c r="R927" i="3" s="1"/>
  <c r="S927" i="3" s="1"/>
  <c r="AA927" i="3"/>
  <c r="AC927" i="3"/>
  <c r="T927" i="3" l="1"/>
  <c r="L926" i="3"/>
  <c r="U926" i="3" l="1"/>
  <c r="D927" i="3" s="1"/>
  <c r="AG927" i="3"/>
  <c r="AH927" i="3"/>
  <c r="Y925" i="3"/>
  <c r="G927" i="3" l="1"/>
  <c r="E927" i="3"/>
  <c r="H927" i="3" s="1"/>
  <c r="F927" i="3" l="1"/>
  <c r="K927" i="3"/>
  <c r="AE927" i="3" s="1"/>
  <c r="I927" i="3"/>
  <c r="J927" i="3"/>
  <c r="M927" i="3"/>
  <c r="N927" i="3" s="1"/>
  <c r="L927" i="3" l="1"/>
  <c r="V927" i="3"/>
  <c r="W927" i="3" s="1"/>
  <c r="A928" i="3"/>
  <c r="B928" i="3" s="1"/>
  <c r="U927" i="3" l="1"/>
  <c r="Y926" i="3"/>
  <c r="AC928" i="3"/>
  <c r="AD928" i="3"/>
  <c r="AA928" i="3"/>
  <c r="Z928" i="3"/>
  <c r="P928" i="3"/>
  <c r="Q928" i="3" s="1"/>
  <c r="R928" i="3" s="1"/>
  <c r="S928" i="3" s="1"/>
  <c r="T928" i="3" l="1"/>
  <c r="D928" i="3" s="1"/>
  <c r="AH928" i="3" l="1"/>
  <c r="E928" i="3"/>
  <c r="H928" i="3" s="1"/>
  <c r="K928" i="3" s="1"/>
  <c r="AE928" i="3" s="1"/>
  <c r="AG928" i="3"/>
  <c r="G928" i="3"/>
  <c r="F928" i="3" l="1"/>
  <c r="I928" i="3"/>
  <c r="J928" i="3"/>
  <c r="M928" i="3"/>
  <c r="N928" i="3" s="1"/>
  <c r="V928" i="3"/>
  <c r="A929" i="3"/>
  <c r="B929" i="3" s="1"/>
  <c r="L928" i="3" l="1"/>
  <c r="P929" i="3"/>
  <c r="Q929" i="3" s="1"/>
  <c r="R929" i="3" s="1"/>
  <c r="S929" i="3" s="1"/>
  <c r="AD929" i="3"/>
  <c r="AC929" i="3"/>
  <c r="Z929" i="3"/>
  <c r="AA929" i="3"/>
  <c r="W928" i="3"/>
  <c r="T929" i="3" l="1"/>
  <c r="AG929" i="3" s="1"/>
  <c r="U928" i="3"/>
  <c r="Y927" i="3"/>
  <c r="AH929" i="3" l="1"/>
  <c r="D929" i="3"/>
  <c r="E929" i="3"/>
  <c r="H929" i="3" s="1"/>
  <c r="F929" i="3" l="1"/>
  <c r="G929" i="3"/>
  <c r="K929" i="3"/>
  <c r="AE929" i="3" s="1"/>
  <c r="V929" i="3" l="1"/>
  <c r="A930" i="3"/>
  <c r="B930" i="3" s="1"/>
  <c r="I929" i="3"/>
  <c r="J929" i="3"/>
  <c r="M929" i="3"/>
  <c r="N929" i="3" s="1"/>
  <c r="L929" i="3" l="1"/>
  <c r="AD930" i="3"/>
  <c r="P930" i="3"/>
  <c r="Q930" i="3" s="1"/>
  <c r="R930" i="3" s="1"/>
  <c r="S930" i="3" s="1"/>
  <c r="AC930" i="3"/>
  <c r="Z930" i="3"/>
  <c r="AA930" i="3"/>
  <c r="W929" i="3"/>
  <c r="T930" i="3" l="1"/>
  <c r="U929" i="3"/>
  <c r="Y928" i="3"/>
  <c r="D930" i="3" l="1"/>
  <c r="G930" i="3" s="1"/>
  <c r="AH930" i="3"/>
  <c r="E930" i="3"/>
  <c r="H930" i="3" s="1"/>
  <c r="AG930" i="3"/>
  <c r="F930" i="3" l="1"/>
  <c r="I930" i="3"/>
  <c r="J930" i="3"/>
  <c r="M930" i="3"/>
  <c r="N930" i="3" s="1"/>
  <c r="K930" i="3"/>
  <c r="AE930" i="3" s="1"/>
  <c r="V930" i="3" l="1"/>
  <c r="W930" i="3" s="1"/>
  <c r="A931" i="3"/>
  <c r="B931" i="3" s="1"/>
  <c r="L930" i="3"/>
  <c r="U930" i="3" l="1"/>
  <c r="Y929" i="3"/>
  <c r="AC931" i="3"/>
  <c r="AA931" i="3"/>
  <c r="Z931" i="3"/>
  <c r="P931" i="3"/>
  <c r="Q931" i="3" s="1"/>
  <c r="R931" i="3" s="1"/>
  <c r="S931" i="3" s="1"/>
  <c r="AD931" i="3"/>
  <c r="T931" i="3" l="1"/>
  <c r="AH931" i="3" s="1"/>
  <c r="E931" i="3" l="1"/>
  <c r="H931" i="3" s="1"/>
  <c r="D931" i="3"/>
  <c r="AG931" i="3"/>
  <c r="K931" i="3" l="1"/>
  <c r="AE931" i="3" s="1"/>
  <c r="F931" i="3"/>
  <c r="G931" i="3"/>
  <c r="I931" i="3" l="1"/>
  <c r="J931" i="3"/>
  <c r="M931" i="3"/>
  <c r="N931" i="3" s="1"/>
  <c r="V931" i="3"/>
  <c r="A932" i="3"/>
  <c r="B932" i="3" s="1"/>
  <c r="W931" i="3" l="1"/>
  <c r="L931" i="3"/>
  <c r="AA932" i="3"/>
  <c r="AD932" i="3"/>
  <c r="Z932" i="3"/>
  <c r="AC932" i="3"/>
  <c r="P932" i="3"/>
  <c r="Q932" i="3" s="1"/>
  <c r="R932" i="3" s="1"/>
  <c r="S932" i="3" s="1"/>
  <c r="U931" i="3" l="1"/>
  <c r="Y930" i="3"/>
  <c r="T932" i="3"/>
  <c r="AH932" i="3" s="1"/>
  <c r="E932" i="3" l="1"/>
  <c r="H932" i="3" s="1"/>
  <c r="D932" i="3"/>
  <c r="AG932" i="3"/>
  <c r="K932" i="3" l="1"/>
  <c r="AE932" i="3" s="1"/>
  <c r="F932" i="3"/>
  <c r="G932" i="3"/>
  <c r="V932" i="3" l="1"/>
  <c r="A933" i="3"/>
  <c r="B933" i="3" s="1"/>
  <c r="I932" i="3"/>
  <c r="J932" i="3"/>
  <c r="M932" i="3"/>
  <c r="N932" i="3" s="1"/>
  <c r="L932" i="3" l="1"/>
  <c r="W932" i="3"/>
  <c r="AA933" i="3"/>
  <c r="P933" i="3"/>
  <c r="Q933" i="3" s="1"/>
  <c r="R933" i="3" s="1"/>
  <c r="S933" i="3" s="1"/>
  <c r="Z933" i="3"/>
  <c r="AD933" i="3"/>
  <c r="AC933" i="3"/>
  <c r="U932" i="3" l="1"/>
  <c r="Y931" i="3"/>
  <c r="T933" i="3"/>
  <c r="D933" i="3" l="1"/>
  <c r="G933" i="3" s="1"/>
  <c r="AH933" i="3"/>
  <c r="AG933" i="3"/>
  <c r="E933" i="3"/>
  <c r="H933" i="3" s="1"/>
  <c r="K933" i="3" l="1"/>
  <c r="AE933" i="3" s="1"/>
  <c r="I933" i="3"/>
  <c r="J933" i="3"/>
  <c r="M933" i="3"/>
  <c r="N933" i="3" s="1"/>
  <c r="F933" i="3"/>
  <c r="V933" i="3" l="1"/>
  <c r="W933" i="3" s="1"/>
  <c r="A934" i="3"/>
  <c r="B934" i="3" s="1"/>
  <c r="L933" i="3"/>
  <c r="U933" i="3" l="1"/>
  <c r="Y932" i="3"/>
  <c r="AC934" i="3"/>
  <c r="Z934" i="3"/>
  <c r="P934" i="3"/>
  <c r="Q934" i="3" s="1"/>
  <c r="R934" i="3" s="1"/>
  <c r="S934" i="3" s="1"/>
  <c r="AA934" i="3"/>
  <c r="T934" i="3" l="1"/>
  <c r="AH934" i="3" s="1"/>
  <c r="AG934" i="3" l="1"/>
  <c r="D934" i="3"/>
  <c r="E934" i="3"/>
  <c r="H934" i="3" s="1"/>
  <c r="K934" i="3" l="1"/>
  <c r="AE934" i="3" s="1"/>
  <c r="F934" i="3"/>
  <c r="G934" i="3"/>
  <c r="V934" i="3" l="1"/>
  <c r="A935" i="3"/>
  <c r="B935" i="3" s="1"/>
  <c r="I934" i="3"/>
  <c r="J934" i="3"/>
  <c r="AD934" i="3" s="1"/>
  <c r="M934" i="3"/>
  <c r="N934" i="3" s="1"/>
  <c r="W934" i="3" l="1"/>
  <c r="L934" i="3"/>
  <c r="AD935" i="3"/>
  <c r="P935" i="3"/>
  <c r="Q935" i="3" s="1"/>
  <c r="R935" i="3" s="1"/>
  <c r="S935" i="3" s="1"/>
  <c r="AA935" i="3"/>
  <c r="AC935" i="3"/>
  <c r="Z935" i="3"/>
  <c r="T935" i="3" l="1"/>
  <c r="U934" i="3"/>
  <c r="Y933" i="3"/>
  <c r="E935" i="3" l="1"/>
  <c r="H935" i="3" s="1"/>
  <c r="K935" i="3" s="1"/>
  <c r="AE935" i="3" s="1"/>
  <c r="AH935" i="3"/>
  <c r="AG935" i="3"/>
  <c r="D935" i="3"/>
  <c r="V935" i="3" l="1"/>
  <c r="A936" i="3"/>
  <c r="B936" i="3" s="1"/>
  <c r="F935" i="3"/>
  <c r="G935" i="3"/>
  <c r="I935" i="3" l="1"/>
  <c r="W935" i="3" s="1"/>
  <c r="J935" i="3"/>
  <c r="M935" i="3"/>
  <c r="N935" i="3" s="1"/>
  <c r="P936" i="3"/>
  <c r="Q936" i="3" s="1"/>
  <c r="R936" i="3" s="1"/>
  <c r="S936" i="3" s="1"/>
  <c r="AD936" i="3"/>
  <c r="AC936" i="3"/>
  <c r="Z936" i="3"/>
  <c r="AA936" i="3"/>
  <c r="T936" i="3" l="1"/>
  <c r="L935" i="3"/>
  <c r="AH936" i="3" l="1"/>
  <c r="U935" i="3"/>
  <c r="E936" i="3" s="1"/>
  <c r="H936" i="3" s="1"/>
  <c r="AG936" i="3"/>
  <c r="Y934" i="3"/>
  <c r="D936" i="3" l="1"/>
  <c r="F936" i="3" s="1"/>
  <c r="K936" i="3"/>
  <c r="AE936" i="3" s="1"/>
  <c r="G936" i="3" l="1"/>
  <c r="J936" i="3" s="1"/>
  <c r="V936" i="3"/>
  <c r="A937" i="3"/>
  <c r="B937" i="3" s="1"/>
  <c r="M936" i="3" l="1"/>
  <c r="N936" i="3" s="1"/>
  <c r="I936" i="3"/>
  <c r="W936" i="3" s="1"/>
  <c r="L936" i="3"/>
  <c r="AD937" i="3"/>
  <c r="P937" i="3"/>
  <c r="Q937" i="3" s="1"/>
  <c r="R937" i="3" s="1"/>
  <c r="S937" i="3" s="1"/>
  <c r="AA937" i="3"/>
  <c r="Z937" i="3"/>
  <c r="AC937" i="3"/>
  <c r="U936" i="3" l="1"/>
  <c r="Y935" i="3"/>
  <c r="T937" i="3"/>
  <c r="AG937" i="3" s="1"/>
  <c r="E937" i="3" l="1"/>
  <c r="H937" i="3" s="1"/>
  <c r="K937" i="3" s="1"/>
  <c r="AE937" i="3" s="1"/>
  <c r="D937" i="3"/>
  <c r="G937" i="3" s="1"/>
  <c r="AH937" i="3"/>
  <c r="F937" i="3" l="1"/>
  <c r="V937" i="3"/>
  <c r="A938" i="3"/>
  <c r="B938" i="3" s="1"/>
  <c r="I937" i="3"/>
  <c r="J937" i="3"/>
  <c r="M937" i="3"/>
  <c r="N937" i="3" s="1"/>
  <c r="W937" i="3" l="1"/>
  <c r="L937" i="3"/>
  <c r="Z938" i="3"/>
  <c r="P938" i="3"/>
  <c r="Q938" i="3" s="1"/>
  <c r="R938" i="3" s="1"/>
  <c r="S938" i="3" s="1"/>
  <c r="AA938" i="3"/>
  <c r="AC938" i="3"/>
  <c r="AD938" i="3"/>
  <c r="T938" i="3" l="1"/>
  <c r="AG938" i="3" s="1"/>
  <c r="U937" i="3"/>
  <c r="Y936" i="3"/>
  <c r="D938" i="3" l="1"/>
  <c r="AH938" i="3"/>
  <c r="E938" i="3"/>
  <c r="H938" i="3" s="1"/>
  <c r="F938" i="3" l="1"/>
  <c r="G938" i="3"/>
  <c r="J938" i="3" s="1"/>
  <c r="K938" i="3"/>
  <c r="AE938" i="3" s="1"/>
  <c r="I938" i="3" l="1"/>
  <c r="M938" i="3"/>
  <c r="N938" i="3" s="1"/>
  <c r="V938" i="3"/>
  <c r="A939" i="3"/>
  <c r="B939" i="3" s="1"/>
  <c r="L938" i="3"/>
  <c r="W938" i="3" l="1"/>
  <c r="U938" i="3"/>
  <c r="Y937" i="3"/>
  <c r="AA939" i="3"/>
  <c r="P939" i="3"/>
  <c r="Q939" i="3" s="1"/>
  <c r="R939" i="3" s="1"/>
  <c r="S939" i="3" s="1"/>
  <c r="Z939" i="3"/>
  <c r="AD939" i="3"/>
  <c r="AC939" i="3"/>
  <c r="T939" i="3" l="1"/>
  <c r="E939" i="3" s="1"/>
  <c r="H939" i="3" s="1"/>
  <c r="K939" i="3" l="1"/>
  <c r="AE939" i="3" s="1"/>
  <c r="AG939" i="3"/>
  <c r="D939" i="3"/>
  <c r="AH939" i="3"/>
  <c r="F939" i="3" l="1"/>
  <c r="G939" i="3"/>
  <c r="V939" i="3"/>
  <c r="A940" i="3"/>
  <c r="B940" i="3" s="1"/>
  <c r="AC940" i="3" l="1"/>
  <c r="Z940" i="3"/>
  <c r="P940" i="3"/>
  <c r="Q940" i="3" s="1"/>
  <c r="R940" i="3" s="1"/>
  <c r="S940" i="3" s="1"/>
  <c r="AA940" i="3"/>
  <c r="AD940" i="3"/>
  <c r="I939" i="3"/>
  <c r="W939" i="3" s="1"/>
  <c r="J939" i="3"/>
  <c r="M939" i="3"/>
  <c r="N939" i="3" s="1"/>
  <c r="T940" i="3" l="1"/>
  <c r="L939" i="3"/>
  <c r="AG940" i="3" l="1"/>
  <c r="AH940" i="3"/>
  <c r="U939" i="3"/>
  <c r="D940" i="3" s="1"/>
  <c r="Y938" i="3"/>
  <c r="E940" i="3" l="1"/>
  <c r="H940" i="3" s="1"/>
  <c r="K940" i="3" s="1"/>
  <c r="AE940" i="3" s="1"/>
  <c r="G940" i="3"/>
  <c r="F940" i="3" l="1"/>
  <c r="I940" i="3"/>
  <c r="J940" i="3"/>
  <c r="M940" i="3"/>
  <c r="N940" i="3" s="1"/>
  <c r="V940" i="3"/>
  <c r="A941" i="3"/>
  <c r="B941" i="3" s="1"/>
  <c r="W940" i="3" l="1"/>
  <c r="L940" i="3"/>
  <c r="AD941" i="3"/>
  <c r="P941" i="3"/>
  <c r="Q941" i="3" s="1"/>
  <c r="R941" i="3" s="1"/>
  <c r="S941" i="3" s="1"/>
  <c r="Z941" i="3"/>
  <c r="AC941" i="3"/>
  <c r="AA941" i="3"/>
  <c r="T941" i="3" l="1"/>
  <c r="U940" i="3"/>
  <c r="Y939" i="3"/>
  <c r="E941" i="3" l="1"/>
  <c r="H941" i="3" s="1"/>
  <c r="K941" i="3" s="1"/>
  <c r="AE941" i="3" s="1"/>
  <c r="AH941" i="3"/>
  <c r="AG941" i="3"/>
  <c r="D941" i="3"/>
  <c r="F941" i="3" l="1"/>
  <c r="G941" i="3"/>
  <c r="V941" i="3"/>
  <c r="A942" i="3"/>
  <c r="B942" i="3" s="1"/>
  <c r="Z942" i="3" l="1"/>
  <c r="AD942" i="3"/>
  <c r="AC942" i="3"/>
  <c r="AA942" i="3"/>
  <c r="P942" i="3"/>
  <c r="Q942" i="3" s="1"/>
  <c r="R942" i="3" s="1"/>
  <c r="S942" i="3" s="1"/>
  <c r="I941" i="3"/>
  <c r="W941" i="3" s="1"/>
  <c r="J941" i="3"/>
  <c r="M941" i="3"/>
  <c r="N941" i="3" s="1"/>
  <c r="T942" i="3" l="1"/>
  <c r="L941" i="3"/>
  <c r="U941" i="3" l="1"/>
  <c r="E942" i="3" s="1"/>
  <c r="H942" i="3" s="1"/>
  <c r="AG942" i="3"/>
  <c r="AH942" i="3"/>
  <c r="Y940" i="3"/>
  <c r="D942" i="3" l="1"/>
  <c r="G942" i="3" s="1"/>
  <c r="K942" i="3"/>
  <c r="AE942" i="3" s="1"/>
  <c r="F942" i="3" l="1"/>
  <c r="I942" i="3"/>
  <c r="J942" i="3"/>
  <c r="M942" i="3"/>
  <c r="N942" i="3" s="1"/>
  <c r="V942" i="3"/>
  <c r="A943" i="3"/>
  <c r="B943" i="3" s="1"/>
  <c r="W942" i="3" l="1"/>
  <c r="L942" i="3"/>
  <c r="AA943" i="3"/>
  <c r="AC943" i="3"/>
  <c r="P943" i="3"/>
  <c r="Q943" i="3" s="1"/>
  <c r="R943" i="3" s="1"/>
  <c r="S943" i="3" s="1"/>
  <c r="Z943" i="3"/>
  <c r="AD943" i="3"/>
  <c r="U942" i="3" l="1"/>
  <c r="Y941" i="3"/>
  <c r="T943" i="3"/>
  <c r="AG943" i="3" s="1"/>
  <c r="E943" i="3" l="1"/>
  <c r="H943" i="3" s="1"/>
  <c r="K943" i="3" s="1"/>
  <c r="AE943" i="3" s="1"/>
  <c r="D943" i="3"/>
  <c r="AH943" i="3"/>
  <c r="F943" i="3" l="1"/>
  <c r="G943" i="3"/>
  <c r="M943" i="3" s="1"/>
  <c r="N943" i="3" s="1"/>
  <c r="V943" i="3"/>
  <c r="A944" i="3"/>
  <c r="B944" i="3" s="1"/>
  <c r="I943" i="3" l="1"/>
  <c r="W943" i="3" s="1"/>
  <c r="J943" i="3"/>
  <c r="L943" i="3" s="1"/>
  <c r="P944" i="3"/>
  <c r="Q944" i="3" s="1"/>
  <c r="R944" i="3" s="1"/>
  <c r="S944" i="3" s="1"/>
  <c r="AC944" i="3"/>
  <c r="Z944" i="3"/>
  <c r="AA944" i="3"/>
  <c r="U943" i="3" l="1"/>
  <c r="Y942" i="3"/>
  <c r="T944" i="3"/>
  <c r="AH944" i="3" s="1"/>
  <c r="D944" i="3" l="1"/>
  <c r="E944" i="3"/>
  <c r="H944" i="3" s="1"/>
  <c r="AG944" i="3"/>
  <c r="F944" i="3" l="1"/>
  <c r="G944" i="3"/>
  <c r="K944" i="3"/>
  <c r="AE944" i="3" s="1"/>
  <c r="I944" i="3" l="1"/>
  <c r="J944" i="3"/>
  <c r="AD944" i="3" s="1"/>
  <c r="M944" i="3"/>
  <c r="N944" i="3" s="1"/>
  <c r="V944" i="3"/>
  <c r="A945" i="3"/>
  <c r="B945" i="3" s="1"/>
  <c r="W944" i="3" l="1"/>
  <c r="L944" i="3"/>
  <c r="P945" i="3"/>
  <c r="Q945" i="3" s="1"/>
  <c r="R945" i="3" s="1"/>
  <c r="S945" i="3" s="1"/>
  <c r="AC945" i="3"/>
  <c r="Z945" i="3"/>
  <c r="AD945" i="3"/>
  <c r="AA945" i="3"/>
  <c r="U944" i="3" l="1"/>
  <c r="Y943" i="3"/>
  <c r="T945" i="3"/>
  <c r="D945" i="3" l="1"/>
  <c r="G945" i="3" s="1"/>
  <c r="AH945" i="3"/>
  <c r="E945" i="3"/>
  <c r="H945" i="3" s="1"/>
  <c r="AG945" i="3"/>
  <c r="F945" i="3" l="1"/>
  <c r="I945" i="3"/>
  <c r="J945" i="3"/>
  <c r="M945" i="3"/>
  <c r="N945" i="3" s="1"/>
  <c r="K945" i="3"/>
  <c r="AE945" i="3" s="1"/>
  <c r="V945" i="3" l="1"/>
  <c r="W945" i="3" s="1"/>
  <c r="A946" i="3"/>
  <c r="B946" i="3" s="1"/>
  <c r="L945" i="3"/>
  <c r="U945" i="3" l="1"/>
  <c r="Y944" i="3"/>
  <c r="P946" i="3"/>
  <c r="Q946" i="3" s="1"/>
  <c r="R946" i="3" s="1"/>
  <c r="S946" i="3" s="1"/>
  <c r="AC946" i="3"/>
  <c r="AA946" i="3"/>
  <c r="AD946" i="3"/>
  <c r="Z946" i="3"/>
  <c r="T946" i="3" l="1"/>
  <c r="E946" i="3" s="1"/>
  <c r="H946" i="3" s="1"/>
  <c r="K946" i="3" l="1"/>
  <c r="AE946" i="3" s="1"/>
  <c r="AG946" i="3"/>
  <c r="D946" i="3"/>
  <c r="AH946" i="3"/>
  <c r="F946" i="3" l="1"/>
  <c r="G946" i="3"/>
  <c r="V946" i="3"/>
  <c r="A947" i="3"/>
  <c r="B947" i="3" s="1"/>
  <c r="Z947" i="3" l="1"/>
  <c r="AC947" i="3"/>
  <c r="P947" i="3"/>
  <c r="Q947" i="3" s="1"/>
  <c r="R947" i="3" s="1"/>
  <c r="S947" i="3" s="1"/>
  <c r="AA947" i="3"/>
  <c r="AD947" i="3"/>
  <c r="I946" i="3"/>
  <c r="W946" i="3" s="1"/>
  <c r="J946" i="3"/>
  <c r="M946" i="3"/>
  <c r="N946" i="3" s="1"/>
  <c r="L946" i="3" l="1"/>
  <c r="T947" i="3"/>
  <c r="AH947" i="3" l="1"/>
  <c r="AG947" i="3"/>
  <c r="U946" i="3"/>
  <c r="E947" i="3" s="1"/>
  <c r="H947" i="3" s="1"/>
  <c r="Y945" i="3"/>
  <c r="D947" i="3" l="1"/>
  <c r="G947" i="3" s="1"/>
  <c r="K947" i="3"/>
  <c r="AE947" i="3" s="1"/>
  <c r="F947" i="3" l="1"/>
  <c r="V947" i="3"/>
  <c r="A948" i="3"/>
  <c r="B948" i="3" s="1"/>
  <c r="I947" i="3"/>
  <c r="J947" i="3"/>
  <c r="M947" i="3"/>
  <c r="N947" i="3" s="1"/>
  <c r="W947" i="3" l="1"/>
  <c r="L947" i="3"/>
  <c r="P948" i="3"/>
  <c r="Q948" i="3" s="1"/>
  <c r="R948" i="3" s="1"/>
  <c r="S948" i="3" s="1"/>
  <c r="AA948" i="3"/>
  <c r="AD948" i="3"/>
  <c r="Z948" i="3"/>
  <c r="AC948" i="3"/>
  <c r="U947" i="3" l="1"/>
  <c r="Y946" i="3"/>
  <c r="T948" i="3"/>
  <c r="AH948" i="3" s="1"/>
  <c r="AG948" i="3" l="1"/>
  <c r="E948" i="3"/>
  <c r="H948" i="3" s="1"/>
  <c r="D948" i="3"/>
  <c r="K948" i="3" l="1"/>
  <c r="AE948" i="3" s="1"/>
  <c r="F948" i="3"/>
  <c r="G948" i="3"/>
  <c r="I948" i="3" l="1"/>
  <c r="J948" i="3"/>
  <c r="M948" i="3"/>
  <c r="N948" i="3" s="1"/>
  <c r="V948" i="3"/>
  <c r="A949" i="3"/>
  <c r="B949" i="3" s="1"/>
  <c r="W948" i="3" l="1"/>
  <c r="L948" i="3"/>
  <c r="AD949" i="3"/>
  <c r="AA949" i="3"/>
  <c r="AC949" i="3"/>
  <c r="Z949" i="3"/>
  <c r="P949" i="3"/>
  <c r="Q949" i="3" s="1"/>
  <c r="R949" i="3" s="1"/>
  <c r="S949" i="3" s="1"/>
  <c r="U948" i="3" l="1"/>
  <c r="Y947" i="3"/>
  <c r="T949" i="3"/>
  <c r="AH949" i="3" s="1"/>
  <c r="AG949" i="3" l="1"/>
  <c r="D949" i="3"/>
  <c r="G949" i="3" s="1"/>
  <c r="E949" i="3"/>
  <c r="H949" i="3" s="1"/>
  <c r="K949" i="3" s="1"/>
  <c r="AE949" i="3" s="1"/>
  <c r="F949" i="3" l="1"/>
  <c r="I949" i="3"/>
  <c r="J949" i="3"/>
  <c r="M949" i="3"/>
  <c r="N949" i="3" s="1"/>
  <c r="V949" i="3"/>
  <c r="A950" i="3"/>
  <c r="B950" i="3" s="1"/>
  <c r="W949" i="3" l="1"/>
  <c r="L949" i="3"/>
  <c r="Z950" i="3"/>
  <c r="AC950" i="3"/>
  <c r="P950" i="3"/>
  <c r="Q950" i="3" s="1"/>
  <c r="R950" i="3" s="1"/>
  <c r="S950" i="3" s="1"/>
  <c r="AD950" i="3"/>
  <c r="AA950" i="3"/>
  <c r="T950" i="3" l="1"/>
  <c r="U949" i="3"/>
  <c r="Y948" i="3"/>
  <c r="D950" i="3" l="1"/>
  <c r="G950" i="3" s="1"/>
  <c r="AG950" i="3"/>
  <c r="E950" i="3"/>
  <c r="H950" i="3" s="1"/>
  <c r="K950" i="3" s="1"/>
  <c r="AE950" i="3" s="1"/>
  <c r="AH950" i="3"/>
  <c r="F950" i="3" l="1"/>
  <c r="I950" i="3"/>
  <c r="J950" i="3"/>
  <c r="M950" i="3"/>
  <c r="N950" i="3" s="1"/>
  <c r="V950" i="3"/>
  <c r="A951" i="3"/>
  <c r="B951" i="3" s="1"/>
  <c r="W950" i="3" l="1"/>
  <c r="P951" i="3"/>
  <c r="Q951" i="3" s="1"/>
  <c r="R951" i="3" s="1"/>
  <c r="S951" i="3" s="1"/>
  <c r="AA951" i="3"/>
  <c r="AC951" i="3"/>
  <c r="AD951" i="3"/>
  <c r="Z951" i="3"/>
  <c r="L950" i="3"/>
  <c r="T951" i="3" l="1"/>
  <c r="U950" i="3"/>
  <c r="Y949" i="3"/>
  <c r="D951" i="3" l="1"/>
  <c r="G951" i="3" s="1"/>
  <c r="AH951" i="3"/>
  <c r="AG951" i="3"/>
  <c r="E951" i="3"/>
  <c r="H951" i="3" s="1"/>
  <c r="K951" i="3" s="1"/>
  <c r="AE951" i="3" s="1"/>
  <c r="F951" i="3" l="1"/>
  <c r="I951" i="3"/>
  <c r="J951" i="3"/>
  <c r="M951" i="3"/>
  <c r="N951" i="3" s="1"/>
  <c r="V951" i="3"/>
  <c r="A952" i="3"/>
  <c r="B952" i="3" s="1"/>
  <c r="AC952" i="3" l="1"/>
  <c r="Z952" i="3"/>
  <c r="AD952" i="3"/>
  <c r="P952" i="3"/>
  <c r="Q952" i="3" s="1"/>
  <c r="R952" i="3" s="1"/>
  <c r="S952" i="3" s="1"/>
  <c r="AA952" i="3"/>
  <c r="W951" i="3"/>
  <c r="L951" i="3"/>
  <c r="U951" i="3" l="1"/>
  <c r="Y950" i="3"/>
  <c r="T952" i="3"/>
  <c r="D952" i="3" l="1"/>
  <c r="G952" i="3" s="1"/>
  <c r="E952" i="3"/>
  <c r="H952" i="3" s="1"/>
  <c r="AH952" i="3"/>
  <c r="AG952" i="3"/>
  <c r="F952" i="3" l="1"/>
  <c r="I952" i="3"/>
  <c r="J952" i="3"/>
  <c r="M952" i="3"/>
  <c r="N952" i="3" s="1"/>
  <c r="K952" i="3"/>
  <c r="AE952" i="3" s="1"/>
  <c r="V952" i="3" l="1"/>
  <c r="W952" i="3" s="1"/>
  <c r="A953" i="3"/>
  <c r="B953" i="3" s="1"/>
  <c r="L952" i="3"/>
  <c r="U952" i="3" l="1"/>
  <c r="Y951" i="3"/>
  <c r="Z953" i="3"/>
  <c r="AA953" i="3"/>
  <c r="AD953" i="3"/>
  <c r="P953" i="3"/>
  <c r="Q953" i="3" s="1"/>
  <c r="R953" i="3" s="1"/>
  <c r="S953" i="3" s="1"/>
  <c r="AC953" i="3"/>
  <c r="T953" i="3" l="1"/>
  <c r="AG953" i="3" s="1"/>
  <c r="E953" i="3" l="1"/>
  <c r="H953" i="3" s="1"/>
  <c r="K953" i="3" s="1"/>
  <c r="AE953" i="3" s="1"/>
  <c r="AH953" i="3"/>
  <c r="D953" i="3"/>
  <c r="G953" i="3" s="1"/>
  <c r="F953" i="3" l="1"/>
  <c r="I953" i="3"/>
  <c r="J953" i="3"/>
  <c r="M953" i="3"/>
  <c r="N953" i="3" s="1"/>
  <c r="V953" i="3"/>
  <c r="A954" i="3"/>
  <c r="B954" i="3" s="1"/>
  <c r="W953" i="3" l="1"/>
  <c r="L953" i="3"/>
  <c r="AA954" i="3"/>
  <c r="P954" i="3"/>
  <c r="Q954" i="3" s="1"/>
  <c r="R954" i="3" s="1"/>
  <c r="S954" i="3" s="1"/>
  <c r="AC954" i="3"/>
  <c r="Z954" i="3"/>
  <c r="T954" i="3" l="1"/>
  <c r="U953" i="3"/>
  <c r="Y952" i="3"/>
  <c r="E954" i="3" l="1"/>
  <c r="H954" i="3" s="1"/>
  <c r="K954" i="3" s="1"/>
  <c r="AE954" i="3" s="1"/>
  <c r="AG954" i="3"/>
  <c r="AH954" i="3"/>
  <c r="D954" i="3"/>
  <c r="G954" i="3" s="1"/>
  <c r="F954" i="3" l="1"/>
  <c r="V954" i="3"/>
  <c r="A955" i="3"/>
  <c r="B955" i="3" s="1"/>
  <c r="I954" i="3"/>
  <c r="J954" i="3"/>
  <c r="AD954" i="3" s="1"/>
  <c r="M954" i="3"/>
  <c r="N954" i="3" s="1"/>
  <c r="W954" i="3" l="1"/>
  <c r="L954" i="3"/>
  <c r="P955" i="3"/>
  <c r="Q955" i="3" s="1"/>
  <c r="R955" i="3" s="1"/>
  <c r="S955" i="3" s="1"/>
  <c r="AA955" i="3"/>
  <c r="AD955" i="3"/>
  <c r="AC955" i="3"/>
  <c r="Z955" i="3"/>
  <c r="U954" i="3" l="1"/>
  <c r="Y953" i="3"/>
  <c r="T955" i="3"/>
  <c r="AG955" i="3" s="1"/>
  <c r="AH955" i="3" l="1"/>
  <c r="D955" i="3"/>
  <c r="E955" i="3"/>
  <c r="H955" i="3" s="1"/>
  <c r="F955" i="3" l="1"/>
  <c r="G955" i="3"/>
  <c r="K955" i="3"/>
  <c r="AE955" i="3" s="1"/>
  <c r="I955" i="3" l="1"/>
  <c r="J955" i="3"/>
  <c r="M955" i="3"/>
  <c r="N955" i="3" s="1"/>
  <c r="V955" i="3"/>
  <c r="A956" i="3"/>
  <c r="B956" i="3" s="1"/>
  <c r="W955" i="3" l="1"/>
  <c r="L955" i="3"/>
  <c r="AA956" i="3"/>
  <c r="P956" i="3"/>
  <c r="Q956" i="3" s="1"/>
  <c r="R956" i="3" s="1"/>
  <c r="S956" i="3" s="1"/>
  <c r="Z956" i="3"/>
  <c r="AD956" i="3"/>
  <c r="AC956" i="3"/>
  <c r="U955" i="3" l="1"/>
  <c r="Y954" i="3"/>
  <c r="T956" i="3"/>
  <c r="AH956" i="3" s="1"/>
  <c r="AG956" i="3" l="1"/>
  <c r="E956" i="3"/>
  <c r="H956" i="3" s="1"/>
  <c r="K956" i="3" s="1"/>
  <c r="AE956" i="3" s="1"/>
  <c r="D956" i="3"/>
  <c r="V956" i="3" l="1"/>
  <c r="A957" i="3"/>
  <c r="B957" i="3" s="1"/>
  <c r="F956" i="3"/>
  <c r="G956" i="3"/>
  <c r="I956" i="3" l="1"/>
  <c r="W956" i="3" s="1"/>
  <c r="J956" i="3"/>
  <c r="M956" i="3"/>
  <c r="N956" i="3" s="1"/>
  <c r="AA957" i="3"/>
  <c r="AD957" i="3"/>
  <c r="Z957" i="3"/>
  <c r="P957" i="3"/>
  <c r="Q957" i="3" s="1"/>
  <c r="R957" i="3" s="1"/>
  <c r="S957" i="3" s="1"/>
  <c r="AC957" i="3"/>
  <c r="T957" i="3" l="1"/>
  <c r="L956" i="3"/>
  <c r="AG957" i="3" l="1"/>
  <c r="U956" i="3"/>
  <c r="E957" i="3" s="1"/>
  <c r="H957" i="3" s="1"/>
  <c r="AH957" i="3"/>
  <c r="Y955" i="3"/>
  <c r="D957" i="3" l="1"/>
  <c r="G957" i="3" s="1"/>
  <c r="K957" i="3"/>
  <c r="AE957" i="3" s="1"/>
  <c r="F957" i="3" l="1"/>
  <c r="I957" i="3"/>
  <c r="J957" i="3"/>
  <c r="M957" i="3"/>
  <c r="N957" i="3" s="1"/>
  <c r="V957" i="3"/>
  <c r="A958" i="3"/>
  <c r="B958" i="3" s="1"/>
  <c r="W957" i="3" l="1"/>
  <c r="L957" i="3"/>
  <c r="AC958" i="3"/>
  <c r="AA958" i="3"/>
  <c r="P958" i="3"/>
  <c r="Q958" i="3" s="1"/>
  <c r="R958" i="3" s="1"/>
  <c r="S958" i="3" s="1"/>
  <c r="Z958" i="3"/>
  <c r="AD958" i="3"/>
  <c r="T958" i="3" l="1"/>
  <c r="AH958" i="3" s="1"/>
  <c r="U957" i="3"/>
  <c r="Y956" i="3"/>
  <c r="AG958" i="3" l="1"/>
  <c r="D958" i="3"/>
  <c r="E958" i="3"/>
  <c r="H958" i="3" s="1"/>
  <c r="K958" i="3" l="1"/>
  <c r="AE958" i="3" s="1"/>
  <c r="F958" i="3"/>
  <c r="G958" i="3"/>
  <c r="V958" i="3" l="1"/>
  <c r="A959" i="3"/>
  <c r="B959" i="3" s="1"/>
  <c r="I958" i="3"/>
  <c r="J958" i="3"/>
  <c r="M958" i="3"/>
  <c r="N958" i="3" s="1"/>
  <c r="W958" i="3" l="1"/>
  <c r="L958" i="3"/>
  <c r="Z959" i="3"/>
  <c r="AC959" i="3"/>
  <c r="P959" i="3"/>
  <c r="Q959" i="3" s="1"/>
  <c r="R959" i="3" s="1"/>
  <c r="S959" i="3" s="1"/>
  <c r="AA959" i="3"/>
  <c r="AD959" i="3"/>
  <c r="T959" i="3" l="1"/>
  <c r="AH959" i="3" s="1"/>
  <c r="U958" i="3"/>
  <c r="Y957" i="3"/>
  <c r="AG959" i="3" l="1"/>
  <c r="E959" i="3"/>
  <c r="H959" i="3" s="1"/>
  <c r="K959" i="3" s="1"/>
  <c r="AE959" i="3" s="1"/>
  <c r="D959" i="3"/>
  <c r="F959" i="3" l="1"/>
  <c r="G959" i="3"/>
  <c r="V959" i="3"/>
  <c r="A960" i="3"/>
  <c r="B960" i="3" s="1"/>
  <c r="AD960" i="3" l="1"/>
  <c r="Z960" i="3"/>
  <c r="AA960" i="3"/>
  <c r="P960" i="3"/>
  <c r="Q960" i="3" s="1"/>
  <c r="R960" i="3" s="1"/>
  <c r="S960" i="3" s="1"/>
  <c r="AC960" i="3"/>
  <c r="I959" i="3"/>
  <c r="W959" i="3" s="1"/>
  <c r="J959" i="3"/>
  <c r="M959" i="3"/>
  <c r="N959" i="3" s="1"/>
  <c r="T960" i="3" l="1"/>
  <c r="L959" i="3"/>
  <c r="U959" i="3" l="1"/>
  <c r="E960" i="3" s="1"/>
  <c r="H960" i="3" s="1"/>
  <c r="AG960" i="3"/>
  <c r="AH960" i="3"/>
  <c r="Y958" i="3"/>
  <c r="D960" i="3" l="1"/>
  <c r="G960" i="3" s="1"/>
  <c r="K960" i="3"/>
  <c r="AE960" i="3" s="1"/>
  <c r="F960" i="3" l="1"/>
  <c r="I960" i="3"/>
  <c r="J960" i="3"/>
  <c r="M960" i="3"/>
  <c r="N960" i="3" s="1"/>
  <c r="V960" i="3"/>
  <c r="A961" i="3"/>
  <c r="B961" i="3" s="1"/>
  <c r="W960" i="3" l="1"/>
  <c r="P961" i="3"/>
  <c r="Q961" i="3" s="1"/>
  <c r="R961" i="3" s="1"/>
  <c r="S961" i="3" s="1"/>
  <c r="AD961" i="3"/>
  <c r="AC961" i="3"/>
  <c r="Z961" i="3"/>
  <c r="AA961" i="3"/>
  <c r="L960" i="3"/>
  <c r="U960" i="3" l="1"/>
  <c r="Y959" i="3"/>
  <c r="T961" i="3"/>
  <c r="D961" i="3" l="1"/>
  <c r="G961" i="3" s="1"/>
  <c r="AH961" i="3"/>
  <c r="AG961" i="3"/>
  <c r="E961" i="3"/>
  <c r="H961" i="3" s="1"/>
  <c r="K961" i="3" l="1"/>
  <c r="AE961" i="3" s="1"/>
  <c r="I961" i="3"/>
  <c r="J961" i="3"/>
  <c r="M961" i="3"/>
  <c r="N961" i="3" s="1"/>
  <c r="F961" i="3"/>
  <c r="L961" i="3" l="1"/>
  <c r="V961" i="3"/>
  <c r="W961" i="3" s="1"/>
  <c r="A962" i="3"/>
  <c r="B962" i="3" s="1"/>
  <c r="Z962" i="3" l="1"/>
  <c r="AA962" i="3"/>
  <c r="P962" i="3"/>
  <c r="Q962" i="3" s="1"/>
  <c r="R962" i="3" s="1"/>
  <c r="S962" i="3" s="1"/>
  <c r="AC962" i="3"/>
  <c r="AD962" i="3"/>
  <c r="U961" i="3"/>
  <c r="Y960" i="3"/>
  <c r="T962" i="3" l="1"/>
  <c r="E962" i="3" s="1"/>
  <c r="H962" i="3" s="1"/>
  <c r="AH962" i="3" l="1"/>
  <c r="K962" i="3"/>
  <c r="AE962" i="3" s="1"/>
  <c r="D962" i="3"/>
  <c r="AG962" i="3"/>
  <c r="V962" i="3" l="1"/>
  <c r="A963" i="3"/>
  <c r="B963" i="3" s="1"/>
  <c r="F962" i="3"/>
  <c r="G962" i="3"/>
  <c r="P963" i="3" l="1"/>
  <c r="Q963" i="3" s="1"/>
  <c r="R963" i="3" s="1"/>
  <c r="S963" i="3" s="1"/>
  <c r="AC963" i="3"/>
  <c r="Z963" i="3"/>
  <c r="AA963" i="3"/>
  <c r="AD963" i="3"/>
  <c r="I962" i="3"/>
  <c r="W962" i="3" s="1"/>
  <c r="J962" i="3"/>
  <c r="M962" i="3"/>
  <c r="N962" i="3" s="1"/>
  <c r="T963" i="3" l="1"/>
  <c r="L962" i="3"/>
  <c r="U962" i="3" l="1"/>
  <c r="E963" i="3" s="1"/>
  <c r="H963" i="3" s="1"/>
  <c r="AG963" i="3"/>
  <c r="AH963" i="3"/>
  <c r="Y961" i="3"/>
  <c r="D963" i="3" l="1"/>
  <c r="G963" i="3" s="1"/>
  <c r="K963" i="3"/>
  <c r="AE963" i="3" s="1"/>
  <c r="F963" i="3" l="1"/>
  <c r="I963" i="3"/>
  <c r="J963" i="3"/>
  <c r="M963" i="3"/>
  <c r="N963" i="3" s="1"/>
  <c r="V963" i="3"/>
  <c r="A964" i="3"/>
  <c r="B964" i="3" s="1"/>
  <c r="W963" i="3" l="1"/>
  <c r="L963" i="3"/>
  <c r="Z964" i="3"/>
  <c r="P964" i="3"/>
  <c r="Q964" i="3" s="1"/>
  <c r="R964" i="3" s="1"/>
  <c r="S964" i="3" s="1"/>
  <c r="AA964" i="3"/>
  <c r="AC964" i="3"/>
  <c r="U963" i="3" l="1"/>
  <c r="Y962" i="3"/>
  <c r="T964" i="3"/>
  <c r="D964" i="3" l="1"/>
  <c r="G964" i="3" s="1"/>
  <c r="E964" i="3"/>
  <c r="H964" i="3" s="1"/>
  <c r="K964" i="3" s="1"/>
  <c r="AE964" i="3" s="1"/>
  <c r="AH964" i="3"/>
  <c r="AG964" i="3"/>
  <c r="F964" i="3" l="1"/>
  <c r="I964" i="3"/>
  <c r="J964" i="3"/>
  <c r="AD964" i="3" s="1"/>
  <c r="M964" i="3"/>
  <c r="N964" i="3" s="1"/>
  <c r="V964" i="3"/>
  <c r="A965" i="3"/>
  <c r="B965" i="3" s="1"/>
  <c r="W964" i="3" l="1"/>
  <c r="L964" i="3"/>
  <c r="AC965" i="3"/>
  <c r="P965" i="3"/>
  <c r="Q965" i="3" s="1"/>
  <c r="R965" i="3" s="1"/>
  <c r="S965" i="3" s="1"/>
  <c r="AA965" i="3"/>
  <c r="Z965" i="3"/>
  <c r="U964" i="3" l="1"/>
  <c r="Y963" i="3"/>
  <c r="T965" i="3"/>
  <c r="AH965" i="3" s="1"/>
  <c r="AG965" i="3" l="1"/>
  <c r="E965" i="3"/>
  <c r="H965" i="3" s="1"/>
  <c r="D965" i="3"/>
  <c r="F965" i="3" l="1"/>
  <c r="G965" i="3"/>
  <c r="K965" i="3"/>
  <c r="AE965" i="3" s="1"/>
  <c r="V965" i="3" l="1"/>
  <c r="A966" i="3"/>
  <c r="B966" i="3" s="1"/>
  <c r="I965" i="3"/>
  <c r="J965" i="3"/>
  <c r="AD965" i="3" s="1"/>
  <c r="M965" i="3"/>
  <c r="N965" i="3" s="1"/>
  <c r="L965" i="3" l="1"/>
  <c r="P966" i="3"/>
  <c r="Q966" i="3" s="1"/>
  <c r="R966" i="3" s="1"/>
  <c r="S966" i="3" s="1"/>
  <c r="AA966" i="3"/>
  <c r="Z966" i="3"/>
  <c r="AC966" i="3"/>
  <c r="W965" i="3"/>
  <c r="T966" i="3" l="1"/>
  <c r="AG966" i="3" s="1"/>
  <c r="U965" i="3"/>
  <c r="Y964" i="3"/>
  <c r="E966" i="3" l="1"/>
  <c r="H966" i="3" s="1"/>
  <c r="D966" i="3"/>
  <c r="AH966" i="3"/>
  <c r="K966" i="3" l="1"/>
  <c r="AE966" i="3" s="1"/>
  <c r="F966" i="3"/>
  <c r="G966" i="3"/>
  <c r="I966" i="3" l="1"/>
  <c r="J966" i="3"/>
  <c r="AD966" i="3" s="1"/>
  <c r="M966" i="3"/>
  <c r="N966" i="3" s="1"/>
  <c r="V966" i="3"/>
  <c r="A967" i="3"/>
  <c r="B967" i="3" s="1"/>
  <c r="W966" i="3" l="1"/>
  <c r="L966" i="3"/>
  <c r="AA967" i="3"/>
  <c r="P967" i="3"/>
  <c r="Q967" i="3" s="1"/>
  <c r="R967" i="3" s="1"/>
  <c r="S967" i="3" s="1"/>
  <c r="AC967" i="3"/>
  <c r="Z967" i="3"/>
  <c r="U966" i="3" l="1"/>
  <c r="Y965" i="3"/>
  <c r="T967" i="3"/>
  <c r="E967" i="3" l="1"/>
  <c r="H967" i="3" s="1"/>
  <c r="K967" i="3" s="1"/>
  <c r="AE967" i="3" s="1"/>
  <c r="AH967" i="3"/>
  <c r="AG967" i="3"/>
  <c r="D967" i="3"/>
  <c r="V967" i="3" l="1"/>
  <c r="A968" i="3"/>
  <c r="B968" i="3" s="1"/>
  <c r="F967" i="3"/>
  <c r="G967" i="3"/>
  <c r="I967" i="3" l="1"/>
  <c r="W967" i="3" s="1"/>
  <c r="J967" i="3"/>
  <c r="AD967" i="3" s="1"/>
  <c r="M967" i="3"/>
  <c r="N967" i="3" s="1"/>
  <c r="Z968" i="3"/>
  <c r="AA968" i="3"/>
  <c r="P968" i="3"/>
  <c r="Q968" i="3" s="1"/>
  <c r="R968" i="3" s="1"/>
  <c r="S968" i="3" s="1"/>
  <c r="AC968" i="3"/>
  <c r="L967" i="3" l="1"/>
  <c r="T968" i="3"/>
  <c r="AH968" i="3" l="1"/>
  <c r="AG968" i="3"/>
  <c r="U967" i="3"/>
  <c r="E968" i="3" s="1"/>
  <c r="H968" i="3" s="1"/>
  <c r="Y966" i="3"/>
  <c r="K968" i="3" l="1"/>
  <c r="AE968" i="3" s="1"/>
  <c r="D968" i="3"/>
  <c r="V968" i="3" l="1"/>
  <c r="A969" i="3"/>
  <c r="B969" i="3" s="1"/>
  <c r="F968" i="3"/>
  <c r="G968" i="3"/>
  <c r="I968" i="3" l="1"/>
  <c r="W968" i="3" s="1"/>
  <c r="J968" i="3"/>
  <c r="AD968" i="3" s="1"/>
  <c r="M968" i="3"/>
  <c r="N968" i="3" s="1"/>
  <c r="AA969" i="3"/>
  <c r="Z969" i="3"/>
  <c r="P969" i="3"/>
  <c r="Q969" i="3" s="1"/>
  <c r="R969" i="3" s="1"/>
  <c r="S969" i="3" s="1"/>
  <c r="AC969" i="3"/>
  <c r="T969" i="3" l="1"/>
  <c r="L968" i="3"/>
  <c r="AH969" i="3" l="1"/>
  <c r="U968" i="3"/>
  <c r="D969" i="3" s="1"/>
  <c r="AG969" i="3"/>
  <c r="Y967" i="3"/>
  <c r="G969" i="3" l="1"/>
  <c r="E969" i="3"/>
  <c r="H969" i="3" s="1"/>
  <c r="F969" i="3" l="1"/>
  <c r="I969" i="3"/>
  <c r="J969" i="3"/>
  <c r="AD969" i="3" s="1"/>
  <c r="M969" i="3"/>
  <c r="N969" i="3" s="1"/>
  <c r="K969" i="3"/>
  <c r="AE969" i="3" s="1"/>
  <c r="V969" i="3" l="1"/>
  <c r="W969" i="3" s="1"/>
  <c r="A970" i="3"/>
  <c r="B970" i="3" s="1"/>
  <c r="L969" i="3"/>
  <c r="U969" i="3" l="1"/>
  <c r="Y968" i="3"/>
  <c r="AA970" i="3"/>
  <c r="P970" i="3"/>
  <c r="Q970" i="3" s="1"/>
  <c r="R970" i="3" s="1"/>
  <c r="S970" i="3" s="1"/>
  <c r="AC970" i="3"/>
  <c r="Z970" i="3"/>
  <c r="T970" i="3" l="1"/>
  <c r="E970" i="3" s="1"/>
  <c r="H970" i="3" s="1"/>
  <c r="AH970" i="3" l="1"/>
  <c r="K970" i="3"/>
  <c r="AE970" i="3" s="1"/>
  <c r="D970" i="3"/>
  <c r="AG970" i="3"/>
  <c r="V970" i="3" l="1"/>
  <c r="A971" i="3"/>
  <c r="B971" i="3" s="1"/>
  <c r="F970" i="3"/>
  <c r="G970" i="3"/>
  <c r="I970" i="3" l="1"/>
  <c r="W970" i="3" s="1"/>
  <c r="J970" i="3"/>
  <c r="AD970" i="3" s="1"/>
  <c r="M970" i="3"/>
  <c r="N970" i="3" s="1"/>
  <c r="P971" i="3"/>
  <c r="Q971" i="3" s="1"/>
  <c r="R971" i="3" s="1"/>
  <c r="S971" i="3" s="1"/>
  <c r="Z971" i="3"/>
  <c r="AC971" i="3"/>
  <c r="AA971" i="3"/>
  <c r="T971" i="3" l="1"/>
  <c r="L970" i="3"/>
  <c r="U970" i="3" l="1"/>
  <c r="E971" i="3" s="1"/>
  <c r="H971" i="3" s="1"/>
  <c r="AH971" i="3"/>
  <c r="AG971" i="3"/>
  <c r="Y969" i="3"/>
  <c r="K971" i="3" l="1"/>
  <c r="AE971" i="3" s="1"/>
  <c r="D971" i="3"/>
  <c r="V971" i="3" l="1"/>
  <c r="A972" i="3"/>
  <c r="B972" i="3" s="1"/>
  <c r="F971" i="3"/>
  <c r="G971" i="3"/>
  <c r="I971" i="3" l="1"/>
  <c r="W971" i="3" s="1"/>
  <c r="J971" i="3"/>
  <c r="AD971" i="3" s="1"/>
  <c r="M971" i="3"/>
  <c r="N971" i="3" s="1"/>
  <c r="AC972" i="3"/>
  <c r="Z972" i="3"/>
  <c r="P972" i="3"/>
  <c r="Q972" i="3" s="1"/>
  <c r="R972" i="3" s="1"/>
  <c r="S972" i="3" s="1"/>
  <c r="AA972" i="3"/>
  <c r="T972" i="3" l="1"/>
  <c r="L971" i="3"/>
  <c r="U971" i="3" l="1"/>
  <c r="D972" i="3" s="1"/>
  <c r="AH972" i="3"/>
  <c r="AG972" i="3"/>
  <c r="Y970" i="3"/>
  <c r="E972" i="3" l="1"/>
  <c r="H972" i="3" s="1"/>
  <c r="K972" i="3" s="1"/>
  <c r="AE972" i="3" s="1"/>
  <c r="G972" i="3"/>
  <c r="F972" i="3" l="1"/>
  <c r="V972" i="3"/>
  <c r="A973" i="3"/>
  <c r="B973" i="3" s="1"/>
  <c r="I972" i="3"/>
  <c r="J972" i="3"/>
  <c r="AD972" i="3" s="1"/>
  <c r="M972" i="3"/>
  <c r="N972" i="3" s="1"/>
  <c r="W972" i="3" l="1"/>
  <c r="L972" i="3"/>
  <c r="AC973" i="3"/>
  <c r="P973" i="3"/>
  <c r="Q973" i="3" s="1"/>
  <c r="R973" i="3" s="1"/>
  <c r="S973" i="3" s="1"/>
  <c r="Z973" i="3"/>
  <c r="AA973" i="3"/>
  <c r="U972" i="3" l="1"/>
  <c r="Y971" i="3"/>
  <c r="T973" i="3"/>
  <c r="AG973" i="3" s="1"/>
  <c r="D973" i="3" l="1"/>
  <c r="G973" i="3" s="1"/>
  <c r="E973" i="3"/>
  <c r="H973" i="3" s="1"/>
  <c r="K973" i="3" s="1"/>
  <c r="AE973" i="3" s="1"/>
  <c r="AH973" i="3"/>
  <c r="F973" i="3" l="1"/>
  <c r="I973" i="3"/>
  <c r="J973" i="3"/>
  <c r="AD973" i="3" s="1"/>
  <c r="M973" i="3"/>
  <c r="N973" i="3" s="1"/>
  <c r="V973" i="3"/>
  <c r="A974" i="3"/>
  <c r="B974" i="3" s="1"/>
  <c r="W973" i="3" l="1"/>
  <c r="L973" i="3"/>
  <c r="P974" i="3"/>
  <c r="Q974" i="3" s="1"/>
  <c r="R974" i="3" s="1"/>
  <c r="S974" i="3" s="1"/>
  <c r="AA974" i="3"/>
  <c r="Z974" i="3"/>
  <c r="AC974" i="3"/>
  <c r="T974" i="3" l="1"/>
  <c r="AG974" i="3" s="1"/>
  <c r="U973" i="3"/>
  <c r="Y972" i="3"/>
  <c r="AH974" i="3" l="1"/>
  <c r="E974" i="3"/>
  <c r="H974" i="3" s="1"/>
  <c r="D974" i="3"/>
  <c r="K974" i="3" l="1"/>
  <c r="AE974" i="3" s="1"/>
  <c r="F974" i="3"/>
  <c r="G974" i="3"/>
  <c r="I974" i="3" l="1"/>
  <c r="J974" i="3"/>
  <c r="AD974" i="3" s="1"/>
  <c r="M974" i="3"/>
  <c r="N974" i="3" s="1"/>
  <c r="V974" i="3"/>
  <c r="A975" i="3"/>
  <c r="B975" i="3" s="1"/>
  <c r="W974" i="3" l="1"/>
  <c r="L974" i="3"/>
  <c r="AD975" i="3"/>
  <c r="P975" i="3"/>
  <c r="Q975" i="3" s="1"/>
  <c r="R975" i="3" s="1"/>
  <c r="S975" i="3" s="1"/>
  <c r="AC975" i="3"/>
  <c r="Z975" i="3"/>
  <c r="AA975" i="3"/>
  <c r="U974" i="3" l="1"/>
  <c r="Y973" i="3"/>
  <c r="T975" i="3"/>
  <c r="D975" i="3" l="1"/>
  <c r="G975" i="3" s="1"/>
  <c r="AH975" i="3"/>
  <c r="E975" i="3"/>
  <c r="H975" i="3" s="1"/>
  <c r="K975" i="3" s="1"/>
  <c r="AE975" i="3" s="1"/>
  <c r="AG975" i="3"/>
  <c r="F975" i="3" l="1"/>
  <c r="V975" i="3"/>
  <c r="A976" i="3"/>
  <c r="B976" i="3" s="1"/>
  <c r="I975" i="3"/>
  <c r="J975" i="3"/>
  <c r="M975" i="3"/>
  <c r="N975" i="3" s="1"/>
  <c r="W975" i="3" l="1"/>
  <c r="L975" i="3"/>
  <c r="AA976" i="3"/>
  <c r="AC976" i="3"/>
  <c r="Z976" i="3"/>
  <c r="AD976" i="3"/>
  <c r="P976" i="3"/>
  <c r="Q976" i="3" s="1"/>
  <c r="R976" i="3" s="1"/>
  <c r="S976" i="3" s="1"/>
  <c r="U975" i="3" l="1"/>
  <c r="Y974" i="3"/>
  <c r="T976" i="3"/>
  <c r="AG976" i="3" s="1"/>
  <c r="AH976" i="3" l="1"/>
  <c r="E976" i="3"/>
  <c r="H976" i="3" s="1"/>
  <c r="D976" i="3"/>
  <c r="K976" i="3" l="1"/>
  <c r="AE976" i="3" s="1"/>
  <c r="F976" i="3"/>
  <c r="G976" i="3"/>
  <c r="I976" i="3" l="1"/>
  <c r="J976" i="3"/>
  <c r="M976" i="3"/>
  <c r="N976" i="3" s="1"/>
  <c r="V976" i="3"/>
  <c r="A977" i="3"/>
  <c r="B977" i="3" s="1"/>
  <c r="W976" i="3" l="1"/>
  <c r="L976" i="3"/>
  <c r="Z977" i="3"/>
  <c r="P977" i="3"/>
  <c r="Q977" i="3" s="1"/>
  <c r="R977" i="3" s="1"/>
  <c r="S977" i="3" s="1"/>
  <c r="AC977" i="3"/>
  <c r="AA977" i="3"/>
  <c r="AD977" i="3"/>
  <c r="T977" i="3" l="1"/>
  <c r="U976" i="3"/>
  <c r="Y975" i="3"/>
  <c r="E977" i="3" l="1"/>
  <c r="H977" i="3" s="1"/>
  <c r="K977" i="3" s="1"/>
  <c r="AE977" i="3" s="1"/>
  <c r="AG977" i="3"/>
  <c r="D977" i="3"/>
  <c r="G977" i="3" s="1"/>
  <c r="AH977" i="3"/>
  <c r="F977" i="3" l="1"/>
  <c r="I977" i="3"/>
  <c r="J977" i="3"/>
  <c r="M977" i="3"/>
  <c r="N977" i="3" s="1"/>
  <c r="V977" i="3"/>
  <c r="A978" i="3"/>
  <c r="B978" i="3" s="1"/>
  <c r="W977" i="3" l="1"/>
  <c r="L977" i="3"/>
  <c r="AC978" i="3"/>
  <c r="AD978" i="3"/>
  <c r="Z978" i="3"/>
  <c r="AA978" i="3"/>
  <c r="P978" i="3"/>
  <c r="Q978" i="3" s="1"/>
  <c r="R978" i="3" s="1"/>
  <c r="S978" i="3" s="1"/>
  <c r="T978" i="3" l="1"/>
  <c r="U977" i="3"/>
  <c r="Y976" i="3"/>
  <c r="D978" i="3" l="1"/>
  <c r="G978" i="3" s="1"/>
  <c r="E978" i="3"/>
  <c r="H978" i="3" s="1"/>
  <c r="K978" i="3" s="1"/>
  <c r="AE978" i="3" s="1"/>
  <c r="AH978" i="3"/>
  <c r="AG978" i="3"/>
  <c r="F978" i="3" l="1"/>
  <c r="I978" i="3"/>
  <c r="J978" i="3"/>
  <c r="M978" i="3"/>
  <c r="N978" i="3" s="1"/>
  <c r="V978" i="3"/>
  <c r="A979" i="3"/>
  <c r="B979" i="3" s="1"/>
  <c r="W978" i="3" l="1"/>
  <c r="L978" i="3"/>
  <c r="AC979" i="3"/>
  <c r="AA979" i="3"/>
  <c r="AD979" i="3"/>
  <c r="Z979" i="3"/>
  <c r="P979" i="3"/>
  <c r="Q979" i="3" s="1"/>
  <c r="R979" i="3" s="1"/>
  <c r="S979" i="3" s="1"/>
  <c r="T979" i="3" l="1"/>
  <c r="U978" i="3"/>
  <c r="Y977" i="3"/>
  <c r="D979" i="3" l="1"/>
  <c r="G979" i="3" s="1"/>
  <c r="AH979" i="3"/>
  <c r="E979" i="3"/>
  <c r="H979" i="3" s="1"/>
  <c r="K979" i="3" s="1"/>
  <c r="AE979" i="3" s="1"/>
  <c r="AG979" i="3"/>
  <c r="F979" i="3" l="1"/>
  <c r="V979" i="3"/>
  <c r="A980" i="3"/>
  <c r="B980" i="3" s="1"/>
  <c r="I979" i="3"/>
  <c r="J979" i="3"/>
  <c r="M979" i="3"/>
  <c r="N979" i="3" s="1"/>
  <c r="W979" i="3" l="1"/>
  <c r="L979" i="3"/>
  <c r="P980" i="3"/>
  <c r="Q980" i="3" s="1"/>
  <c r="R980" i="3" s="1"/>
  <c r="S980" i="3" s="1"/>
  <c r="AA980" i="3"/>
  <c r="AD980" i="3"/>
  <c r="AC980" i="3"/>
  <c r="Z980" i="3"/>
  <c r="U979" i="3" l="1"/>
  <c r="Y978" i="3"/>
  <c r="T980" i="3"/>
  <c r="AH980" i="3" s="1"/>
  <c r="D980" i="3" l="1"/>
  <c r="G980" i="3" s="1"/>
  <c r="E980" i="3"/>
  <c r="H980" i="3" s="1"/>
  <c r="K980" i="3" s="1"/>
  <c r="AE980" i="3" s="1"/>
  <c r="AG980" i="3"/>
  <c r="F980" i="3" l="1"/>
  <c r="I980" i="3"/>
  <c r="J980" i="3"/>
  <c r="M980" i="3"/>
  <c r="N980" i="3" s="1"/>
  <c r="V980" i="3"/>
  <c r="A981" i="3"/>
  <c r="B981" i="3" s="1"/>
  <c r="W980" i="3" l="1"/>
  <c r="L980" i="3"/>
  <c r="AD981" i="3"/>
  <c r="AA981" i="3"/>
  <c r="AC981" i="3"/>
  <c r="Z981" i="3"/>
  <c r="P981" i="3"/>
  <c r="Q981" i="3" s="1"/>
  <c r="R981" i="3" s="1"/>
  <c r="S981" i="3" s="1"/>
  <c r="U980" i="3" l="1"/>
  <c r="Y979" i="3"/>
  <c r="T981" i="3"/>
  <c r="AH981" i="3" s="1"/>
  <c r="D981" i="3" l="1"/>
  <c r="G981" i="3" s="1"/>
  <c r="AG981" i="3"/>
  <c r="E981" i="3"/>
  <c r="H981" i="3" s="1"/>
  <c r="F981" i="3" l="1"/>
  <c r="I981" i="3"/>
  <c r="J981" i="3"/>
  <c r="M981" i="3"/>
  <c r="N981" i="3" s="1"/>
  <c r="K981" i="3"/>
  <c r="AE981" i="3" s="1"/>
  <c r="V981" i="3" l="1"/>
  <c r="W981" i="3" s="1"/>
  <c r="A982" i="3"/>
  <c r="B982" i="3" s="1"/>
  <c r="L981" i="3"/>
  <c r="U981" i="3" l="1"/>
  <c r="Y980" i="3"/>
  <c r="P982" i="3"/>
  <c r="Q982" i="3" s="1"/>
  <c r="R982" i="3" s="1"/>
  <c r="S982" i="3" s="1"/>
  <c r="AD982" i="3"/>
  <c r="AC982" i="3"/>
  <c r="AA982" i="3"/>
  <c r="Z982" i="3"/>
  <c r="T982" i="3" l="1"/>
  <c r="E982" i="3" s="1"/>
  <c r="H982" i="3" s="1"/>
  <c r="AG982" i="3" l="1"/>
  <c r="AH982" i="3"/>
  <c r="D982" i="3"/>
  <c r="G982" i="3" s="1"/>
  <c r="K982" i="3"/>
  <c r="AE982" i="3" s="1"/>
  <c r="F982" i="3" l="1"/>
  <c r="I982" i="3"/>
  <c r="J982" i="3"/>
  <c r="M982" i="3"/>
  <c r="N982" i="3" s="1"/>
  <c r="V982" i="3"/>
  <c r="A983" i="3"/>
  <c r="B983" i="3" s="1"/>
  <c r="W982" i="3" l="1"/>
  <c r="L982" i="3"/>
  <c r="AD983" i="3"/>
  <c r="Z983" i="3"/>
  <c r="P983" i="3"/>
  <c r="Q983" i="3" s="1"/>
  <c r="R983" i="3" s="1"/>
  <c r="S983" i="3" s="1"/>
  <c r="AA983" i="3"/>
  <c r="AC983" i="3"/>
  <c r="U982" i="3" l="1"/>
  <c r="Y981" i="3"/>
  <c r="T983" i="3"/>
  <c r="AG983" i="3" s="1"/>
  <c r="E983" i="3" l="1"/>
  <c r="H983" i="3" s="1"/>
  <c r="K983" i="3" s="1"/>
  <c r="AE983" i="3" s="1"/>
  <c r="D983" i="3"/>
  <c r="AH983" i="3"/>
  <c r="F983" i="3" l="1"/>
  <c r="G983" i="3"/>
  <c r="M983" i="3" s="1"/>
  <c r="N983" i="3" s="1"/>
  <c r="V983" i="3"/>
  <c r="A984" i="3"/>
  <c r="B984" i="3" s="1"/>
  <c r="I983" i="3" l="1"/>
  <c r="W983" i="3" s="1"/>
  <c r="J983" i="3"/>
  <c r="L983" i="3" s="1"/>
  <c r="P984" i="3"/>
  <c r="Q984" i="3" s="1"/>
  <c r="R984" i="3" s="1"/>
  <c r="S984" i="3" s="1"/>
  <c r="AA984" i="3"/>
  <c r="Z984" i="3"/>
  <c r="AC984" i="3"/>
  <c r="U983" i="3" l="1"/>
  <c r="Y982" i="3"/>
  <c r="T984" i="3"/>
  <c r="E984" i="3" l="1"/>
  <c r="H984" i="3" s="1"/>
  <c r="K984" i="3" s="1"/>
  <c r="AE984" i="3" s="1"/>
  <c r="AG984" i="3"/>
  <c r="D984" i="3"/>
  <c r="AH984" i="3"/>
  <c r="F984" i="3" l="1"/>
  <c r="G984" i="3"/>
  <c r="V984" i="3"/>
  <c r="A985" i="3"/>
  <c r="B985" i="3" s="1"/>
  <c r="AA985" i="3" l="1"/>
  <c r="Z985" i="3"/>
  <c r="P985" i="3"/>
  <c r="Q985" i="3" s="1"/>
  <c r="R985" i="3" s="1"/>
  <c r="S985" i="3" s="1"/>
  <c r="AD985" i="3"/>
  <c r="AC985" i="3"/>
  <c r="I984" i="3"/>
  <c r="W984" i="3" s="1"/>
  <c r="J984" i="3"/>
  <c r="AD984" i="3" s="1"/>
  <c r="M984" i="3"/>
  <c r="N984" i="3" s="1"/>
  <c r="T985" i="3" l="1"/>
  <c r="L984" i="3"/>
  <c r="AG985" i="3" l="1"/>
  <c r="AH985" i="3"/>
  <c r="U984" i="3"/>
  <c r="D985" i="3" s="1"/>
  <c r="Y983" i="3"/>
  <c r="G985" i="3" l="1"/>
  <c r="E985" i="3"/>
  <c r="H985" i="3" s="1"/>
  <c r="I985" i="3" l="1"/>
  <c r="J985" i="3"/>
  <c r="M985" i="3"/>
  <c r="N985" i="3" s="1"/>
  <c r="F985" i="3"/>
  <c r="K985" i="3"/>
  <c r="AE985" i="3" s="1"/>
  <c r="L985" i="3" l="1"/>
  <c r="V985" i="3"/>
  <c r="W985" i="3" s="1"/>
  <c r="A986" i="3"/>
  <c r="B986" i="3" s="1"/>
  <c r="U985" i="3" l="1"/>
  <c r="Y984" i="3"/>
  <c r="AC986" i="3"/>
  <c r="P986" i="3"/>
  <c r="Q986" i="3" s="1"/>
  <c r="R986" i="3" s="1"/>
  <c r="S986" i="3" s="1"/>
  <c r="Z986" i="3"/>
  <c r="AD986" i="3"/>
  <c r="AA986" i="3"/>
  <c r="T986" i="3" l="1"/>
  <c r="E986" i="3" s="1"/>
  <c r="H986" i="3" s="1"/>
  <c r="AG986" i="3" l="1"/>
  <c r="K986" i="3"/>
  <c r="AE986" i="3" s="1"/>
  <c r="AH986" i="3"/>
  <c r="D986" i="3"/>
  <c r="F986" i="3" l="1"/>
  <c r="G986" i="3"/>
  <c r="V986" i="3"/>
  <c r="A987" i="3"/>
  <c r="B987" i="3" s="1"/>
  <c r="Z987" i="3" l="1"/>
  <c r="AC987" i="3"/>
  <c r="P987" i="3"/>
  <c r="Q987" i="3" s="1"/>
  <c r="R987" i="3" s="1"/>
  <c r="S987" i="3" s="1"/>
  <c r="AD987" i="3"/>
  <c r="AA987" i="3"/>
  <c r="I986" i="3"/>
  <c r="W986" i="3" s="1"/>
  <c r="J986" i="3"/>
  <c r="M986" i="3"/>
  <c r="N986" i="3" s="1"/>
  <c r="L986" i="3" l="1"/>
  <c r="T987" i="3"/>
  <c r="U986" i="3" l="1"/>
  <c r="E987" i="3" s="1"/>
  <c r="H987" i="3" s="1"/>
  <c r="AH987" i="3"/>
  <c r="AG987" i="3"/>
  <c r="Y985" i="3"/>
  <c r="K987" i="3" l="1"/>
  <c r="AE987" i="3" s="1"/>
  <c r="D987" i="3"/>
  <c r="V987" i="3" l="1"/>
  <c r="A988" i="3"/>
  <c r="B988" i="3" s="1"/>
  <c r="F987" i="3"/>
  <c r="G987" i="3"/>
  <c r="I987" i="3" l="1"/>
  <c r="W987" i="3" s="1"/>
  <c r="J987" i="3"/>
  <c r="M987" i="3"/>
  <c r="N987" i="3" s="1"/>
  <c r="AC988" i="3"/>
  <c r="Z988" i="3"/>
  <c r="AD988" i="3"/>
  <c r="AA988" i="3"/>
  <c r="P988" i="3"/>
  <c r="Q988" i="3" s="1"/>
  <c r="R988" i="3" s="1"/>
  <c r="S988" i="3" s="1"/>
  <c r="L987" i="3" l="1"/>
  <c r="T988" i="3"/>
  <c r="AH988" i="3" l="1"/>
  <c r="U987" i="3"/>
  <c r="E988" i="3" s="1"/>
  <c r="H988" i="3" s="1"/>
  <c r="AG988" i="3"/>
  <c r="Y986" i="3"/>
  <c r="D988" i="3" l="1"/>
  <c r="G988" i="3" s="1"/>
  <c r="K988" i="3"/>
  <c r="AE988" i="3" s="1"/>
  <c r="F988" i="3" l="1"/>
  <c r="I988" i="3"/>
  <c r="J988" i="3"/>
  <c r="M988" i="3"/>
  <c r="N988" i="3" s="1"/>
  <c r="V988" i="3"/>
  <c r="A989" i="3"/>
  <c r="B989" i="3" s="1"/>
  <c r="W988" i="3" l="1"/>
  <c r="L988" i="3"/>
  <c r="AC989" i="3"/>
  <c r="AD989" i="3"/>
  <c r="P989" i="3"/>
  <c r="Q989" i="3" s="1"/>
  <c r="R989" i="3" s="1"/>
  <c r="S989" i="3" s="1"/>
  <c r="Z989" i="3"/>
  <c r="AA989" i="3"/>
  <c r="T989" i="3" l="1"/>
  <c r="U988" i="3"/>
  <c r="Y987" i="3"/>
  <c r="D989" i="3" l="1"/>
  <c r="G989" i="3" s="1"/>
  <c r="AG989" i="3"/>
  <c r="E989" i="3"/>
  <c r="H989" i="3" s="1"/>
  <c r="AH989" i="3"/>
  <c r="F989" i="3" l="1"/>
  <c r="I989" i="3"/>
  <c r="J989" i="3"/>
  <c r="M989" i="3"/>
  <c r="N989" i="3" s="1"/>
  <c r="K989" i="3"/>
  <c r="AE989" i="3" s="1"/>
  <c r="L989" i="3" l="1"/>
  <c r="V989" i="3"/>
  <c r="W989" i="3" s="1"/>
  <c r="A990" i="3"/>
  <c r="B990" i="3" s="1"/>
  <c r="U989" i="3" l="1"/>
  <c r="Y988" i="3"/>
  <c r="AC990" i="3"/>
  <c r="AD990" i="3"/>
  <c r="AA990" i="3"/>
  <c r="Z990" i="3"/>
  <c r="P990" i="3"/>
  <c r="Q990" i="3" s="1"/>
  <c r="R990" i="3" s="1"/>
  <c r="S990" i="3" s="1"/>
  <c r="T990" i="3" l="1"/>
  <c r="E990" i="3" s="1"/>
  <c r="H990" i="3" s="1"/>
  <c r="AH990" i="3" l="1"/>
  <c r="D990" i="3"/>
  <c r="G990" i="3" s="1"/>
  <c r="AG990" i="3"/>
  <c r="K990" i="3"/>
  <c r="AE990" i="3" s="1"/>
  <c r="F990" i="3" l="1"/>
  <c r="V990" i="3"/>
  <c r="A991" i="3"/>
  <c r="B991" i="3" s="1"/>
  <c r="I990" i="3"/>
  <c r="J990" i="3"/>
  <c r="M990" i="3"/>
  <c r="N990" i="3" s="1"/>
  <c r="L990" i="3" l="1"/>
  <c r="W990" i="3"/>
  <c r="AA991" i="3"/>
  <c r="AD991" i="3"/>
  <c r="P991" i="3"/>
  <c r="Q991" i="3" s="1"/>
  <c r="R991" i="3" s="1"/>
  <c r="S991" i="3" s="1"/>
  <c r="Z991" i="3"/>
  <c r="AC991" i="3"/>
  <c r="U990" i="3" l="1"/>
  <c r="Y989" i="3"/>
  <c r="T991" i="3"/>
  <c r="D991" i="3" l="1"/>
  <c r="G991" i="3" s="1"/>
  <c r="E991" i="3"/>
  <c r="H991" i="3" s="1"/>
  <c r="K991" i="3" s="1"/>
  <c r="AE991" i="3" s="1"/>
  <c r="AG991" i="3"/>
  <c r="AH991" i="3"/>
  <c r="F991" i="3" l="1"/>
  <c r="V991" i="3"/>
  <c r="A992" i="3"/>
  <c r="B992" i="3" s="1"/>
  <c r="I991" i="3"/>
  <c r="J991" i="3"/>
  <c r="M991" i="3"/>
  <c r="N991" i="3" s="1"/>
  <c r="W991" i="3" l="1"/>
  <c r="L991" i="3"/>
  <c r="AC992" i="3"/>
  <c r="AD992" i="3"/>
  <c r="Z992" i="3"/>
  <c r="AA992" i="3"/>
  <c r="P992" i="3"/>
  <c r="Q992" i="3" s="1"/>
  <c r="R992" i="3" s="1"/>
  <c r="S992" i="3" s="1"/>
  <c r="U991" i="3" l="1"/>
  <c r="Y990" i="3"/>
  <c r="T992" i="3"/>
  <c r="AG992" i="3" s="1"/>
  <c r="D992" i="3" l="1"/>
  <c r="AH992" i="3"/>
  <c r="E992" i="3"/>
  <c r="H992" i="3" s="1"/>
  <c r="K992" i="3" s="1"/>
  <c r="AE992" i="3" s="1"/>
  <c r="F992" i="3" l="1"/>
  <c r="G992" i="3"/>
  <c r="M992" i="3" s="1"/>
  <c r="N992" i="3" s="1"/>
  <c r="V992" i="3"/>
  <c r="A993" i="3"/>
  <c r="B993" i="3" s="1"/>
  <c r="I992" i="3" l="1"/>
  <c r="W992" i="3" s="1"/>
  <c r="J992" i="3"/>
  <c r="L992" i="3" s="1"/>
  <c r="AD993" i="3"/>
  <c r="Z993" i="3"/>
  <c r="AA993" i="3"/>
  <c r="P993" i="3"/>
  <c r="Q993" i="3" s="1"/>
  <c r="R993" i="3" s="1"/>
  <c r="S993" i="3" s="1"/>
  <c r="AC993" i="3"/>
  <c r="U992" i="3" l="1"/>
  <c r="Y991" i="3"/>
  <c r="T993" i="3"/>
  <c r="AH993" i="3" s="1"/>
  <c r="D993" i="3" l="1"/>
  <c r="G993" i="3" s="1"/>
  <c r="E993" i="3"/>
  <c r="H993" i="3" s="1"/>
  <c r="K993" i="3" s="1"/>
  <c r="AE993" i="3" s="1"/>
  <c r="AG993" i="3"/>
  <c r="F993" i="3" l="1"/>
  <c r="V993" i="3"/>
  <c r="A994" i="3"/>
  <c r="B994" i="3" s="1"/>
  <c r="I993" i="3"/>
  <c r="J993" i="3"/>
  <c r="M993" i="3"/>
  <c r="N993" i="3" s="1"/>
  <c r="L993" i="3" l="1"/>
  <c r="W993" i="3"/>
  <c r="AA994" i="3"/>
  <c r="P994" i="3"/>
  <c r="Q994" i="3" s="1"/>
  <c r="R994" i="3" s="1"/>
  <c r="S994" i="3" s="1"/>
  <c r="Z994" i="3"/>
  <c r="AC994" i="3"/>
  <c r="U993" i="3" l="1"/>
  <c r="Y992" i="3"/>
  <c r="T994" i="3"/>
  <c r="AH994" i="3" s="1"/>
  <c r="E994" i="3" l="1"/>
  <c r="H994" i="3" s="1"/>
  <c r="K994" i="3" s="1"/>
  <c r="AE994" i="3" s="1"/>
  <c r="D994" i="3"/>
  <c r="AG994" i="3"/>
  <c r="F994" i="3" l="1"/>
  <c r="G994" i="3"/>
  <c r="J994" i="3" s="1"/>
  <c r="AD994" i="3" s="1"/>
  <c r="V994" i="3"/>
  <c r="A995" i="3"/>
  <c r="B995" i="3" s="1"/>
  <c r="M994" i="3" l="1"/>
  <c r="N994" i="3" s="1"/>
  <c r="I994" i="3"/>
  <c r="W994" i="3" s="1"/>
  <c r="L994" i="3"/>
  <c r="AA995" i="3"/>
  <c r="P995" i="3"/>
  <c r="Q995" i="3" s="1"/>
  <c r="R995" i="3" s="1"/>
  <c r="S995" i="3" s="1"/>
  <c r="AC995" i="3"/>
  <c r="Z995" i="3"/>
  <c r="T995" i="3" l="1"/>
  <c r="U994" i="3"/>
  <c r="Y993" i="3"/>
  <c r="D995" i="3" l="1"/>
  <c r="G995" i="3" s="1"/>
  <c r="E995" i="3"/>
  <c r="H995" i="3" s="1"/>
  <c r="K995" i="3" s="1"/>
  <c r="AE995" i="3" s="1"/>
  <c r="AH995" i="3"/>
  <c r="AG995" i="3"/>
  <c r="F995" i="3" l="1"/>
  <c r="I995" i="3"/>
  <c r="J995" i="3"/>
  <c r="AD995" i="3" s="1"/>
  <c r="M995" i="3"/>
  <c r="N995" i="3" s="1"/>
  <c r="V995" i="3"/>
  <c r="A996" i="3"/>
  <c r="B996" i="3" s="1"/>
  <c r="W995" i="3" l="1"/>
  <c r="L995" i="3"/>
  <c r="Z996" i="3"/>
  <c r="P996" i="3"/>
  <c r="Q996" i="3" s="1"/>
  <c r="R996" i="3" s="1"/>
  <c r="S996" i="3" s="1"/>
  <c r="AA996" i="3"/>
  <c r="AC996" i="3"/>
  <c r="U995" i="3" l="1"/>
  <c r="Y994" i="3"/>
  <c r="T996" i="3"/>
  <c r="D996" i="3" l="1"/>
  <c r="G996" i="3" s="1"/>
  <c r="AG996" i="3"/>
  <c r="E996" i="3"/>
  <c r="H996" i="3" s="1"/>
  <c r="K996" i="3" s="1"/>
  <c r="AE996" i="3" s="1"/>
  <c r="AH996" i="3"/>
  <c r="F996" i="3" l="1"/>
  <c r="I996" i="3"/>
  <c r="J996" i="3"/>
  <c r="AD996" i="3" s="1"/>
  <c r="M996" i="3"/>
  <c r="N996" i="3" s="1"/>
  <c r="V996" i="3"/>
  <c r="A997" i="3"/>
  <c r="B997" i="3" s="1"/>
  <c r="P997" i="3" l="1"/>
  <c r="Q997" i="3" s="1"/>
  <c r="R997" i="3" s="1"/>
  <c r="S997" i="3" s="1"/>
  <c r="Z997" i="3"/>
  <c r="AA997" i="3"/>
  <c r="AC997" i="3"/>
  <c r="L996" i="3"/>
  <c r="W996" i="3"/>
  <c r="U996" i="3" l="1"/>
  <c r="Y995" i="3"/>
  <c r="T997" i="3"/>
  <c r="AH997" i="3" s="1"/>
  <c r="AG997" i="3" l="1"/>
  <c r="D997" i="3"/>
  <c r="E997" i="3"/>
  <c r="H997" i="3" s="1"/>
  <c r="K997" i="3" s="1"/>
  <c r="AE997" i="3" s="1"/>
  <c r="F997" i="3" l="1"/>
  <c r="G997" i="3"/>
  <c r="I997" i="3" s="1"/>
  <c r="V997" i="3"/>
  <c r="A998" i="3"/>
  <c r="B998" i="3" s="1"/>
  <c r="J997" i="3" l="1"/>
  <c r="M997" i="3"/>
  <c r="N997" i="3" s="1"/>
  <c r="W997" i="3"/>
  <c r="Z998" i="3"/>
  <c r="P998" i="3"/>
  <c r="Q998" i="3" s="1"/>
  <c r="R998" i="3" s="1"/>
  <c r="S998" i="3" s="1"/>
  <c r="AC998" i="3"/>
  <c r="AA998" i="3"/>
  <c r="L997" i="3" l="1"/>
  <c r="U997" i="3" s="1"/>
  <c r="AD997" i="3"/>
  <c r="T998" i="3"/>
  <c r="Y996" i="3" l="1"/>
  <c r="AG998" i="3"/>
  <c r="E998" i="3"/>
  <c r="H998" i="3" s="1"/>
  <c r="K998" i="3" s="1"/>
  <c r="AE998" i="3" s="1"/>
  <c r="AH998" i="3"/>
  <c r="D998" i="3"/>
  <c r="V998" i="3" l="1"/>
  <c r="A999" i="3"/>
  <c r="B999" i="3" s="1"/>
  <c r="F998" i="3"/>
  <c r="G998" i="3"/>
  <c r="I998" i="3" l="1"/>
  <c r="W998" i="3" s="1"/>
  <c r="J998" i="3"/>
  <c r="AD998" i="3" s="1"/>
  <c r="M998" i="3"/>
  <c r="N998" i="3" s="1"/>
  <c r="Z999" i="3"/>
  <c r="AC999" i="3"/>
  <c r="AA999" i="3"/>
  <c r="P999" i="3"/>
  <c r="Q999" i="3" s="1"/>
  <c r="R999" i="3" s="1"/>
  <c r="S999" i="3" s="1"/>
  <c r="T999" i="3" l="1"/>
  <c r="L998" i="3"/>
  <c r="AG999" i="3" l="1"/>
  <c r="U998" i="3"/>
  <c r="D999" i="3" s="1"/>
  <c r="AH999" i="3"/>
  <c r="Y997" i="3"/>
  <c r="E999" i="3" l="1"/>
  <c r="H999" i="3" s="1"/>
  <c r="K999" i="3" s="1"/>
  <c r="AE999" i="3" s="1"/>
  <c r="G999" i="3"/>
  <c r="F999" i="3" l="1"/>
  <c r="I999" i="3"/>
  <c r="J999" i="3"/>
  <c r="AD999" i="3" s="1"/>
  <c r="M999" i="3"/>
  <c r="N999" i="3" s="1"/>
  <c r="V999" i="3"/>
  <c r="A1000" i="3"/>
  <c r="B1000" i="3" s="1"/>
  <c r="W999" i="3" l="1"/>
  <c r="L999" i="3"/>
  <c r="AC1000" i="3"/>
  <c r="P1000" i="3"/>
  <c r="Q1000" i="3" s="1"/>
  <c r="R1000" i="3" s="1"/>
  <c r="S1000" i="3" s="1"/>
  <c r="Z1000" i="3"/>
  <c r="AA1000" i="3"/>
  <c r="U999" i="3" l="1"/>
  <c r="Y998" i="3"/>
  <c r="T1000" i="3"/>
  <c r="AG1000" i="3" s="1"/>
  <c r="D1000" i="3" l="1"/>
  <c r="G1000" i="3" s="1"/>
  <c r="AH1000" i="3"/>
  <c r="E1000" i="3"/>
  <c r="H1000" i="3" s="1"/>
  <c r="K1000" i="3" s="1"/>
  <c r="AE1000" i="3" s="1"/>
  <c r="F1000" i="3" l="1"/>
  <c r="I1000" i="3"/>
  <c r="J1000" i="3"/>
  <c r="AD1000" i="3" s="1"/>
  <c r="M1000" i="3"/>
  <c r="N1000" i="3" s="1"/>
  <c r="V1000" i="3"/>
  <c r="A1001" i="3"/>
  <c r="B1001" i="3" s="1"/>
  <c r="W1000" i="3" l="1"/>
  <c r="L1000" i="3"/>
  <c r="P1001" i="3"/>
  <c r="Q1001" i="3" s="1"/>
  <c r="R1001" i="3" s="1"/>
  <c r="S1001" i="3" s="1"/>
  <c r="Z1001" i="3"/>
  <c r="AC1001" i="3"/>
  <c r="AA1001" i="3"/>
  <c r="U1000" i="3" l="1"/>
  <c r="Y999" i="3"/>
  <c r="T1001" i="3"/>
  <c r="D1001" i="3" l="1"/>
  <c r="G1001" i="3" s="1"/>
  <c r="E1001" i="3"/>
  <c r="H1001" i="3" s="1"/>
  <c r="AG1001" i="3"/>
  <c r="AH1001" i="3"/>
  <c r="F1001" i="3" l="1"/>
  <c r="I1001" i="3"/>
  <c r="J1001" i="3"/>
  <c r="AD1001" i="3" s="1"/>
  <c r="M1001" i="3"/>
  <c r="N1001" i="3" s="1"/>
  <c r="K1001" i="3"/>
  <c r="AE1001" i="3" s="1"/>
  <c r="V1001" i="3" l="1"/>
  <c r="W1001" i="3" s="1"/>
  <c r="A1002" i="3"/>
  <c r="B1002" i="3" s="1"/>
  <c r="L1001" i="3"/>
  <c r="U1001" i="3" l="1"/>
  <c r="Y1000" i="3"/>
  <c r="AA1002" i="3"/>
  <c r="Z1002" i="3"/>
  <c r="AC1002" i="3"/>
  <c r="P1002" i="3"/>
  <c r="Q1002" i="3" s="1"/>
  <c r="R1002" i="3" s="1"/>
  <c r="S1002" i="3" s="1"/>
  <c r="T1002" i="3" l="1"/>
  <c r="AG1002" i="3" s="1"/>
  <c r="AH1002" i="3" l="1"/>
  <c r="D1002" i="3"/>
  <c r="G1002" i="3" s="1"/>
  <c r="E1002" i="3"/>
  <c r="H1002" i="3" s="1"/>
  <c r="K1002" i="3" s="1"/>
  <c r="AE1002" i="3" s="1"/>
  <c r="F1002" i="3" l="1"/>
  <c r="I1002" i="3"/>
  <c r="J1002" i="3"/>
  <c r="AD1002" i="3" s="1"/>
  <c r="M1002" i="3"/>
  <c r="N1002" i="3" s="1"/>
  <c r="V1002" i="3"/>
  <c r="A1003" i="3"/>
  <c r="B1003" i="3" s="1"/>
  <c r="W1002" i="3" l="1"/>
  <c r="L1002" i="3"/>
  <c r="AC1003" i="3"/>
  <c r="P1003" i="3"/>
  <c r="Q1003" i="3" s="1"/>
  <c r="R1003" i="3" s="1"/>
  <c r="S1003" i="3" s="1"/>
  <c r="AA1003" i="3"/>
  <c r="Z1003" i="3"/>
  <c r="T1003" i="3" l="1"/>
  <c r="AH1003" i="3" s="1"/>
  <c r="U1002" i="3"/>
  <c r="Y1001" i="3"/>
  <c r="D1003" i="3" l="1"/>
  <c r="G1003" i="3" s="1"/>
  <c r="E1003" i="3"/>
  <c r="H1003" i="3" s="1"/>
  <c r="K1003" i="3" s="1"/>
  <c r="AE1003" i="3" s="1"/>
  <c r="AG1003" i="3"/>
  <c r="F1003" i="3" l="1"/>
  <c r="I1003" i="3"/>
  <c r="J1003" i="3"/>
  <c r="AD1003" i="3" s="1"/>
  <c r="M1003" i="3"/>
  <c r="N1003" i="3" s="1"/>
  <c r="V1003" i="3"/>
  <c r="W1003" i="3" s="1"/>
  <c r="A1004" i="3"/>
  <c r="B1004" i="3" s="1"/>
  <c r="L1003" i="3" l="1"/>
  <c r="P1004" i="3"/>
  <c r="Q1004" i="3" s="1"/>
  <c r="R1004" i="3" s="1"/>
  <c r="S1004" i="3" s="1"/>
  <c r="T1004" i="3" s="1"/>
  <c r="AA1004" i="3"/>
  <c r="Z1004" i="3"/>
  <c r="AC1004" i="3"/>
  <c r="AG1004" i="3" l="1"/>
  <c r="AH1004" i="3"/>
  <c r="U1003" i="3"/>
  <c r="D1004" i="3" s="1"/>
  <c r="Y1002" i="3"/>
  <c r="J48" i="1"/>
  <c r="L48" i="1"/>
  <c r="I48" i="1"/>
  <c r="J25" i="1"/>
  <c r="K48" i="1"/>
  <c r="M48" i="1"/>
  <c r="K25" i="1"/>
  <c r="I25" i="1"/>
  <c r="K27" i="1"/>
  <c r="I46" i="1"/>
  <c r="L46" i="1"/>
  <c r="M46" i="1"/>
  <c r="K46" i="1"/>
  <c r="J46" i="1"/>
  <c r="I27" i="1"/>
  <c r="J27" i="1"/>
  <c r="E1004" i="3" l="1"/>
  <c r="H1004" i="3" s="1"/>
  <c r="K1004" i="3" s="1"/>
  <c r="AE1004" i="3" s="1"/>
  <c r="C122" i="1"/>
  <c r="C155" i="1"/>
  <c r="C31" i="1"/>
  <c r="C126" i="1"/>
  <c r="C121" i="1"/>
  <c r="C124" i="1"/>
  <c r="C33" i="1"/>
  <c r="J47" i="1" s="1"/>
  <c r="C129" i="1"/>
  <c r="C130" i="1" s="1"/>
  <c r="M25" i="1"/>
  <c r="I72" i="7"/>
  <c r="I73" i="7" s="1"/>
  <c r="I70" i="7"/>
  <c r="G1004" i="3"/>
  <c r="B128" i="1"/>
  <c r="B123" i="1"/>
  <c r="B127" i="1"/>
  <c r="D155" i="1"/>
  <c r="B124" i="1"/>
  <c r="B126" i="1"/>
  <c r="B129" i="1"/>
  <c r="B125" i="1"/>
  <c r="D31" i="1"/>
  <c r="D33" i="1"/>
  <c r="J49" i="1" s="1"/>
  <c r="C146" i="1"/>
  <c r="C147" i="1" s="1"/>
  <c r="C138" i="1"/>
  <c r="C141" i="1"/>
  <c r="C143" i="1"/>
  <c r="C139" i="1"/>
  <c r="B140" i="1"/>
  <c r="B143" i="1"/>
  <c r="B142" i="1"/>
  <c r="B146" i="1"/>
  <c r="B144" i="1"/>
  <c r="B141" i="1"/>
  <c r="B145" i="1"/>
  <c r="M27" i="1"/>
  <c r="H72" i="7"/>
  <c r="H73" i="7" s="1"/>
  <c r="H70" i="7"/>
  <c r="F1004" i="3" l="1"/>
  <c r="L24" i="1" s="1"/>
  <c r="H49" i="1"/>
  <c r="D32" i="1"/>
  <c r="I1004" i="3"/>
  <c r="J1004" i="3"/>
  <c r="M1004" i="3"/>
  <c r="N1004" i="3" s="1"/>
  <c r="E31" i="7"/>
  <c r="H47" i="1"/>
  <c r="C32" i="1"/>
  <c r="V1004" i="3"/>
  <c r="L42" i="1" l="1"/>
  <c r="L1004" i="3"/>
  <c r="Y1004" i="3" s="1"/>
  <c r="AD1004" i="3"/>
  <c r="W1004" i="3"/>
  <c r="B135" i="1"/>
  <c r="B137" i="1"/>
  <c r="B133" i="1"/>
  <c r="B132" i="1" s="1"/>
  <c r="F133" i="1"/>
  <c r="F134" i="1"/>
  <c r="C133" i="1"/>
  <c r="C135" i="1"/>
  <c r="K24" i="1"/>
  <c r="K42" i="1"/>
  <c r="B150" i="1"/>
  <c r="B149" i="1" s="1"/>
  <c r="B154" i="1"/>
  <c r="B152" i="1"/>
  <c r="H117" i="7"/>
  <c r="E62" i="7"/>
  <c r="F62" i="7" s="1"/>
  <c r="E120" i="7"/>
  <c r="F120" i="7" s="1"/>
  <c r="E119" i="7"/>
  <c r="F119" i="7" s="1"/>
  <c r="E133" i="7"/>
  <c r="E63" i="7"/>
  <c r="F63" i="7" s="1"/>
  <c r="H59" i="7"/>
  <c r="L31" i="7"/>
  <c r="E65" i="7"/>
  <c r="F65" i="7" s="1"/>
  <c r="Y1003" i="3" l="1"/>
  <c r="M41" i="1" s="1"/>
  <c r="U1004" i="3"/>
  <c r="J43" i="1"/>
  <c r="I41" i="1"/>
  <c r="K41" i="1"/>
  <c r="H26" i="1"/>
  <c r="J31" i="7" s="1"/>
  <c r="L43" i="1"/>
  <c r="M43" i="1"/>
  <c r="K43" i="1"/>
  <c r="H43" i="1"/>
  <c r="I44" i="1"/>
  <c r="H44" i="1"/>
  <c r="J26" i="1"/>
  <c r="D161" i="1" s="1"/>
  <c r="M44" i="1"/>
  <c r="K26" i="1"/>
  <c r="K31" i="7" s="1"/>
  <c r="K23" i="1"/>
  <c r="L41" i="1"/>
  <c r="L44" i="1"/>
  <c r="I26" i="1"/>
  <c r="B163" i="1" s="1"/>
  <c r="J41" i="1"/>
  <c r="I43" i="1"/>
  <c r="J44" i="1"/>
  <c r="H28" i="1"/>
  <c r="F151" i="1" s="1"/>
  <c r="M31" i="7"/>
  <c r="E121" i="7"/>
  <c r="F121" i="7" s="1"/>
  <c r="H116" i="7"/>
  <c r="H58" i="7"/>
  <c r="E64" i="7"/>
  <c r="F64" i="7" s="1"/>
  <c r="S26" i="6" l="1"/>
  <c r="H55" i="7"/>
  <c r="H112" i="7"/>
  <c r="H53" i="7"/>
  <c r="P31" i="1"/>
  <c r="P32" i="1"/>
  <c r="I67" i="7"/>
  <c r="H41" i="1"/>
  <c r="K44" i="1"/>
  <c r="H45" i="1"/>
  <c r="M45" i="1"/>
  <c r="L45" i="1"/>
  <c r="K45" i="1"/>
  <c r="K28" i="1" s="1"/>
  <c r="M28" i="1" s="1"/>
  <c r="J45" i="1"/>
  <c r="J28" i="1"/>
  <c r="P30" i="1"/>
  <c r="F193" i="1"/>
  <c r="F190" i="1"/>
  <c r="F171" i="1"/>
  <c r="D186" i="1"/>
  <c r="F161" i="1"/>
  <c r="F163" i="1"/>
  <c r="D166" i="1"/>
  <c r="D192" i="1"/>
  <c r="D194" i="1"/>
  <c r="D196" i="1"/>
  <c r="D173" i="1"/>
  <c r="D168" i="1"/>
  <c r="D197" i="1"/>
  <c r="D159" i="1"/>
  <c r="D185" i="1"/>
  <c r="F194" i="1"/>
  <c r="D165" i="1"/>
  <c r="D191" i="1"/>
  <c r="F183" i="1"/>
  <c r="F162" i="1"/>
  <c r="F170" i="1"/>
  <c r="F184" i="1"/>
  <c r="F168" i="1"/>
  <c r="F169" i="1"/>
  <c r="D164" i="1"/>
  <c r="F21" i="1"/>
  <c r="D177" i="1"/>
  <c r="F197" i="1"/>
  <c r="D160" i="1"/>
  <c r="F196" i="1"/>
  <c r="D162" i="1"/>
  <c r="D170" i="1"/>
  <c r="D181" i="1"/>
  <c r="F164" i="1"/>
  <c r="F165" i="1"/>
  <c r="D190" i="1"/>
  <c r="F182" i="1"/>
  <c r="F166" i="1"/>
  <c r="H44" i="7"/>
  <c r="D171" i="1"/>
  <c r="D169" i="1"/>
  <c r="F172" i="1"/>
  <c r="D179" i="1"/>
  <c r="D189" i="1"/>
  <c r="D183" i="1"/>
  <c r="F160" i="1"/>
  <c r="F195" i="1"/>
  <c r="D193" i="1"/>
  <c r="F179" i="1"/>
  <c r="D188" i="1"/>
  <c r="F185" i="1"/>
  <c r="F159" i="1"/>
  <c r="F173" i="1"/>
  <c r="D163" i="1"/>
  <c r="D184" i="1"/>
  <c r="D195" i="1"/>
  <c r="F191" i="1"/>
  <c r="H11" i="7"/>
  <c r="F181" i="1"/>
  <c r="D180" i="1"/>
  <c r="F186" i="1"/>
  <c r="F180" i="1"/>
  <c r="F187" i="1"/>
  <c r="F178" i="1"/>
  <c r="D178" i="1"/>
  <c r="D182" i="1"/>
  <c r="F192" i="1"/>
  <c r="D174" i="1"/>
  <c r="F189" i="1"/>
  <c r="F167" i="1"/>
  <c r="D187" i="1"/>
  <c r="F188" i="1"/>
  <c r="D172" i="1"/>
  <c r="F174" i="1"/>
  <c r="F177" i="1"/>
  <c r="D167" i="1"/>
  <c r="B171" i="1"/>
  <c r="B181" i="1"/>
  <c r="B170" i="1"/>
  <c r="B186" i="1"/>
  <c r="B164" i="1"/>
  <c r="B175" i="1"/>
  <c r="B166" i="1"/>
  <c r="B174" i="1"/>
  <c r="B172" i="1"/>
  <c r="B184" i="1"/>
  <c r="H113" i="7"/>
  <c r="B180" i="1"/>
  <c r="B199" i="1"/>
  <c r="B188" i="1"/>
  <c r="B165" i="1"/>
  <c r="B185" i="1"/>
  <c r="B168" i="1"/>
  <c r="H114" i="7"/>
  <c r="B198" i="1"/>
  <c r="B197" i="1"/>
  <c r="B179" i="1"/>
  <c r="B191" i="1"/>
  <c r="C156" i="1"/>
  <c r="B192" i="1"/>
  <c r="E128" i="7"/>
  <c r="F128" i="7" s="1"/>
  <c r="B194" i="1"/>
  <c r="B173" i="1"/>
  <c r="B182" i="1"/>
  <c r="B190" i="1"/>
  <c r="B193" i="1"/>
  <c r="B176" i="1"/>
  <c r="B183" i="1"/>
  <c r="B195" i="1"/>
  <c r="F132" i="1"/>
  <c r="C134" i="1" s="1"/>
  <c r="B189" i="1"/>
  <c r="B162" i="1"/>
  <c r="B169" i="1"/>
  <c r="B196" i="1"/>
  <c r="H31" i="7"/>
  <c r="B161" i="1"/>
  <c r="B167" i="1"/>
  <c r="H54" i="7"/>
  <c r="B187" i="1"/>
  <c r="B158" i="1"/>
  <c r="H57" i="7"/>
  <c r="F150" i="1"/>
  <c r="B151" i="1" s="1"/>
  <c r="H115" i="7" l="1"/>
  <c r="S25" i="6"/>
  <c r="D31" i="7"/>
  <c r="D156" i="1"/>
  <c r="H19" i="7"/>
  <c r="C118" i="1"/>
  <c r="P29" i="1"/>
  <c r="B120" i="1"/>
  <c r="H56" i="7"/>
  <c r="E129" i="7"/>
  <c r="F129" i="7" s="1"/>
  <c r="B153" i="1"/>
  <c r="C132" i="1"/>
  <c r="C151" i="1"/>
  <c r="C149" i="1"/>
  <c r="B134" i="1"/>
  <c r="B1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M363040</author>
    <author>Léo Côme</author>
    <author>collectif</author>
  </authors>
  <commentList>
    <comment ref="M5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Définir les propriétés du 1er changement de diamètre.
</t>
        </r>
        <r>
          <rPr>
            <sz val="8"/>
            <color rgb="FF000000"/>
            <rFont val="Tahoma"/>
            <family val="2"/>
          </rPr>
          <t xml:space="preserve">Laisser cette colonne vide si la fusée n'a pas de Jupe ou Rétreint.
</t>
        </r>
        <r>
          <rPr>
            <i/>
            <sz val="8"/>
            <color rgb="FF000000"/>
            <rFont val="Tahoma"/>
            <family val="2"/>
          </rPr>
          <t xml:space="preserve">Set properties of the 1st diameter transition.
</t>
        </r>
        <r>
          <rPr>
            <i/>
            <sz val="8"/>
            <color rgb="FF000000"/>
            <rFont val="Tahoma"/>
            <family val="2"/>
          </rPr>
          <t>Leave this column blank if no skirt/shrink on the rocket.</t>
        </r>
      </text>
    </comment>
    <comment ref="O5" authorId="0" shapeId="0" xr:uid="{00000000-0006-0000-0000-000002000000}">
      <text>
        <r>
          <rPr>
            <sz val="8"/>
            <color rgb="FF000000"/>
            <rFont val="Tahoma"/>
            <family val="2"/>
          </rPr>
          <t xml:space="preserve">Définir les propriétés du 2e changement de diamètre.
</t>
        </r>
        <r>
          <rPr>
            <sz val="8"/>
            <color rgb="FF000000"/>
            <rFont val="Tahoma"/>
            <family val="2"/>
          </rPr>
          <t xml:space="preserve">Laisser cette colonne vide si la fusée n'a pas de 2e Jupe ou Rétreint.
</t>
        </r>
        <r>
          <rPr>
            <i/>
            <sz val="8"/>
            <color rgb="FF000000"/>
            <rFont val="Tahoma"/>
            <family val="2"/>
          </rPr>
          <t xml:space="preserve">Set properties of the 2nd diameter transition.
</t>
        </r>
        <r>
          <rPr>
            <i/>
            <sz val="8"/>
            <color rgb="FF000000"/>
            <rFont val="Tahoma"/>
            <family val="2"/>
          </rPr>
          <t>Leave this column blank if no 2nd skirt/shrink on the rocket.</t>
        </r>
      </text>
    </comment>
    <comment ref="L6" authorId="1" shapeId="0" xr:uid="{00000000-0006-0000-0000-000003000000}">
      <text>
        <r>
          <rPr>
            <b/>
            <sz val="8"/>
            <color rgb="FF000000"/>
            <rFont val="Tahoma"/>
            <family val="2"/>
          </rPr>
          <t>Hauteur</t>
        </r>
        <r>
          <rPr>
            <sz val="8"/>
            <color rgb="FF000000"/>
            <rFont val="Tahoma"/>
            <family val="2"/>
          </rPr>
          <t xml:space="preserve"> du changement de diamètre (cf. schéma sur fond bleu).
</t>
        </r>
        <r>
          <rPr>
            <i/>
            <sz val="8"/>
            <color rgb="FF000000"/>
            <rFont val="Tahoma"/>
            <family val="2"/>
          </rPr>
          <t>Height of the tronconical transition (cf. blue schematic).</t>
        </r>
      </text>
    </comment>
    <comment ref="L7" authorId="1" shapeId="0" xr:uid="{00000000-0006-0000-0000-000004000000}">
      <text>
        <r>
          <rPr>
            <sz val="8"/>
            <color indexed="8"/>
            <rFont val="Tahoma"/>
            <family val="2"/>
          </rPr>
          <t xml:space="preserve">Diamètre de la partie située </t>
        </r>
        <r>
          <rPr>
            <b/>
            <sz val="8"/>
            <color indexed="8"/>
            <rFont val="Tahoma"/>
            <family val="2"/>
          </rPr>
          <t>au dessus</t>
        </r>
        <r>
          <rPr>
            <sz val="8"/>
            <color indexed="8"/>
            <rFont val="Tahoma"/>
            <family val="2"/>
          </rPr>
          <t xml:space="preserve"> du changement de diamètre.
</t>
        </r>
        <r>
          <rPr>
            <i/>
            <sz val="8"/>
            <color indexed="8"/>
            <rFont val="Tahoma"/>
            <family val="2"/>
          </rPr>
          <t>Upper Diameter (cf. blue schematic).</t>
        </r>
      </text>
    </comment>
    <comment ref="L8" authorId="1" shapeId="0" xr:uid="{00000000-0006-0000-0000-000005000000}">
      <text>
        <r>
          <rPr>
            <sz val="8"/>
            <color indexed="8"/>
            <rFont val="Tahoma"/>
            <family val="2"/>
          </rPr>
          <t xml:space="preserve">Diamètre de la partie située </t>
        </r>
        <r>
          <rPr>
            <b/>
            <sz val="8"/>
            <color indexed="8"/>
            <rFont val="Tahoma"/>
            <family val="2"/>
          </rPr>
          <t>en dessous</t>
        </r>
        <r>
          <rPr>
            <sz val="8"/>
            <color indexed="8"/>
            <rFont val="Tahoma"/>
            <family val="2"/>
          </rPr>
          <t xml:space="preserve"> du changement de diamètre.
</t>
        </r>
        <r>
          <rPr>
            <i/>
            <sz val="8"/>
            <color indexed="8"/>
            <rFont val="Tahoma"/>
            <family val="2"/>
          </rPr>
          <t>Lower Diameter (cf. blue schematic).</t>
        </r>
      </text>
    </comment>
    <comment ref="L9" authorId="0" shapeId="0" xr:uid="{00000000-0006-0000-0000-000006000000}">
      <text>
        <r>
          <rPr>
            <sz val="8"/>
            <color rgb="FF000000"/>
            <rFont val="Tahoma"/>
            <family val="2"/>
          </rPr>
          <t xml:space="preserve">Distance entre la pointe de l'ogive et le haut du changement de diamètre.
</t>
        </r>
        <r>
          <rPr>
            <i/>
            <sz val="8"/>
            <color rgb="FF000000"/>
            <rFont val="Tahoma"/>
            <family val="2"/>
          </rPr>
          <t>Distance betwenn the tip of the nose cone and the top of the skirt/shrink.</t>
        </r>
      </text>
    </comment>
    <comment ref="B12" authorId="0" shapeId="0" xr:uid="{00000000-0006-0000-0000-000007000000}">
      <text>
        <r>
          <rPr>
            <sz val="8"/>
            <color indexed="8"/>
            <rFont val="Tahoma"/>
            <family val="2"/>
          </rPr>
          <t xml:space="preserve">Position du </t>
        </r>
        <r>
          <rPr>
            <b/>
            <sz val="8"/>
            <color indexed="8"/>
            <rFont val="Tahoma"/>
            <family val="2"/>
          </rPr>
          <t>Centre de Masse</t>
        </r>
        <r>
          <rPr>
            <sz val="8"/>
            <color indexed="8"/>
            <rFont val="Tahoma"/>
            <family val="2"/>
          </rPr>
          <t xml:space="preserve"> (CdG) par rapport à la pointe de l'ogive,
à mesurer ou estimer sur votre fusée.
</t>
        </r>
        <r>
          <rPr>
            <i/>
            <sz val="8"/>
            <color indexed="8"/>
            <rFont val="Tahoma"/>
            <family val="2"/>
          </rPr>
          <t>Position of Center of Mass (CoG) from the top of the nose cone.</t>
        </r>
      </text>
    </comment>
    <comment ref="S12" authorId="0" shapeId="0" xr:uid="{00000000-0006-0000-0000-000008000000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haut</t>
        </r>
        <r>
          <rPr>
            <sz val="8"/>
            <color indexed="8"/>
            <rFont val="Tahoma"/>
            <family val="2"/>
          </rPr>
          <t xml:space="preserve"> du propulseur (hors ergot).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 xml:space="preserve">top </t>
        </r>
        <r>
          <rPr>
            <i/>
            <sz val="8"/>
            <color indexed="8"/>
            <rFont val="Tahoma"/>
            <family val="2"/>
          </rPr>
          <t>of the motor.</t>
        </r>
      </text>
    </comment>
    <comment ref="B13" authorId="0" shapeId="0" xr:uid="{00000000-0006-0000-0000-000009000000}">
      <text>
        <r>
          <rPr>
            <sz val="8"/>
            <color indexed="8"/>
            <rFont val="Tahoma"/>
            <family val="2"/>
          </rPr>
          <t xml:space="preserve">Longueur totale du fuselage avec l'ogive,
hors propu hors antenne hors ailerons.
</t>
        </r>
        <r>
          <rPr>
            <i/>
            <sz val="8"/>
            <color indexed="8"/>
            <rFont val="Tahoma"/>
            <family val="2"/>
          </rPr>
          <t>Total length of the body including nose cone.</t>
        </r>
      </text>
    </comment>
    <comment ref="L13" authorId="1" shapeId="0" xr:uid="{00000000-0006-0000-0000-00000A000000}">
      <text>
        <r>
          <rPr>
            <sz val="8"/>
            <color rgb="FF000000"/>
            <rFont val="Tahoma"/>
            <family val="2"/>
          </rPr>
          <t xml:space="preserve">Centre de Masse du propulseur par rapport au haut du propulseur.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Motor Center of Mass, mesured from top of motor.</t>
        </r>
      </text>
    </comment>
    <comment ref="B14" authorId="0" shapeId="0" xr:uid="{00000000-0006-0000-0000-00000B000000}">
      <text>
        <r>
          <rPr>
            <sz val="8"/>
            <color indexed="8"/>
            <rFont val="Tahoma"/>
            <family val="2"/>
          </rPr>
          <t xml:space="preserve">Diamètre de référence, utilisé pour calculer : Cnα, Finesse, Marge Statique.
Par défaut D_réf = D_ogive ; on peux écraser avec le diamètre "principal".
</t>
        </r>
        <r>
          <rPr>
            <i/>
            <sz val="8"/>
            <color indexed="8"/>
            <rFont val="Tahoma"/>
            <family val="2"/>
          </rPr>
          <t>Reference Diameter, used to compute: Cnα, Finesse, Static Margin.
By default D_ref = D_ogive ; one can overwrtie with the "main" diameter.</t>
        </r>
      </text>
    </comment>
    <comment ref="S14" authorId="0" shapeId="0" xr:uid="{00000000-0006-0000-0000-00000C000000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bas</t>
        </r>
        <r>
          <rPr>
            <sz val="8"/>
            <color indexed="8"/>
            <rFont val="Tahoma"/>
            <family val="2"/>
          </rPr>
          <t xml:space="preserve"> du propulseur (hors tuyère).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>bottom</t>
        </r>
        <r>
          <rPr>
            <i/>
            <sz val="8"/>
            <color indexed="8"/>
            <rFont val="Tahoma"/>
            <family val="2"/>
          </rPr>
          <t xml:space="preserve"> of the motor.</t>
        </r>
      </text>
    </comment>
    <comment ref="L15" authorId="1" shapeId="0" xr:uid="{00000000-0006-0000-0000-00000D000000}">
      <text>
        <r>
          <rPr>
            <sz val="8"/>
            <color indexed="8"/>
            <rFont val="Tahoma"/>
            <family val="2"/>
          </rPr>
          <t xml:space="preserve">Les positions des </t>
        </r>
        <r>
          <rPr>
            <sz val="8"/>
            <color indexed="12"/>
            <rFont val="Tahoma"/>
            <family val="2"/>
          </rPr>
          <t>Centres de Masse</t>
        </r>
        <r>
          <rPr>
            <sz val="8"/>
            <color indexed="8"/>
            <rFont val="Tahoma"/>
            <family val="2"/>
          </rPr>
          <t xml:space="preserve"> de la fusée avec propulseur plein et vide
sont représentées sur le schéma de la fusée par un </t>
        </r>
        <r>
          <rPr>
            <sz val="8"/>
            <color indexed="12"/>
            <rFont val="Tahoma"/>
            <family val="2"/>
          </rPr>
          <t>segment vertical bleu</t>
        </r>
        <r>
          <rPr>
            <sz val="8"/>
            <color indexed="8"/>
            <rFont val="Tahoma"/>
            <family val="2"/>
          </rPr>
          <t xml:space="preserve">.
</t>
        </r>
        <r>
          <rPr>
            <i/>
            <sz val="8"/>
            <color indexed="8"/>
            <rFont val="Tahoma"/>
            <family val="2"/>
          </rPr>
          <t xml:space="preserve">Rocket Center of Mass are shown whith a </t>
        </r>
        <r>
          <rPr>
            <i/>
            <sz val="8"/>
            <color indexed="12"/>
            <rFont val="Tahoma"/>
            <family val="2"/>
          </rPr>
          <t>blue segment</t>
        </r>
        <r>
          <rPr>
            <i/>
            <sz val="8"/>
            <color indexed="8"/>
            <rFont val="Tahoma"/>
            <family val="2"/>
          </rPr>
          <t xml:space="preserve"> in Rocket schematic.</t>
        </r>
      </text>
    </comment>
    <comment ref="S17" authorId="0" shapeId="0" xr:uid="{00000000-0006-0000-0000-00000E000000}">
      <text>
        <r>
          <rPr>
            <sz val="8"/>
            <color indexed="8"/>
            <rFont val="Tahoma"/>
            <family val="2"/>
          </rPr>
          <t xml:space="preserve">Distance entre la pointe de l'ogive et le point </t>
        </r>
        <r>
          <rPr>
            <b/>
            <sz val="8"/>
            <color indexed="8"/>
            <rFont val="Tahoma"/>
            <family val="2"/>
          </rPr>
          <t>supérieur</t>
        </r>
        <r>
          <rPr>
            <sz val="8"/>
            <color indexed="8"/>
            <rFont val="Tahoma"/>
            <family val="2"/>
          </rPr>
          <t xml:space="preserve"> de l'encastrement des ailerons.
</t>
        </r>
        <r>
          <rPr>
            <i/>
            <sz val="8"/>
            <color indexed="8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indexed="8"/>
            <rFont val="Tahoma"/>
            <family val="2"/>
          </rPr>
          <t>upper</t>
        </r>
        <r>
          <rPr>
            <i/>
            <sz val="8"/>
            <color indexed="8"/>
            <rFont val="Tahoma"/>
            <family val="2"/>
          </rPr>
          <t xml:space="preserve"> point of fins attachment on the rocket.</t>
        </r>
      </text>
    </comment>
    <comment ref="B18" authorId="0" shapeId="0" xr:uid="{00000000-0006-0000-0000-00000F000000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bas</t>
        </r>
        <r>
          <rPr>
            <sz val="8"/>
            <color indexed="8"/>
            <rFont val="Tahoma"/>
            <family val="2"/>
          </rPr>
          <t xml:space="preserve"> du propulseur (hors tuyère).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>bottom</t>
        </r>
        <r>
          <rPr>
            <i/>
            <sz val="8"/>
            <color indexed="8"/>
            <rFont val="Tahoma"/>
            <family val="2"/>
          </rPr>
          <t xml:space="preserve"> of the motor.</t>
        </r>
      </text>
    </comment>
    <comment ref="S18" authorId="1" shapeId="0" xr:uid="{00000000-0006-0000-0000-000010000000}">
      <text>
        <r>
          <rPr>
            <sz val="8"/>
            <color indexed="8"/>
            <rFont val="Tahoma"/>
            <family val="2"/>
          </rPr>
          <t>Longueur de l'</t>
        </r>
        <r>
          <rPr>
            <b/>
            <sz val="8"/>
            <color indexed="8"/>
            <rFont val="Tahoma"/>
            <family val="2"/>
          </rPr>
          <t>e</t>
        </r>
        <r>
          <rPr>
            <b/>
            <u/>
            <sz val="8"/>
            <color indexed="8"/>
            <rFont val="Tahoma"/>
            <family val="2"/>
          </rPr>
          <t>m</t>
        </r>
        <r>
          <rPr>
            <b/>
            <sz val="8"/>
            <color indexed="8"/>
            <rFont val="Tahoma"/>
            <family val="2"/>
          </rPr>
          <t>planture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Root edge length of one fin.</t>
        </r>
      </text>
    </comment>
    <comment ref="S19" authorId="0" shapeId="0" xr:uid="{00000000-0006-0000-0000-000011000000}">
      <text>
        <r>
          <rPr>
            <sz val="8"/>
            <color rgb="FF000000"/>
            <rFont val="Tahoma"/>
            <family val="2"/>
          </rPr>
          <t xml:space="preserve">Distance entre la pointe de l'ogive et le point </t>
        </r>
        <r>
          <rPr>
            <b/>
            <sz val="8"/>
            <color rgb="FF000000"/>
            <rFont val="Tahoma"/>
            <family val="2"/>
          </rPr>
          <t>inférieur</t>
        </r>
        <r>
          <rPr>
            <sz val="8"/>
            <color rgb="FF000000"/>
            <rFont val="Tahoma"/>
            <family val="2"/>
          </rPr>
          <t xml:space="preserve"> de l'encastrement des ailerons.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rgb="FF000000"/>
            <rFont val="Tahoma"/>
            <family val="2"/>
          </rPr>
          <t>lower</t>
        </r>
        <r>
          <rPr>
            <i/>
            <sz val="8"/>
            <color rgb="FF000000"/>
            <rFont val="Tahoma"/>
            <family val="2"/>
          </rPr>
          <t xml:space="preserve"> point of fins attachment on the rocket.</t>
        </r>
      </text>
    </comment>
    <comment ref="B23" authorId="0" shapeId="0" xr:uid="{00000000-0006-0000-0000-000012000000}">
      <text>
        <r>
          <rPr>
            <sz val="8"/>
            <color indexed="8"/>
            <rFont val="Tahoma"/>
            <family val="2"/>
          </rPr>
          <t xml:space="preserve">Diamètre à la base de l'ogive.
</t>
        </r>
        <r>
          <rPr>
            <i/>
            <sz val="8"/>
            <color indexed="8"/>
            <rFont val="Tahoma"/>
            <family val="2"/>
          </rPr>
          <t>Diameter at the basement of the nose cone.</t>
        </r>
      </text>
    </comment>
    <comment ref="E25" authorId="1" shapeId="0" xr:uid="{00000000-0006-0000-0000-000013000000}">
      <text>
        <r>
          <rPr>
            <sz val="8"/>
            <color rgb="FF000000"/>
            <rFont val="Tahoma"/>
            <family val="2"/>
          </rPr>
          <t xml:space="preserve">Les parties masquées des ailerons du bas sont représentées 
</t>
        </r>
        <r>
          <rPr>
            <sz val="8"/>
            <color rgb="FF000000"/>
            <rFont val="Tahoma"/>
            <family val="2"/>
          </rPr>
          <t xml:space="preserve">sur le schéma de la fusée par des </t>
        </r>
        <r>
          <rPr>
            <sz val="8"/>
            <color rgb="FFFF0000"/>
            <rFont val="Tahoma"/>
            <family val="2"/>
          </rPr>
          <t>zones en rouge</t>
        </r>
        <r>
          <rPr>
            <sz val="8"/>
            <color rgb="FF000000"/>
            <rFont val="Tahoma"/>
            <family val="2"/>
          </rPr>
          <t xml:space="preserve">.
</t>
        </r>
        <r>
          <rPr>
            <sz val="8"/>
            <color rgb="FF000000"/>
            <rFont val="Tahoma"/>
            <family val="2"/>
          </rPr>
          <t xml:space="preserve">Ce sont les parties situées juste en dessous des ailerons du haut.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The fin-fin interaction zone is located just below the upper fins,
</t>
        </r>
        <r>
          <rPr>
            <i/>
            <sz val="8"/>
            <color rgb="FF000000"/>
            <rFont val="Tahoma"/>
            <family val="2"/>
          </rPr>
          <t xml:space="preserve">shown in </t>
        </r>
        <r>
          <rPr>
            <i/>
            <sz val="8"/>
            <color rgb="FFFF0000"/>
            <rFont val="Tahoma"/>
            <family val="2"/>
          </rPr>
          <t>red</t>
        </r>
        <r>
          <rPr>
            <i/>
            <sz val="8"/>
            <color rgb="FF000000"/>
            <rFont val="Tahoma"/>
            <family val="2"/>
          </rPr>
          <t xml:space="preserve"> in the Rocket schematic.</t>
        </r>
      </text>
    </comment>
    <comment ref="B27" authorId="1" shapeId="0" xr:uid="{00000000-0006-0000-0000-000014000000}">
      <text>
        <r>
          <rPr>
            <sz val="8"/>
            <color indexed="8"/>
            <rFont val="Tahoma"/>
            <family val="2"/>
          </rPr>
          <t>Longueur de l'</t>
        </r>
        <r>
          <rPr>
            <b/>
            <sz val="8"/>
            <color indexed="8"/>
            <rFont val="Tahoma"/>
            <family val="2"/>
          </rPr>
          <t>e</t>
        </r>
        <r>
          <rPr>
            <b/>
            <u/>
            <sz val="8"/>
            <color indexed="8"/>
            <rFont val="Tahoma"/>
            <family val="2"/>
          </rPr>
          <t>m</t>
        </r>
        <r>
          <rPr>
            <b/>
            <sz val="8"/>
            <color indexed="8"/>
            <rFont val="Tahoma"/>
            <family val="2"/>
          </rPr>
          <t>planture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Root edge length of one fin.</t>
        </r>
      </text>
    </comment>
    <comment ref="F27" authorId="0" shapeId="0" xr:uid="{00000000-0006-0000-0000-000015000000}">
      <text>
        <r>
          <rPr>
            <sz val="8"/>
            <color indexed="8"/>
            <rFont val="Tahoma"/>
            <family val="2"/>
          </rPr>
          <t xml:space="preserve">La </t>
        </r>
        <r>
          <rPr>
            <b/>
            <sz val="8"/>
            <color indexed="8"/>
            <rFont val="Tahoma"/>
            <family val="2"/>
          </rPr>
          <t>Finesse</t>
        </r>
        <r>
          <rPr>
            <sz val="8"/>
            <color indexed="8"/>
            <rFont val="Tahoma"/>
            <family val="2"/>
          </rPr>
          <t xml:space="preserve"> représente l'allongement de la fusée, rapport Longueur/Diamètre.
</t>
        </r>
        <r>
          <rPr>
            <i/>
            <sz val="8"/>
            <color indexed="8"/>
            <rFont val="Tahoma"/>
            <family val="2"/>
          </rPr>
          <t>Finesse represents the relative length of the rocket. Finesse = L/D</t>
        </r>
      </text>
    </comment>
    <comment ref="B28" authorId="1" shapeId="0" xr:uid="{00000000-0006-0000-0000-000016000000}">
      <text>
        <r>
          <rPr>
            <sz val="8"/>
            <color indexed="8"/>
            <rFont val="Tahoma"/>
            <family val="2"/>
          </rPr>
          <t xml:space="preserve">Longueur du </t>
        </r>
        <r>
          <rPr>
            <b/>
            <sz val="8"/>
            <color indexed="8"/>
            <rFont val="Tahoma"/>
            <family val="2"/>
          </rPr>
          <t>saumo</t>
        </r>
        <r>
          <rPr>
            <b/>
            <u/>
            <sz val="8"/>
            <color indexed="8"/>
            <rFont val="Tahoma"/>
            <family val="2"/>
          </rPr>
          <t>n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Tip edge length of one fin.</t>
        </r>
      </text>
    </comment>
    <comment ref="F28" authorId="0" shapeId="0" xr:uid="{00000000-0006-0000-0000-000017000000}">
      <text>
        <r>
          <rPr>
            <sz val="8"/>
            <color indexed="8"/>
            <rFont val="Tahoma"/>
            <family val="2"/>
          </rPr>
          <t xml:space="preserve">Le gradient de </t>
        </r>
        <r>
          <rPr>
            <b/>
            <sz val="8"/>
            <color indexed="16"/>
            <rFont val="Tahoma"/>
            <family val="2"/>
          </rPr>
          <t>Portance</t>
        </r>
        <r>
          <rPr>
            <sz val="8"/>
            <color indexed="8"/>
            <rFont val="Tahoma"/>
            <family val="2"/>
          </rPr>
          <t xml:space="preserve"> Cnα indique l'efficacité des ailerons.
Pour l'augmenter, il faut augmenter la taille des ailerons, et inversement.
</t>
        </r>
        <r>
          <rPr>
            <i/>
            <sz val="8"/>
            <color indexed="16"/>
            <rFont val="Tahoma"/>
            <family val="2"/>
          </rPr>
          <t>Lift</t>
        </r>
        <r>
          <rPr>
            <i/>
            <sz val="8"/>
            <color indexed="8"/>
            <rFont val="Tahoma"/>
            <family val="2"/>
          </rPr>
          <t xml:space="preserve"> gradient, Cnα, represents the fins efficiency. 
To increase it, one must increase the size of the fins, and conversely.</t>
        </r>
      </text>
    </comment>
    <comment ref="B29" authorId="1" shapeId="0" xr:uid="{00000000-0006-0000-0000-000018000000}">
      <text>
        <r>
          <rPr>
            <b/>
            <sz val="8"/>
            <color indexed="8"/>
            <rFont val="Tahoma"/>
            <family val="2"/>
          </rPr>
          <t>Flèche</t>
        </r>
        <r>
          <rPr>
            <sz val="8"/>
            <color indexed="8"/>
            <rFont val="Tahoma"/>
            <family val="2"/>
          </rPr>
          <t xml:space="preserve"> du bord d'attaque (négatif si besoin).
</t>
        </r>
        <r>
          <rPr>
            <i/>
            <sz val="8"/>
            <color indexed="8"/>
            <rFont val="Tahoma"/>
            <family val="2"/>
          </rPr>
          <t>Offset of the Leading edge.</t>
        </r>
      </text>
    </comment>
    <comment ref="F29" authorId="0" shapeId="0" xr:uid="{00000000-0006-0000-0000-000019000000}">
      <text>
        <r>
          <rPr>
            <sz val="8"/>
            <color rgb="FF000000"/>
            <rFont val="Tahoma"/>
            <family val="2"/>
          </rPr>
          <t xml:space="preserve">La </t>
        </r>
        <r>
          <rPr>
            <b/>
            <sz val="8"/>
            <color rgb="FF000000"/>
            <rFont val="Tahoma"/>
            <family val="2"/>
          </rPr>
          <t>Marge Statique</t>
        </r>
        <r>
          <rPr>
            <sz val="8"/>
            <color rgb="FF000000"/>
            <rFont val="Tahoma"/>
            <family val="2"/>
          </rPr>
          <t xml:space="preserve">, MS, est la distance entre le Centre de Masse et le Centre de Pression, 
</t>
        </r>
        <r>
          <rPr>
            <sz val="8"/>
            <color rgb="FF000000"/>
            <rFont val="Tahoma"/>
            <family val="2"/>
          </rPr>
          <t xml:space="preserve">exprimée en nombre de Diamètre de Référence, pour une fusée avec propulseur plein puis vide.
</t>
        </r>
        <r>
          <rPr>
            <sz val="8"/>
            <color rgb="FF000000"/>
            <rFont val="Tahoma"/>
            <family val="2"/>
          </rPr>
          <t xml:space="preserve">Pour augmenter la MS, il faut soit :
</t>
        </r>
        <r>
          <rPr>
            <sz val="8"/>
            <color rgb="FF000000"/>
            <rFont val="Tahoma"/>
            <family val="2"/>
          </rPr>
          <t xml:space="preserve">- abaisser le Centre de Portance (position des ailerons)
</t>
        </r>
        <r>
          <rPr>
            <sz val="8"/>
            <color rgb="FF000000"/>
            <rFont val="Tahoma"/>
            <family val="2"/>
          </rPr>
          <t xml:space="preserve">- rehausser le Centre de Masse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Static Margin, MS, is the distance between the Center of Mass and the Center of Pressure, 
</t>
        </r>
        <r>
          <rPr>
            <i/>
            <sz val="8"/>
            <color rgb="FF000000"/>
            <rFont val="Tahoma"/>
            <family val="2"/>
          </rPr>
          <t xml:space="preserve">measured in number of reference diameter, for a rocket with loaded motor, then empty motor.
</t>
        </r>
        <r>
          <rPr>
            <i/>
            <sz val="8"/>
            <color rgb="FF000000"/>
            <rFont val="Tahoma"/>
            <family val="2"/>
          </rPr>
          <t xml:space="preserve">In order to increase MS, one must either:
</t>
        </r>
        <r>
          <rPr>
            <i/>
            <sz val="8"/>
            <color rgb="FF000000"/>
            <rFont val="Tahoma"/>
            <family val="2"/>
          </rPr>
          <t xml:space="preserve">- lower the Center of Pressure (position of fins)
</t>
        </r>
        <r>
          <rPr>
            <i/>
            <sz val="8"/>
            <color rgb="FF000000"/>
            <rFont val="Tahoma"/>
            <family val="2"/>
          </rPr>
          <t>- Move up the Center of Mass</t>
        </r>
      </text>
    </comment>
    <comment ref="B30" authorId="1" shapeId="0" xr:uid="{00000000-0006-0000-0000-00001A000000}">
      <text>
        <r>
          <rPr>
            <b/>
            <u/>
            <sz val="8"/>
            <color indexed="8"/>
            <rFont val="Tahoma"/>
            <family val="2"/>
          </rPr>
          <t>E</t>
        </r>
        <r>
          <rPr>
            <b/>
            <sz val="8"/>
            <color indexed="8"/>
            <rFont val="Tahoma"/>
            <family val="2"/>
          </rPr>
          <t>nvergure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Span of one fin.</t>
        </r>
      </text>
    </comment>
    <comment ref="F30" authorId="0" shapeId="0" xr:uid="{00000000-0006-0000-0000-00001B000000}">
      <text>
        <r>
          <rPr>
            <sz val="8"/>
            <color indexed="8"/>
            <rFont val="Tahoma"/>
            <family val="2"/>
          </rPr>
          <t xml:space="preserve">Le </t>
        </r>
        <r>
          <rPr>
            <b/>
            <sz val="8"/>
            <color indexed="8"/>
            <rFont val="Tahoma"/>
            <family val="2"/>
          </rPr>
          <t>produit</t>
        </r>
        <r>
          <rPr>
            <sz val="8"/>
            <color indexed="8"/>
            <rFont val="Tahoma"/>
            <family val="2"/>
          </rPr>
          <t xml:space="preserve"> MS*Cnα représente le </t>
        </r>
        <r>
          <rPr>
            <b/>
            <sz val="8"/>
            <color indexed="8"/>
            <rFont val="Tahoma"/>
            <family val="2"/>
          </rPr>
          <t>couple</t>
        </r>
        <r>
          <rPr>
            <sz val="8"/>
            <color indexed="8"/>
            <rFont val="Tahoma"/>
            <family val="2"/>
          </rPr>
          <t xml:space="preserve"> de rappel de la Portance.
Pour augmenter le produit, il faut augmenter la MS et/ou le Cnα, et inversement.
</t>
        </r>
        <r>
          <rPr>
            <i/>
            <sz val="8"/>
            <color indexed="8"/>
            <rFont val="Tahoma"/>
            <family val="2"/>
          </rPr>
          <t>The product MS*Cnα represents the lift torque.
To increase it, one must increase the Static Margin and/or the Cnα, and conversely.</t>
        </r>
      </text>
    </comment>
    <comment ref="F31" authorId="0" shapeId="0" xr:uid="{00000000-0006-0000-0000-00001C000000}">
      <text>
        <r>
          <rPr>
            <sz val="8"/>
            <color indexed="8"/>
            <rFont val="Tahoma"/>
            <family val="2"/>
          </rPr>
          <t xml:space="preserve">Le Xcp est la </t>
        </r>
        <r>
          <rPr>
            <b/>
            <sz val="8"/>
            <color indexed="16"/>
            <rFont val="Tahoma"/>
            <family val="2"/>
          </rPr>
          <t>position du Centre de Poussée Aérodynamique</t>
        </r>
        <r>
          <rPr>
            <sz val="8"/>
            <color indexed="8"/>
            <rFont val="Tahoma"/>
            <family val="2"/>
          </rPr>
          <t xml:space="preserve"> (CPA), 
aussi appelé Centre de Pression (CP), Centre Latéral de Poussée (CLP), 
ou Foyer, exprimée par rapport à la pointe de l'ogive.
</t>
        </r>
        <r>
          <rPr>
            <i/>
            <sz val="8"/>
            <color indexed="8"/>
            <rFont val="Tahoma"/>
            <family val="2"/>
          </rPr>
          <t>Xcp is the location of the Aerodynamics Center of Pressure, 
measured from the tip of the nose cone.</t>
        </r>
      </text>
    </comment>
    <comment ref="F32" authorId="2" shapeId="0" xr:uid="{00000000-0006-0000-0000-00001D000000}">
      <text>
        <r>
          <rPr>
            <sz val="8"/>
            <color rgb="FF000000"/>
            <rFont val="Tahoma"/>
            <family val="2"/>
          </rPr>
          <t xml:space="preserve">Cette Marge Statique est la distance entre le Centre de Masse et le Centre de Pression, 
</t>
        </r>
        <r>
          <rPr>
            <sz val="8"/>
            <color rgb="FF000000"/>
            <rFont val="Tahoma"/>
            <family val="2"/>
          </rPr>
          <t xml:space="preserve">exprimée en </t>
        </r>
        <r>
          <rPr>
            <b/>
            <sz val="8"/>
            <color rgb="FF000000"/>
            <rFont val="Tahoma"/>
            <family val="2"/>
          </rPr>
          <t>% de la Longueur</t>
        </r>
        <r>
          <rPr>
            <sz val="8"/>
            <color rgb="FF000000"/>
            <rFont val="Tahoma"/>
            <family val="2"/>
          </rPr>
          <t xml:space="preserve"> de la fusée, pour une fusée avec propulseur plein puis vide.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This Static Margin is the distance between the Center of Mass and the Center of Pressure, 
</t>
        </r>
        <r>
          <rPr>
            <i/>
            <sz val="8"/>
            <color rgb="FF000000"/>
            <rFont val="Tahoma"/>
            <family val="2"/>
          </rPr>
          <t>measured in % of rocket length, for a rocket with loaded motor, then empty motor.</t>
        </r>
      </text>
    </comment>
    <comment ref="B33" authorId="0" shapeId="0" xr:uid="{00000000-0006-0000-0000-00001E000000}">
      <text>
        <r>
          <rPr>
            <sz val="8"/>
            <color indexed="8"/>
            <rFont val="Tahoma"/>
            <family val="2"/>
          </rPr>
          <t xml:space="preserve">Distance entre la pointe de l'ogive et le point </t>
        </r>
        <r>
          <rPr>
            <b/>
            <sz val="8"/>
            <color indexed="8"/>
            <rFont val="Tahoma"/>
            <family val="2"/>
          </rPr>
          <t>inférieur</t>
        </r>
        <r>
          <rPr>
            <sz val="8"/>
            <color indexed="8"/>
            <rFont val="Tahoma"/>
            <family val="2"/>
          </rPr>
          <t xml:space="preserve"> de l'encastrement des ailerons.
</t>
        </r>
        <r>
          <rPr>
            <i/>
            <sz val="8"/>
            <color indexed="8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indexed="8"/>
            <rFont val="Tahoma"/>
            <family val="2"/>
          </rPr>
          <t>lower</t>
        </r>
        <r>
          <rPr>
            <i/>
            <sz val="8"/>
            <color indexed="8"/>
            <rFont val="Tahoma"/>
            <family val="2"/>
          </rPr>
          <t xml:space="preserve"> point of fins attachment on the rocket.</t>
        </r>
      </text>
    </comment>
    <comment ref="B34" authorId="0" shapeId="0" xr:uid="{00000000-0006-0000-0000-00001F000000}">
      <text>
        <r>
          <rPr>
            <sz val="8"/>
            <color indexed="8"/>
            <rFont val="Tahoma"/>
            <family val="2"/>
          </rPr>
          <t xml:space="preserve">Diamètre du fuselage au niveau des ailerons.
</t>
        </r>
        <r>
          <rPr>
            <i/>
            <sz val="8"/>
            <color indexed="8"/>
            <rFont val="Tahoma"/>
            <family val="2"/>
          </rPr>
          <t>Diameter of the body at the level of the fins.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Léo Côme</author>
    <author>Léo</author>
    <author>Sylvain Besson</author>
    <author>collectif</author>
  </authors>
  <commentList>
    <comment ref="B10" authorId="0" shapeId="0" xr:uid="{00000000-0006-0000-0100-000001000000}">
      <text>
        <r>
          <rPr>
            <sz val="8"/>
            <color indexed="8"/>
            <rFont val="Tahoma"/>
            <family val="2"/>
          </rPr>
          <t xml:space="preserve">Masse au décollage, à changer dans la feuille Stabilito,
ou à l'aide des boutons (revérifiez alors la stabilité).
</t>
        </r>
        <r>
          <rPr>
            <i/>
            <sz val="8"/>
            <color indexed="8"/>
            <rFont val="Tahoma"/>
            <family val="2"/>
          </rPr>
          <t>Lift-Off mass, to be changed in Stabilito sheet,
or with the buttons (then recheck stability).</t>
        </r>
      </text>
    </comment>
    <comment ref="B11" authorId="0" shapeId="0" xr:uid="{00000000-0006-0000-0100-000002000000}">
      <text>
        <r>
          <rPr>
            <sz val="8"/>
            <color indexed="8"/>
            <rFont val="Tahoma"/>
            <family val="2"/>
          </rPr>
          <t xml:space="preserve">Le propulseur doit être sélectionné dans l'onglet Stabilito.
</t>
        </r>
        <r>
          <rPr>
            <i/>
            <sz val="8"/>
            <color indexed="8"/>
            <rFont val="Tahoma"/>
            <family val="2"/>
          </rPr>
          <t>Motor must be selected in Stabilito sheet.</t>
        </r>
      </text>
    </comment>
    <comment ref="B14" authorId="1" shapeId="0" xr:uid="{00000000-0006-0000-0100-000003000000}">
      <text>
        <r>
          <rPr>
            <sz val="8"/>
            <color indexed="8"/>
            <rFont val="Tahoma"/>
            <family val="2"/>
          </rPr>
          <t xml:space="preserve">La Surface de Référence utilisée pour le calcul de la Traînée est la surface projetée dans l'axe de la fusée. Ce </t>
        </r>
        <r>
          <rPr>
            <b/>
            <sz val="8"/>
            <color indexed="8"/>
            <rFont val="Tahoma"/>
            <family val="2"/>
          </rPr>
          <t>Maître Couple</t>
        </r>
        <r>
          <rPr>
            <sz val="8"/>
            <color indexed="8"/>
            <rFont val="Tahoma"/>
            <family val="2"/>
          </rPr>
          <t xml:space="preserve"> inclut donc l'épaisseur des ailerons.
</t>
        </r>
        <r>
          <rPr>
            <i/>
            <sz val="8"/>
            <color indexed="8"/>
            <rFont val="Tahoma"/>
            <family val="2"/>
          </rPr>
          <t>Reference Surface used to compute the Drag. It includes Fin thickness.</t>
        </r>
      </text>
    </comment>
    <comment ref="B15" authorId="1" shapeId="0" xr:uid="{00000000-0006-0000-0100-000004000000}">
      <text>
        <r>
          <rPr>
            <sz val="8"/>
            <color indexed="8"/>
            <rFont val="Tahoma"/>
            <family val="2"/>
          </rPr>
          <t xml:space="preserve">Coefficient de Traînée de la fusée. Par défaut, le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vaut 0.6. On peut ajouter ou retrancher 0.2 en fonction des aspérités de la fusée, du profilage des ailerons…
</t>
        </r>
        <r>
          <rPr>
            <i/>
            <sz val="8"/>
            <color indexed="8"/>
            <rFont val="Tahoma"/>
            <family val="2"/>
          </rPr>
          <t>Rocket Drag Coefficient is generally between 0.4 and 0.8, with a default value of 0.6.</t>
        </r>
      </text>
    </comment>
    <comment ref="B18" authorId="1" shapeId="0" xr:uid="{00000000-0006-0000-0100-000005000000}">
      <text>
        <r>
          <rPr>
            <b/>
            <sz val="8"/>
            <color indexed="8"/>
            <rFont val="Tahoma"/>
            <family val="2"/>
          </rPr>
          <t>Longueur de la rampe de lancement.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i/>
            <sz val="8"/>
            <color indexed="8"/>
            <rFont val="Tahoma"/>
            <family val="2"/>
          </rPr>
          <t xml:space="preserve">                                          Length of the launch pad.</t>
        </r>
        <r>
          <rPr>
            <sz val="8"/>
            <color indexed="8"/>
            <rFont val="Tahoma"/>
            <family val="2"/>
          </rPr>
          <t xml:space="preserve">
Valeurs courantes :                  </t>
        </r>
        <r>
          <rPr>
            <i/>
            <sz val="8"/>
            <color indexed="8"/>
            <rFont val="Tahoma"/>
            <family val="2"/>
          </rPr>
          <t>Average values :</t>
        </r>
        <r>
          <rPr>
            <sz val="8"/>
            <color indexed="8"/>
            <rFont val="Tahoma"/>
            <family val="2"/>
          </rPr>
          <t xml:space="preserve">
MicroFusée                  : 1m  :    </t>
        </r>
        <r>
          <rPr>
            <i/>
            <sz val="8"/>
            <color indexed="8"/>
            <rFont val="Tahoma"/>
            <family val="2"/>
          </rPr>
          <t>Micro-rocket</t>
        </r>
        <r>
          <rPr>
            <sz val="8"/>
            <color indexed="8"/>
            <rFont val="Tahoma"/>
            <family val="2"/>
          </rPr>
          <t xml:space="preserve">
MiniFusée                    : 2m5:   </t>
        </r>
        <r>
          <rPr>
            <i/>
            <sz val="8"/>
            <color indexed="8"/>
            <rFont val="Tahoma"/>
            <family val="2"/>
          </rPr>
          <t xml:space="preserve"> Mini-rocket
Rocketry Challenge    </t>
        </r>
        <r>
          <rPr>
            <sz val="8"/>
            <color indexed="8"/>
            <rFont val="Tahoma"/>
            <family val="2"/>
          </rPr>
          <t xml:space="preserve">: 3m
Fusée Expérimentale  : 4m  :   </t>
        </r>
        <r>
          <rPr>
            <i/>
            <sz val="8"/>
            <color indexed="8"/>
            <rFont val="Tahoma"/>
            <family val="2"/>
          </rPr>
          <t>Experimental Rocket</t>
        </r>
      </text>
    </comment>
    <comment ref="B19" authorId="1" shapeId="0" xr:uid="{00000000-0006-0000-0100-000006000000}">
      <text>
        <r>
          <rPr>
            <sz val="8"/>
            <color indexed="8"/>
            <rFont val="Tahoma"/>
            <family val="2"/>
          </rPr>
          <t xml:space="preserve">Elévation de la rampe, angle par rapport à l'horizontale, "site" de la rampe, par défaut cet angle est à 80°.
</t>
        </r>
        <r>
          <rPr>
            <i/>
            <sz val="8"/>
            <color indexed="8"/>
            <rFont val="Tahoma"/>
            <family val="2"/>
          </rPr>
          <t>Angle of the lauch pad versus horizontal.</t>
        </r>
      </text>
    </comment>
    <comment ref="B20" authorId="1" shapeId="0" xr:uid="{00000000-0006-0000-0100-000007000000}">
      <text>
        <r>
          <rPr>
            <sz val="8"/>
            <color indexed="8"/>
            <rFont val="Tahoma"/>
            <family val="2"/>
          </rPr>
          <t xml:space="preserve">L'Altitude de la rampe est utilisée pour calculer la densité de l'air.
</t>
        </r>
        <r>
          <rPr>
            <i/>
            <sz val="8"/>
            <color indexed="8"/>
            <rFont val="Tahoma"/>
            <family val="2"/>
          </rPr>
          <t>Launch Pad Altitude is used to compute the air density.</t>
        </r>
      </text>
    </comment>
    <comment ref="D23" authorId="2" shapeId="0" xr:uid="{00000000-0006-0000-0100-000008000000}">
      <text>
        <r>
          <rPr>
            <b/>
            <sz val="8"/>
            <color rgb="FF000000"/>
            <rFont val="Tahoma"/>
            <family val="2"/>
          </rPr>
          <t>Objet largué</t>
        </r>
        <r>
          <rPr>
            <sz val="8"/>
            <color rgb="FF000000"/>
            <rFont val="Tahoma"/>
            <family val="2"/>
          </rPr>
          <t xml:space="preserve"> (CanSat, quasi-satellite, partie contenant l'œuf...)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Separated object (CanSat, quasi-satellite, payload/egg...)</t>
        </r>
      </text>
    </comment>
    <comment ref="K23" authorId="1" shapeId="0" xr:uid="{00000000-0006-0000-0100-000009000000}">
      <text>
        <r>
          <rPr>
            <sz val="8"/>
            <color indexed="8"/>
            <rFont val="Tahoma"/>
            <family val="2"/>
          </rPr>
          <t xml:space="preserve">La Vitesse en Sortie de Rampe doit être supérieure à 18m/s (MiniFusée) ou 20m/s (Fusée Exp.).
Alléger la fusée ou choisir un propu plus puissant.
</t>
        </r>
        <r>
          <rPr>
            <i/>
            <sz val="8"/>
            <color indexed="8"/>
            <rFont val="Tahoma"/>
            <family val="2"/>
          </rPr>
          <t>Speed at Launch Pad Exit must by higher than 18m/s (mini-rocket) or 20m/s (experimental rocket).
Lighten the rocket or choose a bigger motor.</t>
        </r>
      </text>
    </comment>
    <comment ref="C24" authorId="2" shapeId="0" xr:uid="{00000000-0006-0000-0100-00000A000000}">
      <text>
        <r>
          <rPr>
            <sz val="8"/>
            <color indexed="8"/>
            <rFont val="Tahoma"/>
            <family val="2"/>
          </rPr>
          <t xml:space="preserve">Masse de la fusée (sans satellite) sous parachute.
</t>
        </r>
        <r>
          <rPr>
            <i/>
            <sz val="8"/>
            <color indexed="8"/>
            <rFont val="Tahoma"/>
            <family val="2"/>
          </rPr>
          <t>Mass of the rocket (w/o sat) when it fall with a parachute.</t>
        </r>
      </text>
    </comment>
    <comment ref="M27" authorId="3" shapeId="0" xr:uid="{00000000-0006-0000-0100-00000B000000}">
      <text>
        <r>
          <rPr>
            <sz val="8"/>
            <color indexed="81"/>
            <rFont val="Tahoma"/>
            <family val="2"/>
          </rPr>
          <t xml:space="preserve">Efforts sur les fixations du parachute lors de sont ouverture.
</t>
        </r>
        <r>
          <rPr>
            <i/>
            <sz val="8"/>
            <color indexed="81"/>
            <rFont val="Tahoma"/>
            <family val="2"/>
          </rPr>
          <t>Stress on the parachute's bindings when it opened.</t>
        </r>
      </text>
    </comment>
    <comment ref="B28" authorId="1" shapeId="0" xr:uid="{00000000-0006-0000-0100-00000C000000}">
      <text>
        <r>
          <rPr>
            <sz val="8"/>
            <color indexed="8"/>
            <rFont val="Tahoma"/>
            <family val="2"/>
          </rPr>
          <t xml:space="preserve">Le Coefficient de Traînée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(ou Cd) d'un parachute est généralement compris entre 0.7 et 1.4 (1 par défaut).
</t>
        </r>
        <r>
          <rPr>
            <i/>
            <sz val="8"/>
            <color indexed="8"/>
            <rFont val="Tahoma"/>
            <family val="2"/>
          </rPr>
          <t xml:space="preserve">Parachute Drag Coefficient </t>
        </r>
        <r>
          <rPr>
            <b/>
            <i/>
            <sz val="8"/>
            <color indexed="8"/>
            <rFont val="Tahoma"/>
            <family val="2"/>
          </rPr>
          <t>Cx</t>
        </r>
        <r>
          <rPr>
            <i/>
            <sz val="8"/>
            <color indexed="8"/>
            <rFont val="Tahoma"/>
            <family val="2"/>
          </rPr>
          <t xml:space="preserve"> (or Cd) should be between 0.7 and 1.4, with a default value of 1.</t>
        </r>
      </text>
    </comment>
    <comment ref="M28" authorId="3" shapeId="0" xr:uid="{00000000-0006-0000-0100-00000D000000}">
      <text>
        <r>
          <rPr>
            <sz val="8"/>
            <color indexed="81"/>
            <rFont val="Tahoma"/>
            <family val="2"/>
          </rPr>
          <t>Energie libérée lors de l'impact balistique.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i/>
            <sz val="8"/>
            <color indexed="81"/>
            <rFont val="Tahoma"/>
            <family val="2"/>
          </rPr>
          <t>Balistic impact energy</t>
        </r>
      </text>
    </comment>
    <comment ref="B30" authorId="4" shapeId="0" xr:uid="{00000000-0006-0000-0100-00000E000000}">
      <text>
        <r>
          <rPr>
            <sz val="8"/>
            <color indexed="81"/>
            <rFont val="Tahoma"/>
            <family val="2"/>
          </rPr>
          <t xml:space="preserve">La Vitesse de descente sous parachute doit être comprise entre 5 &amp; 15m/s.
</t>
        </r>
        <r>
          <rPr>
            <i/>
            <sz val="8"/>
            <color indexed="81"/>
            <rFont val="Tahoma"/>
            <family val="2"/>
          </rPr>
          <t>Fall Velocity with parachute must be between 5 &amp; 15 m/s.</t>
        </r>
      </text>
    </comment>
    <comment ref="B33" authorId="0" shapeId="0" xr:uid="{00000000-0006-0000-0100-00000F000000}">
      <text>
        <r>
          <rPr>
            <sz val="8"/>
            <color indexed="8"/>
            <rFont val="Tahoma"/>
            <family val="2"/>
          </rPr>
          <t xml:space="preserve">Déviation due au vent lors de la descente sous parachute.
</t>
        </r>
        <r>
          <rPr>
            <i/>
            <sz val="8"/>
            <color indexed="8"/>
            <rFont val="Tahoma"/>
            <family val="2"/>
          </rPr>
          <t>Deviation due to wind during the fall over parachute.</t>
        </r>
      </text>
    </comment>
    <comment ref="F40" authorId="1" shapeId="0" xr:uid="{00000000-0006-0000-0100-000010000000}">
      <text>
        <r>
          <rPr>
            <sz val="8"/>
            <color indexed="8"/>
            <rFont val="Tahoma"/>
            <family val="2"/>
          </rPr>
          <t xml:space="preserve">Les Conditions Initiales permettent de simuler le 2e boost des fusée bi-étage ou des fusées larguant une masse (CanSat, bi-inerte). Laisser à 0 dans les autres cas.
</t>
        </r>
        <r>
          <rPr>
            <i/>
            <sz val="8"/>
            <color indexed="8"/>
            <rFont val="Tahoma"/>
            <family val="2"/>
          </rPr>
          <t>Initial Conditions can be used to simulate the 2nd boost of 2-stages rockets, or rocket releasing mass (Quasi-Satellites). Set them to 0 otherwise.</t>
        </r>
      </text>
    </comment>
    <comment ref="I40" authorId="1" shapeId="0" xr:uid="{00000000-0006-0000-0100-000011000000}">
      <text>
        <r>
          <rPr>
            <sz val="8"/>
            <color indexed="8"/>
            <rFont val="Tahoma"/>
            <family val="2"/>
          </rPr>
          <t xml:space="preserve">Altitude par rapport à la rampe, par rapport au sol.
</t>
        </r>
        <r>
          <rPr>
            <i/>
            <sz val="8"/>
            <color indexed="8"/>
            <rFont val="Tahoma"/>
            <family val="2"/>
          </rPr>
          <t>Altitude with respect to the earth surface.</t>
        </r>
      </text>
    </comment>
    <comment ref="K40" authorId="1" shapeId="0" xr:uid="{00000000-0006-0000-0100-000012000000}">
      <text>
        <r>
          <rPr>
            <sz val="8"/>
            <color indexed="8"/>
            <rFont val="Tahoma"/>
            <family val="2"/>
          </rPr>
          <t xml:space="preserve">La vitesse initiale doit être non-nulle dans le cas d'un 2e boost (allumage hors de la rampe, Portée et Altitude non-nulles).
</t>
        </r>
        <r>
          <rPr>
            <i/>
            <sz val="8"/>
            <color indexed="8"/>
            <rFont val="Tahoma"/>
            <family val="2"/>
          </rPr>
          <t>Initial Velocity must be non-zero in case of 2nd boost (ignition without launch pad, non-zero Range and Altitude).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M363040</author>
    <author>Léo Côme</author>
  </authors>
  <commentList>
    <comment ref="B10" authorId="0" shapeId="0" xr:uid="{00000000-0006-0000-0500-000001000000}">
      <text>
        <r>
          <rPr>
            <sz val="8"/>
            <color indexed="8"/>
            <rFont val="Tahoma"/>
            <family val="2"/>
          </rPr>
          <t xml:space="preserve">Masse sans propu, à changer dans la feuille Stabilito,
ou à l'aide des boutons (revérifiez alors la stabilité).
</t>
        </r>
        <r>
          <rPr>
            <i/>
            <sz val="8"/>
            <color indexed="8"/>
            <rFont val="Tahoma"/>
            <family val="2"/>
          </rPr>
          <t>Rocket mass without motor, to be changed in Stabilito sheet,
or with the buttons (then recheck stability).</t>
        </r>
      </text>
    </comment>
    <comment ref="B11" authorId="0" shapeId="0" xr:uid="{00000000-0006-0000-0500-000002000000}">
      <text>
        <r>
          <rPr>
            <sz val="8"/>
            <color indexed="8"/>
            <rFont val="Tahoma"/>
            <family val="2"/>
          </rPr>
          <t>Masse totale, à changer dans la feuille Stabilito,
ou à l'aide des boutons (revérifiez alors la stabilité).
Rocket total mass, to be changed in Stabilito sheet,
or with the buttons (then recheck stability).</t>
        </r>
      </text>
    </comment>
    <comment ref="B12" authorId="0" shapeId="0" xr:uid="{00000000-0006-0000-0500-000003000000}">
      <text>
        <r>
          <rPr>
            <sz val="8"/>
            <color indexed="8"/>
            <rFont val="Tahoma"/>
            <family val="2"/>
          </rPr>
          <t xml:space="preserve">Le propulseur doit être sélectionné dans l'onglet Stabilito.
</t>
        </r>
        <r>
          <rPr>
            <i/>
            <sz val="8"/>
            <color indexed="8"/>
            <rFont val="Tahoma"/>
            <family val="2"/>
          </rPr>
          <t>Motor must be selected in Stabilito sheet.</t>
        </r>
      </text>
    </comment>
    <comment ref="B15" authorId="1" shapeId="0" xr:uid="{00000000-0006-0000-0500-000004000000}">
      <text>
        <r>
          <rPr>
            <sz val="8"/>
            <color indexed="8"/>
            <rFont val="Tahoma"/>
            <family val="2"/>
          </rPr>
          <t xml:space="preserve">Diamètre de référence. D_réf = D_ogive ou le diamètre "principal".
</t>
        </r>
        <r>
          <rPr>
            <i/>
            <sz val="8"/>
            <color indexed="8"/>
            <rFont val="Tahoma"/>
            <family val="2"/>
          </rPr>
          <t>Reference Diameter. D_ref = D_ogive or the "main" diameter.</t>
        </r>
      </text>
    </comment>
    <comment ref="B16" authorId="2" shapeId="0" xr:uid="{00000000-0006-0000-0500-000005000000}">
      <text>
        <r>
          <rPr>
            <sz val="8"/>
            <color indexed="8"/>
            <rFont val="Tahoma"/>
            <family val="2"/>
          </rPr>
          <t xml:space="preserve">Coefficient de Traînée de la fusée. Par défaut, le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vaut 0.6. On peut ajouter ou retrancher 0.2 en fonction des aspérités de la fusée, du profilage des ailerons…
</t>
        </r>
        <r>
          <rPr>
            <i/>
            <sz val="8"/>
            <color indexed="8"/>
            <rFont val="Tahoma"/>
            <family val="2"/>
          </rPr>
          <t>Rocket Drag Coefficient is generally between 0.4 and 0.8, with a default value of 0.6.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Léo</author>
  </authors>
  <commentList>
    <comment ref="E5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Masse volumique de l'air (ρ) à P=1013,25hPa &amp; T=15°C.
Utilisée tel quel pour la descente sous parachute,
utilisée comme référence (z=0) pour le calcul de ρ en fonction de l'altitude dans le calcul de la trajectoire pas à pas.
Idéalement, valeur à adapter aux conditions atmosphériques au moment du lancement.
</t>
        </r>
        <r>
          <rPr>
            <i/>
            <sz val="8"/>
            <color indexed="81"/>
            <rFont val="Tahoma"/>
            <family val="2"/>
          </rPr>
          <t>Air density (ρ) at P=1013,25hPa &amp; T=15°C.</t>
        </r>
      </text>
    </comment>
  </commentList>
</comments>
</file>

<file path=xl/sharedStrings.xml><?xml version="1.0" encoding="utf-8"?>
<sst xmlns="http://schemas.openxmlformats.org/spreadsheetml/2006/main" count="1716" uniqueCount="560">
  <si>
    <t>TRAJECTO</t>
  </si>
  <si>
    <t>Français</t>
  </si>
  <si>
    <t>t</t>
  </si>
  <si>
    <t>x</t>
  </si>
  <si>
    <t>Club</t>
  </si>
  <si>
    <t>Cx</t>
  </si>
  <si>
    <t>Altitude</t>
  </si>
  <si>
    <t>m/s²</t>
  </si>
  <si>
    <t>kg/m3</t>
  </si>
  <si>
    <t>Surface para</t>
  </si>
  <si>
    <t>Cx parachute</t>
  </si>
  <si>
    <t>Temps</t>
  </si>
  <si>
    <t>Altitude z</t>
  </si>
  <si>
    <t>Accélération</t>
  </si>
  <si>
    <t>-</t>
  </si>
  <si>
    <t>Culmination, Apogée</t>
  </si>
  <si>
    <t>~0</t>
  </si>
  <si>
    <t>Forces</t>
  </si>
  <si>
    <t>Accélération longitudinale</t>
  </si>
  <si>
    <t>pas</t>
  </si>
  <si>
    <t>Beta</t>
  </si>
  <si>
    <t>BetaD</t>
  </si>
  <si>
    <t>Débit</t>
  </si>
  <si>
    <t>Trainée</t>
  </si>
  <si>
    <t>Rho</t>
  </si>
  <si>
    <t>Poussée</t>
  </si>
  <si>
    <t>i_P</t>
  </si>
  <si>
    <t>Poids</t>
  </si>
  <si>
    <t>R_rampe</t>
  </si>
  <si>
    <t>z</t>
  </si>
  <si>
    <t>non-gravit.</t>
  </si>
  <si>
    <t>gravitationnelle</t>
  </si>
  <si>
    <t>Ligne</t>
  </si>
  <si>
    <t>Temps (en s)</t>
  </si>
  <si>
    <t>Poussée (en N)</t>
  </si>
  <si>
    <t>Isard</t>
  </si>
  <si>
    <t>Chamois</t>
  </si>
  <si>
    <t>Pro75-2G</t>
  </si>
  <si>
    <t>espace@planete-sciences.org</t>
  </si>
  <si>
    <t>m</t>
  </si>
  <si>
    <t>http://www.planete-sciences.org/espace/basedoc/</t>
  </si>
  <si>
    <t>Surface Réf.</t>
  </si>
  <si>
    <t>Angle</t>
  </si>
  <si>
    <t>Léo Côme</t>
  </si>
  <si>
    <t>Notes :</t>
  </si>
  <si>
    <t>Aucun (2e ét. inerte)</t>
  </si>
  <si>
    <t>z para</t>
  </si>
  <si>
    <t>z sat</t>
  </si>
  <si>
    <t>xz max</t>
  </si>
  <si>
    <t>t para</t>
  </si>
  <si>
    <t>x para</t>
  </si>
  <si>
    <t>t sat</t>
  </si>
  <si>
    <t>x sat</t>
  </si>
  <si>
    <t>Moteurs Rocketry-Challenge, bug Surface_parachute, Satellite, bug Ooo</t>
  </si>
  <si>
    <t>STABILITO</t>
  </si>
  <si>
    <t>Type</t>
  </si>
  <si>
    <t>XCp</t>
  </si>
  <si>
    <t>MpropuPlein</t>
  </si>
  <si>
    <t>XpropuPlein</t>
  </si>
  <si>
    <t>MpropuVide</t>
  </si>
  <si>
    <t>XpropuVide</t>
  </si>
  <si>
    <t>Longueur</t>
  </si>
  <si>
    <t>Diamètre</t>
  </si>
  <si>
    <t>Min</t>
  </si>
  <si>
    <t>Max</t>
  </si>
  <si>
    <t>Finesse</t>
  </si>
  <si>
    <t>Cnα</t>
  </si>
  <si>
    <t>MS /L</t>
  </si>
  <si>
    <t>English</t>
  </si>
  <si>
    <t>X longi</t>
  </si>
  <si>
    <t>Y latéral</t>
  </si>
  <si>
    <t>- Y latéral</t>
  </si>
  <si>
    <t>Pointe</t>
  </si>
  <si>
    <t>Ogive</t>
  </si>
  <si>
    <t>chmt1 pt1</t>
  </si>
  <si>
    <t>chmt1 pt2</t>
  </si>
  <si>
    <t>chmt2 pt1</t>
  </si>
  <si>
    <t>chmt2 pt2</t>
  </si>
  <si>
    <t>culot</t>
  </si>
  <si>
    <t>aileron pt1</t>
  </si>
  <si>
    <t>aileron pt2</t>
  </si>
  <si>
    <t>aileron pt3</t>
  </si>
  <si>
    <t>aileron pt4</t>
  </si>
  <si>
    <t>Xcg plein</t>
  </si>
  <si>
    <t>Xcg vide</t>
  </si>
  <si>
    <t>Xcp</t>
  </si>
  <si>
    <t>canard pt1</t>
  </si>
  <si>
    <t>canard pt2</t>
  </si>
  <si>
    <t>canard pt3</t>
  </si>
  <si>
    <t>canard pt4</t>
  </si>
  <si>
    <t>masquage pt1</t>
  </si>
  <si>
    <t>masquage pt2</t>
  </si>
  <si>
    <t>masquage pt3</t>
  </si>
  <si>
    <t>masquage pt4</t>
  </si>
  <si>
    <t>cadre</t>
  </si>
  <si>
    <t>propu pt1</t>
  </si>
  <si>
    <t>propu pt2</t>
  </si>
  <si>
    <t>propu pt3</t>
  </si>
  <si>
    <t>propu pt4</t>
  </si>
  <si>
    <t>propu pt5</t>
  </si>
  <si>
    <t>MS (X)</t>
  </si>
  <si>
    <t>Cna (Y)</t>
  </si>
  <si>
    <t>2002-2007</t>
  </si>
  <si>
    <t>Stabilito V1.x</t>
  </si>
  <si>
    <t>Stabilito V2.0</t>
  </si>
  <si>
    <t>Stabilito V2.1</t>
  </si>
  <si>
    <t>Stabilito V2.2</t>
  </si>
  <si>
    <t>Trajecto V1.x</t>
  </si>
  <si>
    <t>Trajecto V2.x</t>
  </si>
  <si>
    <t>Trajecto V2.4</t>
  </si>
  <si>
    <t>Trajecto V2.5</t>
  </si>
  <si>
    <t>OpenOffice Calc</t>
  </si>
  <si>
    <t>µ-propu A8-3</t>
  </si>
  <si>
    <t>µ-propu B4-4</t>
  </si>
  <si>
    <t>µ-propu C6-3</t>
  </si>
  <si>
    <t>ISP</t>
  </si>
  <si>
    <t>I_total</t>
  </si>
  <si>
    <t>I_total_i (en N.s)</t>
  </si>
  <si>
    <t>Micro</t>
  </si>
  <si>
    <t>Fusex</t>
  </si>
  <si>
    <t>Mini</t>
  </si>
  <si>
    <t>0 satellite</t>
  </si>
  <si>
    <t>1 satellite</t>
  </si>
  <si>
    <t>http://creativecommons.org/licenses/by-sa/3.0/</t>
  </si>
  <si>
    <t>VL4</t>
  </si>
  <si>
    <t>Vsortie de rampe (&gt; 18 m/s)</t>
  </si>
  <si>
    <t>10 &lt; finesse &lt; 20</t>
  </si>
  <si>
    <t>15 &lt; Cn &lt; 30</t>
  </si>
  <si>
    <t>30 &lt; Ms x Cn &lt; 100</t>
  </si>
  <si>
    <t>RC1</t>
  </si>
  <si>
    <t>5 &lt; Vc &lt; 15 m/s</t>
  </si>
  <si>
    <t>RC2</t>
  </si>
  <si>
    <t>Temps de retard ralentisseur</t>
  </si>
  <si>
    <t>RC5</t>
  </si>
  <si>
    <t>Portée balistique (m)</t>
  </si>
  <si>
    <t>Temps de vol avec parachute (s)</t>
  </si>
  <si>
    <t>Culmination</t>
  </si>
  <si>
    <t>Accélération max (m/s²)</t>
  </si>
  <si>
    <t>Vmax (m/s)</t>
  </si>
  <si>
    <t>Altitude (m)</t>
  </si>
  <si>
    <t>Temps (s)</t>
  </si>
  <si>
    <t>Vitesse (m/s)</t>
  </si>
  <si>
    <t>Inclinaison</t>
  </si>
  <si>
    <t>Longueur totale</t>
  </si>
  <si>
    <t>Longueur rampe</t>
  </si>
  <si>
    <t>Epaisseur ailerons</t>
  </si>
  <si>
    <t>Nombre ailerons</t>
  </si>
  <si>
    <t>Type d'ogive</t>
  </si>
  <si>
    <t>Longueur ogive "l"</t>
  </si>
  <si>
    <t>Haut du propu "Prop"</t>
  </si>
  <si>
    <t>Diamètre "D"</t>
  </si>
  <si>
    <t>Position ailerons "L"</t>
  </si>
  <si>
    <t>M</t>
  </si>
  <si>
    <t>Microsoft Excel 2003 ou +</t>
  </si>
  <si>
    <t>s</t>
  </si>
  <si>
    <t>m/s</t>
  </si>
  <si>
    <t>°</t>
  </si>
  <si>
    <t>Transition A</t>
  </si>
  <si>
    <t>Transition B</t>
  </si>
  <si>
    <t>Jaune</t>
  </si>
  <si>
    <t>conique</t>
  </si>
  <si>
    <t>ogive</t>
  </si>
  <si>
    <t>parabole</t>
  </si>
  <si>
    <t>env pt4</t>
  </si>
  <si>
    <t>flèche pt2</t>
  </si>
  <si>
    <t>saumon pt3</t>
  </si>
  <si>
    <t>flèche milieu</t>
  </si>
  <si>
    <t>env milieu</t>
  </si>
  <si>
    <t>saumon milieu</t>
  </si>
  <si>
    <t>empl milieu</t>
  </si>
  <si>
    <t>empl pt4</t>
  </si>
  <si>
    <t>MS milieu</t>
  </si>
  <si>
    <t>MS Xcp</t>
  </si>
  <si>
    <t>1s</t>
  </si>
  <si>
    <t>t/T</t>
  </si>
  <si>
    <t>z/Z</t>
  </si>
  <si>
    <t>vertical</t>
  </si>
  <si>
    <t>horizontal</t>
  </si>
  <si>
    <t>flèches</t>
  </si>
  <si>
    <t>StabTraj</t>
  </si>
  <si>
    <t>StabTraj V3.0</t>
  </si>
  <si>
    <t>Trajecto</t>
  </si>
  <si>
    <t>µ-propu</t>
  </si>
  <si>
    <t>Minif</t>
  </si>
  <si>
    <t xml:space="preserve"> </t>
  </si>
  <si>
    <t>Événements</t>
  </si>
  <si>
    <t>Sous-échantillon 1Hz</t>
  </si>
  <si>
    <t>pos_x</t>
  </si>
  <si>
    <t>pos_z</t>
  </si>
  <si>
    <t>pos_xz</t>
  </si>
  <si>
    <t>vit_x</t>
  </si>
  <si>
    <t>vit_z</t>
  </si>
  <si>
    <t>vit_xz</t>
  </si>
  <si>
    <t>acc_x</t>
  </si>
  <si>
    <t>acc_z</t>
  </si>
  <si>
    <t>acc_xz</t>
  </si>
  <si>
    <t>Donneés au format des fiches de contrôles Fusex :</t>
  </si>
  <si>
    <t>Diamètre max</t>
  </si>
  <si>
    <t>Envergure totale</t>
  </si>
  <si>
    <t>sans</t>
  </si>
  <si>
    <t>vide</t>
  </si>
  <si>
    <t>plein</t>
  </si>
  <si>
    <t>Masse</t>
  </si>
  <si>
    <t>STAB 1</t>
  </si>
  <si>
    <t>STAB 2</t>
  </si>
  <si>
    <t>STAB 3</t>
  </si>
  <si>
    <t>STAB 4</t>
  </si>
  <si>
    <t>STAB 5</t>
  </si>
  <si>
    <t>Vsortie de rampe (&gt; 20 m/s)</t>
  </si>
  <si>
    <t>10 &lt; finesse &lt; 35</t>
  </si>
  <si>
    <t>15 &lt; Portance &lt; 40</t>
  </si>
  <si>
    <t>2*D &lt; Ms &lt; 6*D</t>
  </si>
  <si>
    <t>40 &lt; Ms x Cn &lt; 100</t>
  </si>
  <si>
    <t>Maître couple (m²)</t>
  </si>
  <si>
    <t>Site</t>
  </si>
  <si>
    <t>Temps balistique (s)</t>
  </si>
  <si>
    <t>Temps culmi (s)</t>
  </si>
  <si>
    <t>Altitude culmi (m)</t>
  </si>
  <si>
    <t>Vitesse culmi (m/s)</t>
  </si>
  <si>
    <t>CdG</t>
  </si>
  <si>
    <t>Diamètre max (40à200)</t>
  </si>
  <si>
    <t>Envergure totale &lt;720</t>
  </si>
  <si>
    <t>Masse &lt;15</t>
  </si>
  <si>
    <t>Pensez à modifier l'inclinaison pour avoir les 2 valeurs.</t>
  </si>
  <si>
    <t>Resist long aileron</t>
  </si>
  <si>
    <t>Resist transv aileron</t>
  </si>
  <si>
    <t>Compression 2.Acc.M</t>
  </si>
  <si>
    <t>N</t>
  </si>
  <si>
    <t>kg</t>
  </si>
  <si>
    <t>Surface aileron (m²)</t>
  </si>
  <si>
    <t>Masse aileron (kg)</t>
  </si>
  <si>
    <t>T dépotage +/-2s /appogée</t>
  </si>
  <si>
    <t>REC 2</t>
  </si>
  <si>
    <t>SEQ 5</t>
  </si>
  <si>
    <t>CR 1</t>
  </si>
  <si>
    <t>CR 2</t>
  </si>
  <si>
    <t>MEC 3</t>
  </si>
  <si>
    <t>Vitesse à l'ouverture m/s</t>
  </si>
  <si>
    <t>Surface parachute m²</t>
  </si>
  <si>
    <t xml:space="preserve">Choc à l'ouverture   N </t>
  </si>
  <si>
    <t>Choc à l'ouverture   kg</t>
  </si>
  <si>
    <t>Compression porte</t>
  </si>
  <si>
    <t>Masse au-dessus porte</t>
  </si>
  <si>
    <t>REC 8</t>
  </si>
  <si>
    <t>rad</t>
  </si>
  <si>
    <t>kg/s</t>
  </si>
  <si>
    <t>Méthodes d'intégration maison</t>
  </si>
  <si>
    <t>Wikipedia</t>
  </si>
  <si>
    <t>Pour se limiter à 1000 lignes, pas variable (les transitions sont-elles rigoureuses ?).</t>
  </si>
  <si>
    <t>Le Vol de la Fusée</t>
  </si>
  <si>
    <t>Beeman (2nd order, explicit variant)</t>
  </si>
  <si>
    <t>Newmark-beta (with γ=1/2 &amp; β=1/4) (2nd order)</t>
  </si>
  <si>
    <t>Spécificités de notre problème (2nd order mechanical ODE) :</t>
  </si>
  <si>
    <t>Verlet (2-stage 2nd order, symplectic, explicit)</t>
  </si>
  <si>
    <t>Trajec 2.x utililse un mélange douteux de différentes méthodes :</t>
  </si>
  <si>
    <t>Méthodes d'intégration explicites officielles</t>
  </si>
  <si>
    <t>On peut anticiper la Poussée (force qui varie le +) et la masse.</t>
  </si>
  <si>
    <t>L'Acc dépend de la vitesse (et peu de la position).</t>
  </si>
  <si>
    <t>Semi-implicit Euler (1st order, symplectic) [§ "Euler modifié" dans Le Vol de La Fusée]</t>
  </si>
  <si>
    <t>Explicit Euler (1st order, non-symplectic) [RK1]</t>
  </si>
  <si>
    <t>Velocity Verlet, Leapfrog variant (2nd order, symplectic, explicit)</t>
  </si>
  <si>
    <t>Midpoint, Modified Euler (2nd order, explicit) [§ "RK2" dans Le Vol de La Fusée]</t>
  </si>
  <si>
    <t>Heun, Improved Euler (2-stage 2nd-order, explicit, predictor-corrector) [Trapezoidal] [RK2]</t>
  </si>
  <si>
    <t>Les méthodes symplectic (conserve l'énergie) gardent-elles leur avantage quand la masse varie (ph propu) ?</t>
  </si>
  <si>
    <t>Sous Excel, on a les pas précédent (linear multistep possible), mais ordre élevé ou implicite sont à exclure.</t>
  </si>
  <si>
    <t>Multi{sub}step (RK), linear multi{previous}step (ADAMS), predictor-corrector, implicit …</t>
  </si>
  <si>
    <t>Dynamique de la fusée (repère sol)</t>
  </si>
  <si>
    <t>Trajecto/StabTraj corrige l'erreur de Trajec sur Xn+1 en utilisant la vitesse moyenne :</t>
  </si>
  <si>
    <t>Idéalement, il serait préférable de tout calculer à n+0.5 (m, V, β, ρ).</t>
  </si>
  <si>
    <t>Checksum :</t>
  </si>
  <si>
    <t>M_éjecté</t>
  </si>
  <si>
    <t>M_burnout</t>
  </si>
  <si>
    <t>m_poudre</t>
  </si>
  <si>
    <t>Wapiti</t>
  </si>
  <si>
    <t>Cariacou</t>
  </si>
  <si>
    <t>H2O</t>
  </si>
  <si>
    <t>H2O 2.0L 400g 6bar</t>
  </si>
  <si>
    <t>H2O 2.0L 600g 6bar</t>
  </si>
  <si>
    <t>H2O 2.0L 800g 6bar</t>
  </si>
  <si>
    <t>H2O 2.0L 1000g 6bar</t>
  </si>
  <si>
    <t>ABACO</t>
  </si>
  <si>
    <t>Masse totale</t>
  </si>
  <si>
    <t>Traînée prop</t>
  </si>
  <si>
    <t>Traînée bal</t>
  </si>
  <si>
    <t>1/2.ρ.S.Cx</t>
  </si>
  <si>
    <t>M ph prop</t>
  </si>
  <si>
    <t>M ph bal</t>
  </si>
  <si>
    <t>alt_prop</t>
  </si>
  <si>
    <t>V_prop</t>
  </si>
  <si>
    <t>t_culmi</t>
  </si>
  <si>
    <t>D_var</t>
  </si>
  <si>
    <t>Q_var</t>
  </si>
  <si>
    <t>m_var</t>
  </si>
  <si>
    <t>m_prop</t>
  </si>
  <si>
    <t>m_bal</t>
  </si>
  <si>
    <t>a_prop</t>
  </si>
  <si>
    <t>b_prop</t>
  </si>
  <si>
    <t>b_bal</t>
  </si>
  <si>
    <t>Alt prop</t>
  </si>
  <si>
    <t>V max</t>
  </si>
  <si>
    <t>LibreOffice Calc 3.4 ou +</t>
  </si>
  <si>
    <t>alt_culmi</t>
  </si>
  <si>
    <t>x_triomphe</t>
  </si>
  <si>
    <t>z_triomphe</t>
  </si>
  <si>
    <t>Arc de triomphe</t>
  </si>
  <si>
    <t>z_Eiffel</t>
  </si>
  <si>
    <t>x_Eiffel</t>
  </si>
  <si>
    <t>Tour Eiffel</t>
  </si>
  <si>
    <t>H2O 1.5L 300g 6bar</t>
  </si>
  <si>
    <t>H2O 1.5L 450g 6bar</t>
  </si>
  <si>
    <t>H2O 1.5L 600g 6bar</t>
  </si>
  <si>
    <t>H2O 1.5L 750g 6bar</t>
  </si>
  <si>
    <t>FUSEX</t>
  </si>
  <si>
    <t>MINIF PRO29-1G</t>
  </si>
  <si>
    <t>MINIF PRO24-3G</t>
  </si>
  <si>
    <t>MINIF PRO29-2G</t>
  </si>
  <si>
    <t>MINIF PRO24-1G</t>
  </si>
  <si>
    <t>Pro98-2G WT</t>
  </si>
  <si>
    <t>Pro98-3G WT</t>
  </si>
  <si>
    <t>p24-1G 24E22</t>
  </si>
  <si>
    <t>p24-1G 26E31</t>
  </si>
  <si>
    <t>p24-3G 60F50</t>
  </si>
  <si>
    <t>p24-3G 68F79</t>
  </si>
  <si>
    <t>p24-3G 68F240</t>
  </si>
  <si>
    <t>p24-3G 73F30</t>
  </si>
  <si>
    <t>p24-3G 74F85</t>
  </si>
  <si>
    <t>p24-3G 75F51</t>
  </si>
  <si>
    <t>StabTraj V3.1</t>
  </si>
  <si>
    <t>StabTraj V3.2</t>
  </si>
  <si>
    <t>µ-propu C6-3 x2</t>
  </si>
  <si>
    <t>µ-propu C6-3 x3</t>
  </si>
  <si>
    <t>Propu : +RC &amp; +Tintin 2013 : 3 p24-1G, p24-3G 75F51 &amp; 60F50, Pro98-2G &amp; 3G WT</t>
  </si>
  <si>
    <t>Propu : +multi-µ-fu, -Wapiti, warning Cariacou, "Rufina"</t>
  </si>
  <si>
    <t>Donneés au format des fiches de lancement Fusex :</t>
  </si>
  <si>
    <t>Projet</t>
  </si>
  <si>
    <t>Chef de projet</t>
  </si>
  <si>
    <t>Date</t>
  </si>
  <si>
    <t>Moteur</t>
  </si>
  <si>
    <t>Virole</t>
  </si>
  <si>
    <t>MECANIQUE</t>
  </si>
  <si>
    <t xml:space="preserve">l = </t>
  </si>
  <si>
    <t xml:space="preserve">D = </t>
  </si>
  <si>
    <t>Dj =</t>
  </si>
  <si>
    <t xml:space="preserve">Dr = </t>
  </si>
  <si>
    <t xml:space="preserve">m = </t>
  </si>
  <si>
    <t>Epaisseur :</t>
  </si>
  <si>
    <t>Nb Aileron</t>
  </si>
  <si>
    <t>Type ogive</t>
  </si>
  <si>
    <t>ogivale</t>
  </si>
  <si>
    <t>parabolique</t>
  </si>
  <si>
    <t>X_plaque de poussée</t>
  </si>
  <si>
    <t>Masse fusée</t>
  </si>
  <si>
    <t>X_CdG</t>
  </si>
  <si>
    <t>Propu plein</t>
  </si>
  <si>
    <t>Sans propu</t>
  </si>
  <si>
    <t>Masse avec propu vide</t>
  </si>
  <si>
    <t>Simulation de vol</t>
  </si>
  <si>
    <t>Tenue mécanique</t>
  </si>
  <si>
    <t>masse d'un aileron</t>
  </si>
  <si>
    <t>superficie d'un aileron</t>
  </si>
  <si>
    <t>fleche acceptable(mm)</t>
  </si>
  <si>
    <t>compression</t>
  </si>
  <si>
    <t>Resistance longitudinale d'un aileron</t>
  </si>
  <si>
    <t>Resistance transversale d'un aileron</t>
  </si>
  <si>
    <t>Récupération</t>
  </si>
  <si>
    <t>Ralentisseur</t>
  </si>
  <si>
    <t>nombre de suspentes</t>
  </si>
  <si>
    <t>surface parachute</t>
  </si>
  <si>
    <t>force à tester totale</t>
  </si>
  <si>
    <t>force sur suspente</t>
  </si>
  <si>
    <t>Séparation latérale</t>
  </si>
  <si>
    <t>masse au dessus case para</t>
  </si>
  <si>
    <t>Force de compression</t>
  </si>
  <si>
    <t>MINIF PRO24-6G</t>
  </si>
  <si>
    <t>MINIF PRO38-1G</t>
  </si>
  <si>
    <t>p29-2G 84G88</t>
  </si>
  <si>
    <t>p29-2G 93G80</t>
  </si>
  <si>
    <t>p29-2G 110G250</t>
  </si>
  <si>
    <t>p29-2G 116G126</t>
  </si>
  <si>
    <t>p38-1G 137G58</t>
  </si>
  <si>
    <t>p38-1G 128G185</t>
  </si>
  <si>
    <t>p29-1G 41F36</t>
  </si>
  <si>
    <t>p29-1G 51F36</t>
  </si>
  <si>
    <t>p29-1G 55F29</t>
  </si>
  <si>
    <t>p29-1G 56F120</t>
  </si>
  <si>
    <t>p29-1G 57F59</t>
  </si>
  <si>
    <t>MINIF PRO29-3G</t>
  </si>
  <si>
    <t>p29-3G 125G131</t>
  </si>
  <si>
    <t>p38-1G 141G78</t>
  </si>
  <si>
    <t>MINIF PRO24-2G</t>
  </si>
  <si>
    <t>p24-2G 50E51</t>
  </si>
  <si>
    <t>p24-1G 53E70</t>
  </si>
  <si>
    <t>p29-3G 159G125</t>
  </si>
  <si>
    <t>Dépotage</t>
  </si>
  <si>
    <t>Combustion</t>
  </si>
  <si>
    <t>Sylvain Besson</t>
  </si>
  <si>
    <t>Minif Test</t>
  </si>
  <si>
    <t>Rocketry Challenge</t>
  </si>
  <si>
    <t>,Minif Tests</t>
  </si>
  <si>
    <t>MiniR</t>
  </si>
  <si>
    <t>MiniRN</t>
  </si>
  <si>
    <t>MiniN</t>
  </si>
  <si>
    <t>H20</t>
  </si>
  <si>
    <t>micro</t>
  </si>
  <si>
    <t>minif N</t>
  </si>
  <si>
    <t>Verification moteur</t>
  </si>
  <si>
    <t>Minif RC</t>
  </si>
  <si>
    <t>N/A</t>
  </si>
  <si>
    <t>T_para =</t>
  </si>
  <si>
    <t>-9</t>
  </si>
  <si>
    <t>-7</t>
  </si>
  <si>
    <t>-5</t>
  </si>
  <si>
    <t>-3</t>
  </si>
  <si>
    <t>-0</t>
  </si>
  <si>
    <t>Délais dépotage</t>
  </si>
  <si>
    <t>Propu : +ProX, Stabilito : séparation minif/RC, Trajecto : dépotage +rampe RC 3m</t>
  </si>
  <si>
    <t>StabTraj V3.3a</t>
  </si>
  <si>
    <t>p24-1G 25E75 (Rufina)</t>
  </si>
  <si>
    <t>Modification des alertes, +Effort subit par les parachutes</t>
  </si>
  <si>
    <t>Pour prendre en compte plsu de moteurs, il faut changer les variables "menu_type" et "liste"propu" dans le gestionnaire de noms.</t>
  </si>
  <si>
    <t>StabTraj V3.3e</t>
  </si>
  <si>
    <t>Efforts</t>
  </si>
  <si>
    <t>Xcp0</t>
  </si>
  <si>
    <t>sans propu</t>
  </si>
  <si>
    <t>Mono-empennage</t>
  </si>
  <si>
    <t>Bi-empennage</t>
  </si>
  <si>
    <t>Portée balistique &lt; 200 m</t>
  </si>
  <si>
    <t>Indication dépotage lanceur</t>
  </si>
  <si>
    <t>~0 m</t>
  </si>
  <si>
    <t>Données au format des fiches de contrôles minif :</t>
  </si>
  <si>
    <t xml:space="preserve">n = </t>
  </si>
  <si>
    <t xml:space="preserve">E = </t>
  </si>
  <si>
    <t xml:space="preserve">p = </t>
  </si>
  <si>
    <t>1,5.D &lt; Ms &lt; 6.D</t>
  </si>
  <si>
    <t xml:space="preserve">ailrons haut </t>
  </si>
  <si>
    <t>nombre</t>
  </si>
  <si>
    <t xml:space="preserve">ep = </t>
  </si>
  <si>
    <t>Fusée</t>
  </si>
  <si>
    <t>D</t>
  </si>
  <si>
    <t>L ogive</t>
  </si>
  <si>
    <t>L tot</t>
  </si>
  <si>
    <t>X prop</t>
  </si>
  <si>
    <t>Ailerons</t>
  </si>
  <si>
    <t>n</t>
  </si>
  <si>
    <t>p</t>
  </si>
  <si>
    <t>E</t>
  </si>
  <si>
    <t>X ail</t>
  </si>
  <si>
    <t>Bi empennage</t>
  </si>
  <si>
    <t>L</t>
  </si>
  <si>
    <t>D 1</t>
  </si>
  <si>
    <t>D 2</t>
  </si>
  <si>
    <t>X</t>
  </si>
  <si>
    <t>X cg (sans)</t>
  </si>
  <si>
    <t>(mm)</t>
  </si>
  <si>
    <t>Masse sans propu (kg)</t>
  </si>
  <si>
    <t>Couleur de la fusée</t>
  </si>
  <si>
    <t>Type d'éjection du para.</t>
  </si>
  <si>
    <t>Couleur du ralentisseur</t>
  </si>
  <si>
    <t>Surface ralentisseur (m²)</t>
  </si>
  <si>
    <t>Masse sans prop. (kg)</t>
  </si>
  <si>
    <t>Diamètre max (mm)</t>
  </si>
  <si>
    <t>Longeur de la rampe (m)</t>
  </si>
  <si>
    <t>Propulseur</t>
  </si>
  <si>
    <t>module rocket(){</t>
  </si>
  <si>
    <t>}</t>
  </si>
  <si>
    <t>//--------------------------------coiffe</t>
  </si>
  <si>
    <t>if (coiffe_type   == "conique"){</t>
  </si>
  <si>
    <t>//--------------------------------corps</t>
  </si>
  <si>
    <t>if (plusieur_diametres == false){</t>
  </si>
  <si>
    <t>} else {</t>
  </si>
  <si>
    <t>//--------------------------------ailerons</t>
  </si>
  <si>
    <t>aileron(coiffe_diametre, aileron_m_emplature,</t>
  </si>
  <si>
    <t xml:space="preserve"> aileron_position_bas);</t>
  </si>
  <si>
    <t>if (bi_empennage == true){</t>
  </si>
  <si>
    <t xml:space="preserve"> aileron_sup_nombre,</t>
  </si>
  <si>
    <t>rocket();</t>
  </si>
  <si>
    <t xml:space="preserve">	module aileron(diam, m, n, p, e, ep, nb, pos, masque = true){</t>
  </si>
  <si>
    <t xml:space="preserve"> 		depha =   masque ? 0 : 45 ;</t>
  </si>
  <si>
    <t xml:space="preserve">		for (angle = [0 : 360/nb : 360] ){</t>
  </si>
  <si>
    <t xml:space="preserve">			translate ([-diam*sin(angle+depha), diam*cos(angle+depha), pos-m]) {</t>
  </si>
  <si>
    <t xml:space="preserve">				rotate( [0, 0, angle+depha] ){</t>
  </si>
  <si>
    <t xml:space="preserve">	</t>
  </si>
  <si>
    <t xml:space="preserve">					polyhedron</t>
  </si>
  <si>
    <t xml:space="preserve">						(points = [</t>
  </si>
  <si>
    <t xml:space="preserve">							[+ep, 0, 0], [+ep, 0, m], [+ep, e, p+n],  [+ep, e, p],</t>
  </si>
  <si>
    <t xml:space="preserve">							[-ep, 0, 0], [-ep, 0, m], [-ep, e, p+n],  [-ep, e, p]</t>
  </si>
  <si>
    <t xml:space="preserve">							],</t>
  </si>
  <si>
    <t xml:space="preserve">						triangles = [</t>
  </si>
  <si>
    <t xml:space="preserve">							[0, 2, 1], [0, 2, 3], //carre +</t>
  </si>
  <si>
    <t xml:space="preserve">							[4, 6, 5], [4, 6, 7], //carre -</t>
  </si>
  <si>
    <t xml:space="preserve">							[0, 5, 1], [0, 5, 4],</t>
  </si>
  <si>
    <t xml:space="preserve">							[1, 6, 2], [1, 6, 5],</t>
  </si>
  <si>
    <t xml:space="preserve">							[2, 7, 3], [2, 7, 6],</t>
  </si>
  <si>
    <t xml:space="preserve">							[0, 7, 3], [0, 7, 4]</t>
  </si>
  <si>
    <t xml:space="preserve">							]</t>
  </si>
  <si>
    <t xml:space="preserve">						);</t>
  </si>
  <si>
    <t xml:space="preserve">				}</t>
  </si>
  <si>
    <t xml:space="preserve">			}</t>
  </si>
  <si>
    <t xml:space="preserve">		}</t>
  </si>
  <si>
    <t xml:space="preserve">	}	</t>
  </si>
  <si>
    <t xml:space="preserve">	module coiffe(diam, hauteur, resolution = 20.0){</t>
  </si>
  <si>
    <t xml:space="preserve">		pas = hauteur/resolution;</t>
  </si>
  <si>
    <t xml:space="preserve">		for (x = [0: pas : hauteur] ){</t>
  </si>
  <si>
    <t xml:space="preserve">			translate( [0, 0, x+pas] ){</t>
  </si>
  <si>
    <t xml:space="preserve">				cylinder(pas, pow(x, 1.0/2.0), pow(x+pas, 1.0/2.0), false);</t>
  </si>
  <si>
    <t xml:space="preserve">	}</t>
  </si>
  <si>
    <t xml:space="preserve">	cylinder(coiffe_hauteur, 0, coiffe_diametre, false);</t>
  </si>
  <si>
    <t xml:space="preserve">	translate ([0, 0, coiffe_hauteur]) {</t>
  </si>
  <si>
    <t xml:space="preserve">		cylinder(longeur_total-coiffe_hauteur, coiffe_diametre, coiffe_diametre, false);</t>
  </si>
  <si>
    <t xml:space="preserve">	//Premier cylindre</t>
  </si>
  <si>
    <t xml:space="preserve">		cylinder(diam_A_X_implantation-coiffe_hauteur, coiffe_diametre, coiffe_diametre, false);</t>
  </si>
  <si>
    <t xml:space="preserve">	//Premier chanvrin</t>
  </si>
  <si>
    <t xml:space="preserve">	translate ([0, 0, diam_A_X_implantation]) {</t>
  </si>
  <si>
    <t xml:space="preserve">		cylinder(diam_A_L_longeur, diam_A_D1_diametre, diam_A_D2_diametre, false);</t>
  </si>
  <si>
    <t xml:space="preserve">		</t>
  </si>
  <si>
    <t xml:space="preserve">	//Second cylindre</t>
  </si>
  <si>
    <t xml:space="preserve">	translate ([0, 0, diam_A_X_implantation+diam_A_L_longeur]) {</t>
  </si>
  <si>
    <t xml:space="preserve">		cylinder(diam_B_X_implantation-(diam_A_X_implantation+diam_A_L_longeur), diam_A_D2_diametre, diam_B_D1_diametre, false);</t>
  </si>
  <si>
    <t xml:space="preserve">	//Second chanvrin</t>
  </si>
  <si>
    <t xml:space="preserve">	translate ([0, 0, diam_B_X_implantation]) {</t>
  </si>
  <si>
    <t xml:space="preserve">		cylinder(diam_B_L_longeur, diam_B_D1_diametre, diam_B_D2_diametre, false);</t>
  </si>
  <si>
    <t xml:space="preserve">	//Troisieme cylindre</t>
  </si>
  <si>
    <t xml:space="preserve">	translate ([0, 0, diam_B_X_implantation + diam_B_L_longeur]) {</t>
  </si>
  <si>
    <t xml:space="preserve">		cylinder(longeur_total-(diam_B_X_implantation + diam_B_L_longeur), diam_B_D2_diametre, diam_B_D2_diametre, false);</t>
  </si>
  <si>
    <t xml:space="preserve">	 aileron_n_saumon, </t>
  </si>
  <si>
    <t xml:space="preserve">	 aileron_p_fleche,</t>
  </si>
  <si>
    <t xml:space="preserve">	 aileron_e_envergure,</t>
  </si>
  <si>
    <t xml:space="preserve">	 aileron_epaisseur,</t>
  </si>
  <si>
    <t xml:space="preserve">	 aileron_nombre,</t>
  </si>
  <si>
    <t xml:space="preserve">	aileron(coiffe_diametre, aileron_sup_m_emplature,</t>
  </si>
  <si>
    <t xml:space="preserve">	 aileron_sup_n_saumon,</t>
  </si>
  <si>
    <t xml:space="preserve">	 aileron_sup_p_fleche,</t>
  </si>
  <si>
    <t xml:space="preserve">	 aileron_sup_e_envergure,</t>
  </si>
  <si>
    <t xml:space="preserve">	 aileron_sup_epaisseur,</t>
  </si>
  <si>
    <t xml:space="preserve">	 aileron_sup_position_bas,</t>
  </si>
  <si>
    <t xml:space="preserve">	 aileron_sup_masque);</t>
  </si>
  <si>
    <t>p24-6G 140G145 PK</t>
  </si>
  <si>
    <t>p24-6G 139G107 DT</t>
  </si>
  <si>
    <t>p24-6G 142G117 WT</t>
  </si>
  <si>
    <t>Klima D9-7 x2</t>
  </si>
  <si>
    <t>Klima D9-7 x3</t>
  </si>
  <si>
    <t>Klima D9-7</t>
  </si>
  <si>
    <t>StabTraj V3.4.1</t>
  </si>
  <si>
    <t>Propu : +Klima D9</t>
  </si>
  <si>
    <t>v3.4.2</t>
  </si>
  <si>
    <t>p29-1G 56F31</t>
  </si>
  <si>
    <t xml:space="preserve"> 143G150 BS</t>
  </si>
  <si>
    <t>StabTraj V3.4.2</t>
  </si>
  <si>
    <t>Ajout propu</t>
  </si>
  <si>
    <t>Pandora (Pro24-6G BS)</t>
  </si>
  <si>
    <t>Barasinga (Pro54-5G C)</t>
  </si>
  <si>
    <t>Orignal (Pro75-3G C)</t>
  </si>
  <si>
    <t>Blastocerus (Pro98-6GXL RL)</t>
  </si>
  <si>
    <t>Aeroipsa</t>
  </si>
  <si>
    <t>rose</t>
  </si>
  <si>
    <t>gris/rouge</t>
  </si>
  <si>
    <t>Conique (droite)</t>
  </si>
  <si>
    <t>Plusieurs diamètres.</t>
  </si>
  <si>
    <t>Fusée expérimentale.</t>
  </si>
  <si>
    <t xml:space="preserve">SP-02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</si>
</sst>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3">
    <numFmt numFmtId="164" formatCode="General&quot; kg&quot;"/>
    <numFmt numFmtId="165" formatCode="0.0"/>
    <numFmt numFmtId="166" formatCode="0.000000&quot; m²&quot;"/>
    <numFmt numFmtId="167" formatCode="General&quot; m&quot;"/>
    <numFmt numFmtId="168" formatCode="General&quot; °&quot;"/>
    <numFmt numFmtId="169" formatCode="0.000"/>
    <numFmt numFmtId="170" formatCode="General&quot; s&quot;"/>
    <numFmt numFmtId="171" formatCode="General&quot; m²&quot;"/>
    <numFmt numFmtId="172" formatCode="0&quot; m/s&quot;"/>
    <numFmt numFmtId="173" formatCode="0&quot; s&quot;"/>
    <numFmt numFmtId="174" formatCode="General&quot; m/s&quot;"/>
    <numFmt numFmtId="175" formatCode="0&quot; m&quot;"/>
    <numFmt numFmtId="176" formatCode="General\ &quot;kg&quot;"/>
    <numFmt numFmtId="177" formatCode="General\ &quot;mm&quot;"/>
    <numFmt numFmtId="178" formatCode="0&quot; mm&quot;"/>
    <numFmt numFmtId="179" formatCode="General\ &quot;D&quot;"/>
    <numFmt numFmtId="180" formatCode="0.00&quot; D&quot;"/>
    <numFmt numFmtId="181" formatCode="0&quot;% L&quot;"/>
    <numFmt numFmtId="182" formatCode="General\°"/>
    <numFmt numFmtId="183" formatCode="0.#"/>
    <numFmt numFmtId="184" formatCode="0.0&quot; N.s&quot;"/>
    <numFmt numFmtId="185" formatCode="\±\ 0&quot; m&quot;"/>
    <numFmt numFmtId="186" formatCode="0.0&quot; s&quot;"/>
    <numFmt numFmtId="187" formatCode="0.0&quot; m/s&quot;"/>
    <numFmt numFmtId="188" formatCode="0&quot; m/s²&quot;"/>
    <numFmt numFmtId="189" formatCode="0.00&quot; m²&quot;"/>
    <numFmt numFmtId="190" formatCode="General\ &quot;g&quot;"/>
    <numFmt numFmtId="191" formatCode="#,##0.0\ [$ N]"/>
    <numFmt numFmtId="192" formatCode="#,##0.000\ [$KG]"/>
    <numFmt numFmtId="193" formatCode="0.0&quot; mm&quot;"/>
    <numFmt numFmtId="194" formatCode="General&quot; kg ±100%&quot;"/>
    <numFmt numFmtId="195" formatCode="0&quot; mm ±50%&quot;"/>
    <numFmt numFmtId="196" formatCode="General\ &quot;m/s²&quot;"/>
    <numFmt numFmtId="197" formatCode="&quot;Ø = &quot;0&quot; mm&quot;"/>
    <numFmt numFmtId="198" formatCode="#,##0\ [$ mm²]"/>
    <numFmt numFmtId="199" formatCode="#,#00\ [$ mm]"/>
    <numFmt numFmtId="200" formatCode="#,##0\ [$mm]"/>
    <numFmt numFmtId="201" formatCode="#,##0.00000\ [$ m²]"/>
    <numFmt numFmtId="202" formatCode="#,##0.0\ [$ kg]"/>
    <numFmt numFmtId="203" formatCode="0.00&quot; s&quot;"/>
    <numFmt numFmtId="204" formatCode="0.0&quot; N&quot;"/>
    <numFmt numFmtId="205" formatCode="0&quot; J&quot;"/>
    <numFmt numFmtId="206" formatCode="0&quot; G&quot;"/>
  </numFmts>
  <fonts count="5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b/>
      <sz val="12"/>
      <name val="Times New Roman"/>
      <family val="1"/>
    </font>
    <font>
      <b/>
      <sz val="9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8"/>
      <name val="Arial"/>
      <family val="2"/>
    </font>
    <font>
      <b/>
      <sz val="10"/>
      <color indexed="58"/>
      <name val="Arial"/>
      <family val="2"/>
    </font>
    <font>
      <b/>
      <sz val="10"/>
      <color indexed="17"/>
      <name val="Arial"/>
      <family val="2"/>
    </font>
    <font>
      <b/>
      <sz val="10"/>
      <color indexed="23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sz val="8"/>
      <color indexed="8"/>
      <name val="Tahoma"/>
      <family val="2"/>
    </font>
    <font>
      <i/>
      <sz val="8"/>
      <color indexed="8"/>
      <name val="Tahoma"/>
      <family val="2"/>
    </font>
    <font>
      <b/>
      <sz val="8"/>
      <color indexed="8"/>
      <name val="Tahoma"/>
      <family val="2"/>
    </font>
    <font>
      <b/>
      <u/>
      <sz val="8"/>
      <color indexed="8"/>
      <name val="Tahoma"/>
      <family val="2"/>
    </font>
    <font>
      <b/>
      <sz val="8"/>
      <color indexed="16"/>
      <name val="Tahoma"/>
      <family val="2"/>
    </font>
    <font>
      <i/>
      <sz val="8"/>
      <color indexed="16"/>
      <name val="Tahoma"/>
      <family val="2"/>
    </font>
    <font>
      <strike/>
      <sz val="10"/>
      <name val="Arial"/>
      <family val="2"/>
    </font>
    <font>
      <b/>
      <i/>
      <sz val="8"/>
      <color indexed="8"/>
      <name val="Tahoma"/>
      <family val="2"/>
    </font>
    <font>
      <b/>
      <sz val="10"/>
      <color indexed="23"/>
      <name val="Arial"/>
      <family val="2"/>
    </font>
    <font>
      <b/>
      <sz val="6"/>
      <name val="Arial"/>
      <family val="2"/>
    </font>
    <font>
      <sz val="8"/>
      <color indexed="23"/>
      <name val="Arial"/>
      <family val="2"/>
    </font>
    <font>
      <b/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Tahoma"/>
      <family val="2"/>
    </font>
    <font>
      <i/>
      <sz val="8"/>
      <color indexed="12"/>
      <name val="Tahoma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10"/>
      <color indexed="53"/>
      <name val="Arial"/>
      <family val="2"/>
    </font>
    <font>
      <b/>
      <u/>
      <sz val="12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rgb="FF808080"/>
      <name val="Arial"/>
      <family val="2"/>
    </font>
    <font>
      <sz val="10"/>
      <color rgb="FF808080"/>
      <name val="Arial"/>
      <family val="2"/>
    </font>
    <font>
      <sz val="8"/>
      <color rgb="FF808080"/>
      <name val="Arial"/>
      <family val="2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8"/>
      <color rgb="FF000000"/>
      <name val="Tahoma"/>
      <family val="2"/>
    </font>
    <font>
      <i/>
      <sz val="8"/>
      <color rgb="FF000000"/>
      <name val="Tahoma"/>
      <family val="2"/>
    </font>
    <font>
      <b/>
      <sz val="8"/>
      <color rgb="FF000000"/>
      <name val="Tahoma"/>
      <family val="2"/>
    </font>
    <font>
      <b/>
      <i/>
      <sz val="8"/>
      <color rgb="FF000000"/>
      <name val="Tahoma"/>
      <family val="2"/>
    </font>
    <font>
      <sz val="8"/>
      <color rgb="FFFF0000"/>
      <name val="Tahoma"/>
      <family val="2"/>
    </font>
    <font>
      <i/>
      <sz val="8"/>
      <color rgb="FFFF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27"/>
      </patternFill>
    </fill>
    <fill>
      <patternFill patternType="solid">
        <fgColor indexed="44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27"/>
      </patternFill>
    </fill>
    <fill>
      <patternFill patternType="solid">
        <fgColor indexed="47"/>
        <bgColor indexed="4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44"/>
      </patternFill>
    </fill>
    <fill>
      <patternFill patternType="solid">
        <fgColor indexed="26"/>
        <bgColor indexed="41"/>
      </patternFill>
    </fill>
    <fill>
      <patternFill patternType="solid">
        <fgColor indexed="42"/>
        <bgColor indexed="41"/>
      </patternFill>
    </fill>
    <fill>
      <patternFill patternType="solid">
        <fgColor indexed="43"/>
        <bgColor indexed="41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rgb="FFCCFFFF"/>
        <bgColor indexed="41"/>
      </patternFill>
    </fill>
    <fill>
      <patternFill patternType="solid">
        <fgColor rgb="FF99CCFF"/>
        <bgColor indexed="31"/>
      </patternFill>
    </fill>
    <fill>
      <patternFill patternType="solid">
        <fgColor rgb="FFCCFFFF"/>
        <bgColor indexed="42"/>
      </patternFill>
    </fill>
    <fill>
      <patternFill patternType="solid">
        <fgColor rgb="FFCCFFCC"/>
        <bgColor indexed="42"/>
      </patternFill>
    </fill>
    <fill>
      <patternFill patternType="solid">
        <fgColor rgb="FFCCFFCC"/>
        <bgColor indexed="41"/>
      </patternFill>
    </fill>
    <fill>
      <patternFill patternType="solid">
        <fgColor rgb="FFFFCC99"/>
        <bgColor indexed="31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42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42"/>
      </patternFill>
    </fill>
  </fills>
  <borders count="103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ck">
        <color indexed="11"/>
      </bottom>
      <diagonal/>
    </border>
    <border>
      <left style="thick">
        <color indexed="11"/>
      </left>
      <right style="thick">
        <color indexed="57"/>
      </right>
      <top style="thick">
        <color indexed="57"/>
      </top>
      <bottom style="thick">
        <color indexed="57"/>
      </bottom>
      <diagonal/>
    </border>
    <border>
      <left style="thick">
        <color indexed="57"/>
      </left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ck">
        <color indexed="14"/>
      </left>
      <right style="thin">
        <color indexed="64"/>
      </right>
      <top style="thick">
        <color indexed="14"/>
      </top>
      <bottom style="thick">
        <color indexed="14"/>
      </bottom>
      <diagonal/>
    </border>
    <border>
      <left style="thin">
        <color indexed="64"/>
      </left>
      <right style="thick">
        <color indexed="14"/>
      </right>
      <top style="thick">
        <color indexed="14"/>
      </top>
      <bottom style="thick">
        <color indexed="1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ck">
        <color indexed="18"/>
      </left>
      <right/>
      <top style="thick">
        <color indexed="18"/>
      </top>
      <bottom style="thick">
        <color indexed="18"/>
      </bottom>
      <diagonal/>
    </border>
    <border>
      <left/>
      <right style="thick">
        <color indexed="18"/>
      </right>
      <top style="thick">
        <color indexed="18"/>
      </top>
      <bottom style="thick">
        <color indexed="18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20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23"/>
      </top>
      <bottom style="thin">
        <color indexed="8"/>
      </bottom>
      <diagonal/>
    </border>
    <border>
      <left/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" fillId="0" borderId="0"/>
  </cellStyleXfs>
  <cellXfs count="67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9" fillId="0" borderId="0" xfId="0" applyFont="1"/>
    <xf numFmtId="0" fontId="10" fillId="0" borderId="0" xfId="1" applyNumberFormat="1" applyFill="1" applyBorder="1" applyAlignment="1" applyProtection="1"/>
    <xf numFmtId="14" fontId="0" fillId="0" borderId="0" xfId="0" applyNumberFormat="1" applyAlignment="1">
      <alignment horizontal="left"/>
    </xf>
    <xf numFmtId="171" fontId="2" fillId="3" borderId="2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>
      <alignment vertical="center"/>
    </xf>
    <xf numFmtId="0" fontId="2" fillId="0" borderId="3" xfId="2" applyFont="1" applyBorder="1"/>
    <xf numFmtId="0" fontId="2" fillId="0" borderId="4" xfId="2" applyFont="1" applyBorder="1"/>
    <xf numFmtId="0" fontId="2" fillId="0" borderId="4" xfId="2" applyFont="1" applyBorder="1" applyAlignment="1">
      <alignment horizontal="center"/>
    </xf>
    <xf numFmtId="0" fontId="15" fillId="0" borderId="4" xfId="2" applyFont="1" applyBorder="1" applyProtection="1">
      <protection hidden="1"/>
    </xf>
    <xf numFmtId="0" fontId="1" fillId="0" borderId="5" xfId="2" applyBorder="1"/>
    <xf numFmtId="0" fontId="2" fillId="0" borderId="0" xfId="2" applyFont="1"/>
    <xf numFmtId="0" fontId="2" fillId="0" borderId="6" xfId="2" applyFont="1" applyBorder="1"/>
    <xf numFmtId="0" fontId="15" fillId="0" borderId="0" xfId="2" applyFont="1" applyProtection="1">
      <protection hidden="1"/>
    </xf>
    <xf numFmtId="0" fontId="1" fillId="0" borderId="7" xfId="2" applyBorder="1"/>
    <xf numFmtId="0" fontId="4" fillId="0" borderId="0" xfId="2" applyFont="1"/>
    <xf numFmtId="0" fontId="2" fillId="0" borderId="7" xfId="2" applyFont="1" applyBorder="1"/>
    <xf numFmtId="0" fontId="2" fillId="0" borderId="0" xfId="2" applyFont="1" applyAlignment="1" applyProtection="1">
      <alignment horizontal="center"/>
      <protection hidden="1"/>
    </xf>
    <xf numFmtId="0" fontId="2" fillId="0" borderId="0" xfId="2" applyFont="1" applyAlignment="1">
      <alignment horizontal="center"/>
    </xf>
    <xf numFmtId="0" fontId="16" fillId="0" borderId="0" xfId="2" applyFont="1"/>
    <xf numFmtId="0" fontId="2" fillId="0" borderId="0" xfId="2" applyFont="1" applyProtection="1">
      <protection hidden="1"/>
    </xf>
    <xf numFmtId="0" fontId="15" fillId="4" borderId="8" xfId="2" applyFont="1" applyFill="1" applyBorder="1" applyAlignment="1" applyProtection="1">
      <alignment horizontal="center"/>
      <protection locked="0"/>
    </xf>
    <xf numFmtId="177" fontId="2" fillId="4" borderId="2" xfId="2" applyNumberFormat="1" applyFont="1" applyFill="1" applyBorder="1" applyAlignment="1" applyProtection="1">
      <alignment horizontal="center"/>
      <protection locked="0"/>
    </xf>
    <xf numFmtId="0" fontId="2" fillId="4" borderId="2" xfId="2" applyFont="1" applyFill="1" applyBorder="1" applyAlignment="1" applyProtection="1">
      <alignment horizontal="center"/>
      <protection locked="0"/>
    </xf>
    <xf numFmtId="0" fontId="16" fillId="0" borderId="0" xfId="2" applyFont="1" applyProtection="1">
      <protection hidden="1"/>
    </xf>
    <xf numFmtId="0" fontId="15" fillId="0" borderId="0" xfId="2" applyFont="1"/>
    <xf numFmtId="14" fontId="15" fillId="0" borderId="0" xfId="2" applyNumberFormat="1" applyFont="1" applyAlignment="1" applyProtection="1">
      <alignment horizontal="center"/>
      <protection hidden="1"/>
    </xf>
    <xf numFmtId="0" fontId="2" fillId="0" borderId="9" xfId="2" applyFont="1" applyBorder="1"/>
    <xf numFmtId="0" fontId="2" fillId="0" borderId="10" xfId="2" applyFont="1" applyBorder="1" applyAlignment="1" applyProtection="1">
      <alignment horizontal="center"/>
      <protection locked="0"/>
    </xf>
    <xf numFmtId="0" fontId="2" fillId="0" borderId="10" xfId="2" applyFont="1" applyBorder="1" applyProtection="1">
      <protection locked="0"/>
    </xf>
    <xf numFmtId="0" fontId="2" fillId="0" borderId="0" xfId="2" applyFont="1" applyProtection="1">
      <protection locked="0"/>
    </xf>
    <xf numFmtId="0" fontId="2" fillId="0" borderId="0" xfId="2" applyFont="1" applyAlignment="1" applyProtection="1">
      <alignment horizontal="center"/>
      <protection locked="0"/>
    </xf>
    <xf numFmtId="0" fontId="15" fillId="0" borderId="0" xfId="2" applyFont="1" applyAlignment="1" applyProtection="1">
      <alignment horizontal="center"/>
      <protection hidden="1"/>
    </xf>
    <xf numFmtId="1" fontId="15" fillId="0" borderId="0" xfId="2" applyNumberFormat="1" applyFont="1" applyAlignment="1" applyProtection="1">
      <alignment horizontal="center"/>
      <protection hidden="1"/>
    </xf>
    <xf numFmtId="0" fontId="0" fillId="0" borderId="0" xfId="0" applyAlignment="1">
      <alignment horizontal="left"/>
    </xf>
    <xf numFmtId="0" fontId="15" fillId="0" borderId="0" xfId="0" applyFont="1"/>
    <xf numFmtId="0" fontId="24" fillId="0" borderId="0" xfId="0" applyFont="1"/>
    <xf numFmtId="14" fontId="0" fillId="0" borderId="0" xfId="0" applyNumberFormat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6" xfId="0" applyFont="1" applyBorder="1"/>
    <xf numFmtId="0" fontId="2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hidden="1"/>
    </xf>
    <xf numFmtId="169" fontId="0" fillId="0" borderId="0" xfId="0" applyNumberFormat="1" applyAlignment="1" applyProtection="1">
      <alignment vertical="center"/>
      <protection hidden="1"/>
    </xf>
    <xf numFmtId="164" fontId="0" fillId="3" borderId="11" xfId="0" applyNumberFormat="1" applyFill="1" applyBorder="1" applyAlignment="1">
      <alignment horizontal="center"/>
    </xf>
    <xf numFmtId="178" fontId="0" fillId="3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5" fillId="0" borderId="10" xfId="2" applyFont="1" applyBorder="1" applyProtection="1">
      <protection locked="0"/>
    </xf>
    <xf numFmtId="0" fontId="10" fillId="0" borderId="0" xfId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3" xfId="0" applyBorder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82" fontId="2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/>
    </xf>
    <xf numFmtId="0" fontId="0" fillId="0" borderId="0" xfId="2" applyFont="1" applyAlignment="1" applyProtection="1">
      <alignment horizontal="center"/>
      <protection hidden="1"/>
    </xf>
    <xf numFmtId="0" fontId="8" fillId="0" borderId="4" xfId="2" applyFont="1" applyBorder="1"/>
    <xf numFmtId="0" fontId="8" fillId="0" borderId="0" xfId="2" applyFont="1"/>
    <xf numFmtId="0" fontId="8" fillId="0" borderId="0" xfId="2" applyFont="1" applyProtection="1">
      <protection hidden="1"/>
    </xf>
    <xf numFmtId="0" fontId="8" fillId="0" borderId="10" xfId="2" applyFont="1" applyBorder="1" applyProtection="1">
      <protection locked="0"/>
    </xf>
    <xf numFmtId="0" fontId="8" fillId="0" borderId="0" xfId="2" applyFont="1" applyAlignment="1" applyProtection="1">
      <alignment horizontal="center"/>
      <protection hidden="1"/>
    </xf>
    <xf numFmtId="1" fontId="8" fillId="0" borderId="0" xfId="2" applyNumberFormat="1" applyFont="1" applyAlignment="1" applyProtection="1">
      <alignment horizontal="center"/>
      <protection hidden="1"/>
    </xf>
    <xf numFmtId="0" fontId="29" fillId="0" borderId="0" xfId="2" applyFont="1"/>
    <xf numFmtId="0" fontId="0" fillId="0" borderId="0" xfId="0" applyProtection="1">
      <protection locked="0"/>
    </xf>
    <xf numFmtId="165" fontId="2" fillId="5" borderId="14" xfId="2" applyNumberFormat="1" applyFont="1" applyFill="1" applyBorder="1" applyAlignment="1">
      <alignment horizontal="center"/>
    </xf>
    <xf numFmtId="180" fontId="2" fillId="5" borderId="2" xfId="2" applyNumberFormat="1" applyFont="1" applyFill="1" applyBorder="1" applyAlignment="1">
      <alignment horizontal="center"/>
    </xf>
    <xf numFmtId="180" fontId="2" fillId="5" borderId="14" xfId="2" applyNumberFormat="1" applyFont="1" applyFill="1" applyBorder="1" applyAlignment="1">
      <alignment horizontal="center"/>
    </xf>
    <xf numFmtId="165" fontId="2" fillId="5" borderId="2" xfId="2" applyNumberFormat="1" applyFont="1" applyFill="1" applyBorder="1" applyAlignment="1">
      <alignment horizontal="center"/>
    </xf>
    <xf numFmtId="181" fontId="26" fillId="5" borderId="2" xfId="2" applyNumberFormat="1" applyFont="1" applyFill="1" applyBorder="1" applyAlignment="1">
      <alignment horizontal="center"/>
    </xf>
    <xf numFmtId="181" fontId="26" fillId="5" borderId="14" xfId="2" applyNumberFormat="1" applyFont="1" applyFill="1" applyBorder="1" applyAlignment="1">
      <alignment horizontal="center"/>
    </xf>
    <xf numFmtId="0" fontId="2" fillId="5" borderId="2" xfId="2" applyFont="1" applyFill="1" applyBorder="1" applyAlignment="1" applyProtection="1">
      <alignment horizontal="center"/>
      <protection hidden="1"/>
    </xf>
    <xf numFmtId="0" fontId="26" fillId="5" borderId="2" xfId="2" applyFont="1" applyFill="1" applyBorder="1" applyAlignment="1" applyProtection="1">
      <alignment horizontal="center"/>
      <protection hidden="1"/>
    </xf>
    <xf numFmtId="0" fontId="30" fillId="5" borderId="2" xfId="2" applyFont="1" applyFill="1" applyBorder="1" applyAlignment="1" applyProtection="1">
      <alignment horizontal="center"/>
      <protection hidden="1"/>
    </xf>
    <xf numFmtId="0" fontId="2" fillId="6" borderId="2" xfId="2" applyFont="1" applyFill="1" applyBorder="1" applyAlignment="1">
      <alignment horizontal="center"/>
    </xf>
    <xf numFmtId="0" fontId="26" fillId="6" borderId="2" xfId="2" applyFont="1" applyFill="1" applyBorder="1" applyAlignment="1">
      <alignment horizontal="center"/>
    </xf>
    <xf numFmtId="0" fontId="31" fillId="0" borderId="0" xfId="2" applyFont="1"/>
    <xf numFmtId="0" fontId="31" fillId="6" borderId="2" xfId="2" applyFont="1" applyFill="1" applyBorder="1" applyAlignment="1" applyProtection="1">
      <alignment horizontal="center"/>
      <protection hidden="1"/>
    </xf>
    <xf numFmtId="176" fontId="31" fillId="5" borderId="2" xfId="2" applyNumberFormat="1" applyFont="1" applyFill="1" applyBorder="1" applyAlignment="1" applyProtection="1">
      <alignment horizontal="center"/>
      <protection hidden="1"/>
    </xf>
    <xf numFmtId="0" fontId="31" fillId="5" borderId="2" xfId="2" applyFont="1" applyFill="1" applyBorder="1" applyAlignment="1">
      <alignment horizontal="center"/>
    </xf>
    <xf numFmtId="177" fontId="31" fillId="5" borderId="2" xfId="2" applyNumberFormat="1" applyFont="1" applyFill="1" applyBorder="1" applyAlignment="1" applyProtection="1">
      <alignment horizontal="center"/>
      <protection hidden="1"/>
    </xf>
    <xf numFmtId="176" fontId="31" fillId="5" borderId="2" xfId="2" applyNumberFormat="1" applyFont="1" applyFill="1" applyBorder="1" applyAlignment="1">
      <alignment horizontal="center"/>
    </xf>
    <xf numFmtId="178" fontId="31" fillId="5" borderId="2" xfId="2" applyNumberFormat="1" applyFont="1" applyFill="1" applyBorder="1" applyAlignment="1" applyProtection="1">
      <alignment horizontal="center"/>
      <protection hidden="1"/>
    </xf>
    <xf numFmtId="0" fontId="31" fillId="0" borderId="0" xfId="2" applyFont="1" applyProtection="1">
      <protection hidden="1"/>
    </xf>
    <xf numFmtId="2" fontId="0" fillId="7" borderId="15" xfId="0" applyNumberFormat="1" applyFill="1" applyBorder="1" applyAlignment="1">
      <alignment horizontal="center" vertical="center"/>
    </xf>
    <xf numFmtId="165" fontId="0" fillId="7" borderId="15" xfId="0" applyNumberFormat="1" applyFill="1" applyBorder="1" applyAlignment="1">
      <alignment horizontal="center" vertical="center"/>
    </xf>
    <xf numFmtId="1" fontId="2" fillId="7" borderId="15" xfId="0" applyNumberFormat="1" applyFont="1" applyFill="1" applyBorder="1" applyAlignment="1">
      <alignment horizontal="center" vertical="center"/>
    </xf>
    <xf numFmtId="165" fontId="2" fillId="7" borderId="15" xfId="0" applyNumberFormat="1" applyFont="1" applyFill="1" applyBorder="1" applyAlignment="1">
      <alignment horizontal="center" vertical="center"/>
    </xf>
    <xf numFmtId="1" fontId="0" fillId="7" borderId="15" xfId="0" applyNumberFormat="1" applyFill="1" applyBorder="1" applyAlignment="1">
      <alignment horizontal="center" vertical="center"/>
    </xf>
    <xf numFmtId="1" fontId="15" fillId="7" borderId="15" xfId="0" applyNumberFormat="1" applyFont="1" applyFill="1" applyBorder="1" applyAlignment="1">
      <alignment horizontal="center" vertical="center"/>
    </xf>
    <xf numFmtId="165" fontId="15" fillId="7" borderId="15" xfId="0" applyNumberFormat="1" applyFont="1" applyFill="1" applyBorder="1" applyAlignment="1">
      <alignment horizontal="center" vertical="center"/>
    </xf>
    <xf numFmtId="165" fontId="0" fillId="7" borderId="16" xfId="0" applyNumberFormat="1" applyFill="1" applyBorder="1" applyAlignment="1">
      <alignment horizontal="center" vertical="center"/>
    </xf>
    <xf numFmtId="1" fontId="2" fillId="7" borderId="16" xfId="0" applyNumberFormat="1" applyFont="1" applyFill="1" applyBorder="1" applyAlignment="1">
      <alignment horizontal="center" vertical="center"/>
    </xf>
    <xf numFmtId="165" fontId="15" fillId="7" borderId="16" xfId="0" applyNumberFormat="1" applyFont="1" applyFill="1" applyBorder="1" applyAlignment="1">
      <alignment horizontal="center" vertical="center"/>
    </xf>
    <xf numFmtId="1" fontId="2" fillId="7" borderId="17" xfId="0" applyNumberFormat="1" applyFont="1" applyFill="1" applyBorder="1" applyAlignment="1">
      <alignment horizontal="center" vertical="center"/>
    </xf>
    <xf numFmtId="1" fontId="0" fillId="7" borderId="17" xfId="0" applyNumberForma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165" fontId="0" fillId="7" borderId="17" xfId="0" applyNumberFormat="1" applyFill="1" applyBorder="1" applyAlignment="1">
      <alignment horizontal="center" vertical="center"/>
    </xf>
    <xf numFmtId="1" fontId="15" fillId="7" borderId="16" xfId="0" applyNumberFormat="1" applyFont="1" applyFill="1" applyBorder="1" applyAlignment="1">
      <alignment horizontal="center" vertical="center"/>
    </xf>
    <xf numFmtId="1" fontId="15" fillId="7" borderId="17" xfId="0" applyNumberFormat="1" applyFont="1" applyFill="1" applyBorder="1" applyAlignment="1">
      <alignment horizontal="center" vertical="center"/>
    </xf>
    <xf numFmtId="165" fontId="2" fillId="7" borderId="17" xfId="0" applyNumberFormat="1" applyFont="1" applyFill="1" applyBorder="1" applyAlignment="1">
      <alignment horizontal="center" vertical="center"/>
    </xf>
    <xf numFmtId="173" fontId="2" fillId="7" borderId="2" xfId="0" applyNumberFormat="1" applyFont="1" applyFill="1" applyBorder="1" applyAlignment="1">
      <alignment horizontal="center" vertical="center"/>
    </xf>
    <xf numFmtId="0" fontId="2" fillId="8" borderId="18" xfId="0" applyFont="1" applyFill="1" applyBorder="1" applyAlignment="1" applyProtection="1">
      <alignment horizontal="center" vertical="center"/>
      <protection hidden="1"/>
    </xf>
    <xf numFmtId="0" fontId="2" fillId="9" borderId="15" xfId="0" applyFont="1" applyFill="1" applyBorder="1" applyAlignment="1" applyProtection="1">
      <alignment horizontal="center" vertical="center"/>
      <protection hidden="1"/>
    </xf>
    <xf numFmtId="0" fontId="5" fillId="9" borderId="15" xfId="0" applyFont="1" applyFill="1" applyBorder="1" applyAlignment="1" applyProtection="1">
      <alignment horizontal="center" vertical="center"/>
      <protection hidden="1"/>
    </xf>
    <xf numFmtId="0" fontId="0" fillId="9" borderId="15" xfId="0" applyFill="1" applyBorder="1" applyAlignment="1" applyProtection="1">
      <alignment horizontal="center" vertical="center"/>
      <protection hidden="1"/>
    </xf>
    <xf numFmtId="0" fontId="2" fillId="6" borderId="2" xfId="2" applyFont="1" applyFill="1" applyBorder="1" applyAlignment="1" applyProtection="1">
      <alignment horizontal="center"/>
      <protection hidden="1"/>
    </xf>
    <xf numFmtId="0" fontId="2" fillId="10" borderId="2" xfId="2" applyFont="1" applyFill="1" applyBorder="1" applyAlignment="1" applyProtection="1">
      <alignment horizontal="center" vertical="center"/>
      <protection hidden="1"/>
    </xf>
    <xf numFmtId="0" fontId="2" fillId="10" borderId="2" xfId="2" applyFont="1" applyFill="1" applyBorder="1" applyAlignment="1" applyProtection="1">
      <alignment horizontal="center"/>
      <protection hidden="1"/>
    </xf>
    <xf numFmtId="0" fontId="2" fillId="11" borderId="15" xfId="0" applyFont="1" applyFill="1" applyBorder="1" applyAlignment="1" applyProtection="1">
      <alignment horizontal="center" vertical="center"/>
      <protection hidden="1"/>
    </xf>
    <xf numFmtId="0" fontId="2" fillId="11" borderId="18" xfId="0" applyFont="1" applyFill="1" applyBorder="1" applyAlignment="1" applyProtection="1">
      <alignment horizontal="center" vertical="center"/>
      <protection hidden="1"/>
    </xf>
    <xf numFmtId="0" fontId="13" fillId="12" borderId="2" xfId="0" applyFont="1" applyFill="1" applyBorder="1" applyAlignment="1" applyProtection="1">
      <alignment horizontal="center"/>
      <protection hidden="1"/>
    </xf>
    <xf numFmtId="0" fontId="2" fillId="13" borderId="2" xfId="0" applyFont="1" applyFill="1" applyBorder="1" applyAlignment="1" applyProtection="1">
      <alignment horizontal="center" vertical="center"/>
      <protection locked="0"/>
    </xf>
    <xf numFmtId="174" fontId="2" fillId="13" borderId="2" xfId="0" applyNumberFormat="1" applyFont="1" applyFill="1" applyBorder="1" applyAlignment="1" applyProtection="1">
      <alignment horizontal="center" vertical="center"/>
      <protection locked="0"/>
    </xf>
    <xf numFmtId="178" fontId="14" fillId="14" borderId="2" xfId="2" applyNumberFormat="1" applyFont="1" applyFill="1" applyBorder="1" applyAlignment="1">
      <alignment horizontal="center"/>
    </xf>
    <xf numFmtId="1" fontId="28" fillId="14" borderId="2" xfId="2" applyNumberFormat="1" applyFont="1" applyFill="1" applyBorder="1" applyAlignment="1">
      <alignment horizontal="center"/>
    </xf>
    <xf numFmtId="0" fontId="2" fillId="10" borderId="2" xfId="2" applyFont="1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0" fillId="13" borderId="15" xfId="0" applyFill="1" applyBorder="1" applyAlignment="1" applyProtection="1">
      <alignment horizontal="center" vertical="center"/>
      <protection locked="0"/>
    </xf>
    <xf numFmtId="185" fontId="2" fillId="7" borderId="2" xfId="0" applyNumberFormat="1" applyFont="1" applyFill="1" applyBorder="1" applyAlignment="1">
      <alignment horizontal="center" vertical="center"/>
    </xf>
    <xf numFmtId="186" fontId="0" fillId="7" borderId="16" xfId="0" applyNumberFormat="1" applyFill="1" applyBorder="1" applyAlignment="1">
      <alignment horizontal="center" vertical="center"/>
    </xf>
    <xf numFmtId="186" fontId="2" fillId="7" borderId="15" xfId="0" applyNumberFormat="1" applyFont="1" applyFill="1" applyBorder="1" applyAlignment="1">
      <alignment horizontal="center" vertical="center"/>
    </xf>
    <xf numFmtId="175" fontId="15" fillId="7" borderId="16" xfId="0" applyNumberFormat="1" applyFont="1" applyFill="1" applyBorder="1" applyAlignment="1">
      <alignment horizontal="center" vertical="center"/>
    </xf>
    <xf numFmtId="175" fontId="15" fillId="7" borderId="15" xfId="0" applyNumberFormat="1" applyFont="1" applyFill="1" applyBorder="1" applyAlignment="1">
      <alignment horizontal="center" vertical="center"/>
    </xf>
    <xf numFmtId="175" fontId="2" fillId="7" borderId="16" xfId="0" applyNumberFormat="1" applyFont="1" applyFill="1" applyBorder="1" applyAlignment="1">
      <alignment horizontal="center" vertical="center"/>
    </xf>
    <xf numFmtId="175" fontId="2" fillId="7" borderId="15" xfId="0" applyNumberFormat="1" applyFont="1" applyFill="1" applyBorder="1" applyAlignment="1">
      <alignment horizontal="center" vertical="center"/>
    </xf>
    <xf numFmtId="172" fontId="2" fillId="7" borderId="15" xfId="0" applyNumberFormat="1" applyFont="1" applyFill="1" applyBorder="1" applyAlignment="1">
      <alignment horizontal="center" vertical="center"/>
    </xf>
    <xf numFmtId="172" fontId="2" fillId="7" borderId="16" xfId="0" applyNumberFormat="1" applyFont="1" applyFill="1" applyBorder="1" applyAlignment="1">
      <alignment horizontal="center" vertical="center"/>
    </xf>
    <xf numFmtId="172" fontId="15" fillId="7" borderId="15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2" fillId="11" borderId="24" xfId="0" applyFont="1" applyFill="1" applyBorder="1" applyAlignment="1" applyProtection="1">
      <alignment horizontal="center" vertical="center"/>
      <protection hidden="1"/>
    </xf>
    <xf numFmtId="178" fontId="2" fillId="3" borderId="25" xfId="0" applyNumberFormat="1" applyFont="1" applyFill="1" applyBorder="1" applyAlignment="1" applyProtection="1">
      <alignment horizontal="center" vertical="center"/>
      <protection locked="0"/>
    </xf>
    <xf numFmtId="178" fontId="2" fillId="3" borderId="26" xfId="0" applyNumberFormat="1" applyFont="1" applyFill="1" applyBorder="1" applyAlignment="1" applyProtection="1">
      <alignment horizontal="center" vertical="center"/>
      <protection locked="0"/>
    </xf>
    <xf numFmtId="0" fontId="2" fillId="8" borderId="24" xfId="0" applyFont="1" applyFill="1" applyBorder="1" applyAlignment="1" applyProtection="1">
      <alignment horizontal="center" vertical="center"/>
      <protection hidden="1"/>
    </xf>
    <xf numFmtId="0" fontId="2" fillId="9" borderId="27" xfId="0" applyFont="1" applyFill="1" applyBorder="1" applyAlignment="1" applyProtection="1">
      <alignment horizontal="center" vertical="center"/>
      <protection hidden="1"/>
    </xf>
    <xf numFmtId="0" fontId="0" fillId="9" borderId="27" xfId="0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>
      <alignment vertical="center"/>
    </xf>
    <xf numFmtId="14" fontId="0" fillId="0" borderId="23" xfId="0" applyNumberFormat="1" applyBorder="1" applyAlignment="1">
      <alignment horizontal="center" vertical="center"/>
    </xf>
    <xf numFmtId="189" fontId="2" fillId="7" borderId="25" xfId="0" applyNumberFormat="1" applyFont="1" applyFill="1" applyBorder="1" applyAlignment="1">
      <alignment horizontal="center" vertical="center"/>
    </xf>
    <xf numFmtId="0" fontId="32" fillId="6" borderId="2" xfId="2" applyFont="1" applyFill="1" applyBorder="1" applyAlignment="1" applyProtection="1">
      <alignment horizontal="center"/>
      <protection hidden="1"/>
    </xf>
    <xf numFmtId="178" fontId="32" fillId="5" borderId="2" xfId="2" applyNumberFormat="1" applyFont="1" applyFill="1" applyBorder="1" applyAlignment="1">
      <alignment horizontal="center"/>
    </xf>
    <xf numFmtId="177" fontId="2" fillId="4" borderId="25" xfId="2" applyNumberFormat="1" applyFont="1" applyFill="1" applyBorder="1" applyAlignment="1" applyProtection="1">
      <alignment horizontal="center"/>
      <protection locked="0"/>
    </xf>
    <xf numFmtId="0" fontId="2" fillId="10" borderId="28" xfId="2" applyFont="1" applyFill="1" applyBorder="1" applyAlignment="1" applyProtection="1">
      <alignment horizontal="center"/>
      <protection hidden="1"/>
    </xf>
    <xf numFmtId="0" fontId="2" fillId="10" borderId="29" xfId="2" applyFont="1" applyFill="1" applyBorder="1" applyAlignment="1" applyProtection="1">
      <alignment horizontal="center"/>
      <protection hidden="1"/>
    </xf>
    <xf numFmtId="0" fontId="34" fillId="10" borderId="30" xfId="2" applyFont="1" applyFill="1" applyBorder="1" applyAlignment="1" applyProtection="1">
      <alignment horizontal="center"/>
      <protection hidden="1"/>
    </xf>
    <xf numFmtId="0" fontId="0" fillId="0" borderId="10" xfId="0" applyBorder="1" applyAlignment="1">
      <alignment vertical="center"/>
    </xf>
    <xf numFmtId="0" fontId="15" fillId="0" borderId="10" xfId="2" applyFont="1" applyBorder="1"/>
    <xf numFmtId="0" fontId="15" fillId="0" borderId="31" xfId="2" applyFont="1" applyBorder="1" applyAlignment="1" applyProtection="1">
      <alignment horizontal="center"/>
      <protection hidden="1"/>
    </xf>
    <xf numFmtId="0" fontId="15" fillId="0" borderId="32" xfId="2" applyFont="1" applyBorder="1" applyAlignment="1">
      <alignment horizontal="center"/>
    </xf>
    <xf numFmtId="0" fontId="15" fillId="0" borderId="19" xfId="2" applyFont="1" applyBorder="1" applyAlignment="1" applyProtection="1">
      <alignment horizontal="center"/>
      <protection hidden="1"/>
    </xf>
    <xf numFmtId="0" fontId="15" fillId="0" borderId="20" xfId="2" applyFont="1" applyBorder="1" applyAlignment="1">
      <alignment horizontal="center"/>
    </xf>
    <xf numFmtId="0" fontId="15" fillId="0" borderId="21" xfId="2" applyFont="1" applyBorder="1" applyAlignment="1" applyProtection="1">
      <alignment horizontal="center"/>
      <protection hidden="1"/>
    </xf>
    <xf numFmtId="0" fontId="15" fillId="0" borderId="23" xfId="2" applyFont="1" applyBorder="1" applyAlignment="1">
      <alignment horizontal="center"/>
    </xf>
    <xf numFmtId="0" fontId="15" fillId="0" borderId="20" xfId="2" applyFont="1" applyBorder="1" applyAlignment="1" applyProtection="1">
      <alignment horizontal="center"/>
      <protection hidden="1"/>
    </xf>
    <xf numFmtId="0" fontId="15" fillId="0" borderId="23" xfId="2" applyFont="1" applyBorder="1" applyAlignment="1" applyProtection="1">
      <alignment horizontal="center"/>
      <protection hidden="1"/>
    </xf>
    <xf numFmtId="2" fontId="15" fillId="0" borderId="31" xfId="2" applyNumberFormat="1" applyFont="1" applyBorder="1" applyAlignment="1" applyProtection="1">
      <alignment horizontal="center"/>
      <protection hidden="1"/>
    </xf>
    <xf numFmtId="0" fontId="0" fillId="0" borderId="31" xfId="2" applyFont="1" applyBorder="1" applyAlignment="1" applyProtection="1">
      <alignment horizontal="center"/>
      <protection hidden="1"/>
    </xf>
    <xf numFmtId="0" fontId="0" fillId="0" borderId="33" xfId="2" applyFont="1" applyBorder="1" applyAlignment="1" applyProtection="1">
      <alignment horizontal="center"/>
      <protection hidden="1"/>
    </xf>
    <xf numFmtId="0" fontId="0" fillId="0" borderId="32" xfId="2" applyFont="1" applyBorder="1" applyAlignment="1" applyProtection="1">
      <alignment horizontal="center"/>
      <protection hidden="1"/>
    </xf>
    <xf numFmtId="0" fontId="0" fillId="0" borderId="19" xfId="2" applyFont="1" applyBorder="1" applyAlignment="1" applyProtection="1">
      <alignment horizontal="center"/>
      <protection hidden="1"/>
    </xf>
    <xf numFmtId="0" fontId="15" fillId="0" borderId="22" xfId="2" applyFont="1" applyBorder="1" applyAlignment="1" applyProtection="1">
      <alignment horizontal="center"/>
      <protection hidden="1"/>
    </xf>
    <xf numFmtId="1" fontId="15" fillId="0" borderId="33" xfId="2" applyNumberFormat="1" applyFont="1" applyBorder="1" applyAlignment="1" applyProtection="1">
      <alignment horizontal="center"/>
      <protection hidden="1"/>
    </xf>
    <xf numFmtId="1" fontId="8" fillId="0" borderId="32" xfId="2" applyNumberFormat="1" applyFont="1" applyBorder="1" applyAlignment="1" applyProtection="1">
      <alignment horizontal="center"/>
      <protection hidden="1"/>
    </xf>
    <xf numFmtId="1" fontId="8" fillId="0" borderId="20" xfId="2" applyNumberFormat="1" applyFont="1" applyBorder="1" applyAlignment="1" applyProtection="1">
      <alignment horizontal="center"/>
      <protection hidden="1"/>
    </xf>
    <xf numFmtId="1" fontId="15" fillId="0" borderId="22" xfId="2" applyNumberFormat="1" applyFont="1" applyBorder="1" applyAlignment="1" applyProtection="1">
      <alignment horizontal="center"/>
      <protection hidden="1"/>
    </xf>
    <xf numFmtId="1" fontId="8" fillId="0" borderId="23" xfId="2" applyNumberFormat="1" applyFont="1" applyBorder="1" applyAlignment="1" applyProtection="1">
      <alignment horizontal="center"/>
      <protection hidden="1"/>
    </xf>
    <xf numFmtId="0" fontId="15" fillId="0" borderId="33" xfId="2" applyFont="1" applyBorder="1" applyAlignment="1" applyProtection="1">
      <alignment horizontal="center"/>
      <protection hidden="1"/>
    </xf>
    <xf numFmtId="2" fontId="15" fillId="0" borderId="33" xfId="2" applyNumberFormat="1" applyFont="1" applyBorder="1" applyAlignment="1" applyProtection="1">
      <alignment horizontal="center"/>
      <protection hidden="1"/>
    </xf>
    <xf numFmtId="0" fontId="8" fillId="0" borderId="32" xfId="2" applyFont="1" applyBorder="1" applyAlignment="1" applyProtection="1">
      <alignment horizontal="center"/>
      <protection hidden="1"/>
    </xf>
    <xf numFmtId="0" fontId="8" fillId="0" borderId="20" xfId="2" applyFont="1" applyBorder="1" applyAlignment="1" applyProtection="1">
      <alignment horizontal="center"/>
      <protection hidden="1"/>
    </xf>
    <xf numFmtId="0" fontId="8" fillId="0" borderId="23" xfId="2" applyFont="1" applyBorder="1" applyAlignment="1" applyProtection="1">
      <alignment horizontal="center"/>
      <protection hidden="1"/>
    </xf>
    <xf numFmtId="1" fontId="15" fillId="0" borderId="32" xfId="2" applyNumberFormat="1" applyFont="1" applyBorder="1" applyAlignment="1" applyProtection="1">
      <alignment horizontal="center"/>
      <protection hidden="1"/>
    </xf>
    <xf numFmtId="1" fontId="15" fillId="0" borderId="20" xfId="2" applyNumberFormat="1" applyFont="1" applyBorder="1" applyAlignment="1" applyProtection="1">
      <alignment horizontal="center"/>
      <protection hidden="1"/>
    </xf>
    <xf numFmtId="1" fontId="15" fillId="0" borderId="23" xfId="2" applyNumberFormat="1" applyFont="1" applyBorder="1" applyAlignment="1" applyProtection="1">
      <alignment horizontal="center"/>
      <protection hidden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2" applyFont="1" applyBorder="1" applyAlignment="1" applyProtection="1">
      <alignment horizontal="center"/>
      <protection hidden="1"/>
    </xf>
    <xf numFmtId="165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4" fillId="15" borderId="8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right" vertical="center"/>
    </xf>
    <xf numFmtId="190" fontId="2" fillId="4" borderId="2" xfId="2" applyNumberFormat="1" applyFont="1" applyFill="1" applyBorder="1" applyAlignment="1" applyProtection="1">
      <alignment horizontal="center"/>
      <protection locked="0"/>
    </xf>
    <xf numFmtId="0" fontId="0" fillId="0" borderId="0" xfId="2" applyFont="1"/>
    <xf numFmtId="0" fontId="28" fillId="6" borderId="2" xfId="2" applyFont="1" applyFill="1" applyBorder="1" applyAlignment="1" applyProtection="1">
      <alignment horizontal="center"/>
      <protection hidden="1"/>
    </xf>
    <xf numFmtId="189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/>
    </xf>
    <xf numFmtId="0" fontId="2" fillId="11" borderId="18" xfId="1" applyFont="1" applyFill="1" applyBorder="1" applyAlignment="1" applyProtection="1">
      <alignment horizontal="center" vertical="center"/>
      <protection hidden="1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9" xfId="0" applyBorder="1" applyAlignment="1">
      <alignment horizontal="right" vertical="center"/>
    </xf>
    <xf numFmtId="2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right" vertical="center"/>
    </xf>
    <xf numFmtId="2" fontId="0" fillId="0" borderId="23" xfId="0" applyNumberFormat="1" applyBorder="1" applyAlignment="1">
      <alignment horizontal="center" vertical="center"/>
    </xf>
    <xf numFmtId="0" fontId="0" fillId="0" borderId="31" xfId="0" applyBorder="1" applyAlignment="1">
      <alignment horizontal="right" vertical="center"/>
    </xf>
    <xf numFmtId="2" fontId="0" fillId="0" borderId="3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2" fillId="0" borderId="33" xfId="0" applyFont="1" applyBorder="1"/>
    <xf numFmtId="165" fontId="2" fillId="0" borderId="33" xfId="0" applyNumberFormat="1" applyFont="1" applyBorder="1" applyAlignment="1">
      <alignment horizontal="center" vertical="center"/>
    </xf>
    <xf numFmtId="165" fontId="2" fillId="0" borderId="32" xfId="0" applyNumberFormat="1" applyFont="1" applyBorder="1" applyAlignment="1">
      <alignment horizontal="center" vertical="center"/>
    </xf>
    <xf numFmtId="0" fontId="2" fillId="0" borderId="20" xfId="0" applyFont="1" applyBorder="1"/>
    <xf numFmtId="165" fontId="2" fillId="0" borderId="20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/>
    </xf>
    <xf numFmtId="0" fontId="2" fillId="0" borderId="22" xfId="0" applyFont="1" applyBorder="1"/>
    <xf numFmtId="165" fontId="2" fillId="0" borderId="22" xfId="0" applyNumberFormat="1" applyFont="1" applyBorder="1" applyAlignment="1">
      <alignment horizontal="center" vertical="center"/>
    </xf>
    <xf numFmtId="165" fontId="2" fillId="0" borderId="2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left"/>
    </xf>
    <xf numFmtId="0" fontId="2" fillId="4" borderId="0" xfId="0" applyFont="1" applyFill="1" applyAlignment="1" applyProtection="1">
      <alignment horizontal="center" vertical="center"/>
      <protection locked="0"/>
    </xf>
    <xf numFmtId="0" fontId="2" fillId="0" borderId="2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0" fontId="0" fillId="0" borderId="33" xfId="0" applyBorder="1"/>
    <xf numFmtId="0" fontId="0" fillId="0" borderId="32" xfId="0" applyBorder="1"/>
    <xf numFmtId="0" fontId="0" fillId="0" borderId="20" xfId="0" applyBorder="1"/>
    <xf numFmtId="0" fontId="2" fillId="4" borderId="20" xfId="0" applyFont="1" applyFill="1" applyBorder="1" applyAlignment="1" applyProtection="1">
      <alignment horizontal="center" vertical="center"/>
      <protection locked="0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7" fillId="0" borderId="20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2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4" borderId="23" xfId="0" applyFont="1" applyFill="1" applyBorder="1" applyAlignment="1" applyProtection="1">
      <alignment horizontal="center" vertical="center"/>
      <protection locked="0"/>
    </xf>
    <xf numFmtId="1" fontId="2" fillId="0" borderId="20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0" fontId="2" fillId="0" borderId="35" xfId="0" applyFont="1" applyBorder="1"/>
    <xf numFmtId="1" fontId="2" fillId="0" borderId="35" xfId="0" applyNumberFormat="1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2" fillId="0" borderId="23" xfId="0" applyFont="1" applyBorder="1"/>
    <xf numFmtId="0" fontId="28" fillId="0" borderId="13" xfId="0" applyFont="1" applyBorder="1" applyAlignment="1">
      <alignment horizontal="right" vertical="center"/>
    </xf>
    <xf numFmtId="0" fontId="28" fillId="0" borderId="13" xfId="2" applyFont="1" applyBorder="1" applyAlignment="1">
      <alignment horizontal="right"/>
    </xf>
    <xf numFmtId="2" fontId="0" fillId="16" borderId="31" xfId="0" applyNumberFormat="1" applyFill="1" applyBorder="1" applyAlignment="1">
      <alignment horizontal="center"/>
    </xf>
    <xf numFmtId="2" fontId="0" fillId="16" borderId="33" xfId="0" applyNumberFormat="1" applyFill="1" applyBorder="1" applyAlignment="1">
      <alignment horizontal="center"/>
    </xf>
    <xf numFmtId="2" fontId="0" fillId="16" borderId="32" xfId="0" applyNumberFormat="1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2" fontId="9" fillId="0" borderId="0" xfId="0" applyNumberFormat="1" applyFont="1" applyAlignment="1">
      <alignment horizontal="left"/>
    </xf>
    <xf numFmtId="2" fontId="10" fillId="0" borderId="0" xfId="1" applyNumberFormat="1" applyAlignment="1">
      <alignment horizontal="left"/>
    </xf>
    <xf numFmtId="2" fontId="10" fillId="0" borderId="0" xfId="1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21" borderId="20" xfId="0" applyNumberFormat="1" applyFill="1" applyBorder="1" applyAlignment="1">
      <alignment horizontal="center"/>
    </xf>
    <xf numFmtId="2" fontId="0" fillId="21" borderId="23" xfId="0" applyNumberFormat="1" applyFill="1" applyBorder="1" applyAlignment="1">
      <alignment horizontal="center"/>
    </xf>
    <xf numFmtId="2" fontId="0" fillId="21" borderId="19" xfId="0" applyNumberFormat="1" applyFill="1" applyBorder="1" applyAlignment="1">
      <alignment horizontal="center"/>
    </xf>
    <xf numFmtId="2" fontId="0" fillId="21" borderId="0" xfId="0" applyNumberFormat="1" applyFill="1" applyAlignment="1">
      <alignment horizontal="center"/>
    </xf>
    <xf numFmtId="2" fontId="0" fillId="21" borderId="21" xfId="0" applyNumberFormat="1" applyFill="1" applyBorder="1" applyAlignment="1">
      <alignment horizontal="center"/>
    </xf>
    <xf numFmtId="2" fontId="0" fillId="21" borderId="22" xfId="0" applyNumberFormat="1" applyFill="1" applyBorder="1" applyAlignment="1">
      <alignment horizontal="center"/>
    </xf>
    <xf numFmtId="1" fontId="0" fillId="21" borderId="19" xfId="0" applyNumberFormat="1" applyFill="1" applyBorder="1" applyAlignment="1">
      <alignment horizontal="center"/>
    </xf>
    <xf numFmtId="2" fontId="0" fillId="21" borderId="26" xfId="0" applyNumberFormat="1" applyFill="1" applyBorder="1" applyAlignment="1">
      <alignment horizontal="center"/>
    </xf>
    <xf numFmtId="1" fontId="0" fillId="21" borderId="21" xfId="0" applyNumberFormat="1" applyFill="1" applyBorder="1" applyAlignment="1">
      <alignment horizontal="center"/>
    </xf>
    <xf numFmtId="2" fontId="0" fillId="21" borderId="25" xfId="0" applyNumberFormat="1" applyFill="1" applyBorder="1" applyAlignment="1">
      <alignment horizontal="center"/>
    </xf>
    <xf numFmtId="0" fontId="0" fillId="21" borderId="19" xfId="0" applyFill="1" applyBorder="1"/>
    <xf numFmtId="0" fontId="0" fillId="21" borderId="0" xfId="0" applyFill="1"/>
    <xf numFmtId="0" fontId="0" fillId="21" borderId="20" xfId="0" applyFill="1" applyBorder="1" applyAlignment="1">
      <alignment horizontal="center"/>
    </xf>
    <xf numFmtId="0" fontId="0" fillId="21" borderId="21" xfId="0" applyFill="1" applyBorder="1"/>
    <xf numFmtId="0" fontId="0" fillId="21" borderId="22" xfId="0" applyFill="1" applyBorder="1"/>
    <xf numFmtId="0" fontId="0" fillId="21" borderId="23" xfId="0" applyFill="1" applyBorder="1" applyAlignment="1">
      <alignment horizontal="center"/>
    </xf>
    <xf numFmtId="1" fontId="0" fillId="21" borderId="31" xfId="0" applyNumberFormat="1" applyFill="1" applyBorder="1" applyAlignment="1">
      <alignment horizontal="center"/>
    </xf>
    <xf numFmtId="1" fontId="0" fillId="21" borderId="33" xfId="0" applyNumberFormat="1" applyFill="1" applyBorder="1" applyAlignment="1">
      <alignment horizontal="center"/>
    </xf>
    <xf numFmtId="1" fontId="0" fillId="21" borderId="32" xfId="0" applyNumberFormat="1" applyFill="1" applyBorder="1" applyAlignment="1">
      <alignment horizontal="center"/>
    </xf>
    <xf numFmtId="1" fontId="0" fillId="21" borderId="0" xfId="0" applyNumberFormat="1" applyFill="1" applyAlignment="1">
      <alignment horizontal="center"/>
    </xf>
    <xf numFmtId="1" fontId="0" fillId="21" borderId="20" xfId="0" applyNumberFormat="1" applyFill="1" applyBorder="1" applyAlignment="1">
      <alignment horizontal="center"/>
    </xf>
    <xf numFmtId="1" fontId="0" fillId="21" borderId="22" xfId="0" applyNumberFormat="1" applyFill="1" applyBorder="1" applyAlignment="1">
      <alignment horizontal="center"/>
    </xf>
    <xf numFmtId="1" fontId="0" fillId="21" borderId="23" xfId="0" applyNumberFormat="1" applyFill="1" applyBorder="1" applyAlignment="1">
      <alignment horizontal="center"/>
    </xf>
    <xf numFmtId="2" fontId="0" fillId="21" borderId="32" xfId="0" applyNumberFormat="1" applyFill="1" applyBorder="1" applyAlignment="1">
      <alignment horizontal="center"/>
    </xf>
    <xf numFmtId="2" fontId="0" fillId="21" borderId="24" xfId="0" applyNumberFormat="1" applyFill="1" applyBorder="1" applyAlignment="1">
      <alignment horizontal="center"/>
    </xf>
    <xf numFmtId="2" fontId="0" fillId="21" borderId="31" xfId="0" applyNumberFormat="1" applyFill="1" applyBorder="1" applyAlignment="1">
      <alignment horizontal="center"/>
    </xf>
    <xf numFmtId="0" fontId="0" fillId="22" borderId="36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22" borderId="38" xfId="0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0" fillId="22" borderId="42" xfId="0" applyFill="1" applyBorder="1" applyAlignment="1">
      <alignment horizontal="center"/>
    </xf>
    <xf numFmtId="0" fontId="0" fillId="22" borderId="43" xfId="0" applyFill="1" applyBorder="1" applyAlignment="1">
      <alignment horizontal="center"/>
    </xf>
    <xf numFmtId="0" fontId="0" fillId="22" borderId="44" xfId="0" applyFill="1" applyBorder="1" applyAlignment="1">
      <alignment horizontal="center"/>
    </xf>
    <xf numFmtId="0" fontId="0" fillId="22" borderId="45" xfId="0" applyFill="1" applyBorder="1" applyAlignment="1">
      <alignment horizontal="center"/>
    </xf>
    <xf numFmtId="0" fontId="0" fillId="22" borderId="46" xfId="0" applyFill="1" applyBorder="1" applyAlignment="1">
      <alignment horizontal="center"/>
    </xf>
    <xf numFmtId="0" fontId="0" fillId="22" borderId="47" xfId="0" applyFill="1" applyBorder="1" applyAlignment="1">
      <alignment horizontal="center"/>
    </xf>
    <xf numFmtId="0" fontId="0" fillId="22" borderId="48" xfId="0" applyFill="1" applyBorder="1" applyAlignment="1">
      <alignment horizontal="center"/>
    </xf>
    <xf numFmtId="0" fontId="0" fillId="22" borderId="49" xfId="0" applyFill="1" applyBorder="1" applyAlignment="1">
      <alignment horizontal="center"/>
    </xf>
    <xf numFmtId="0" fontId="0" fillId="22" borderId="50" xfId="0" applyFill="1" applyBorder="1" applyAlignment="1">
      <alignment horizontal="center"/>
    </xf>
    <xf numFmtId="0" fontId="8" fillId="22" borderId="36" xfId="0" applyFont="1" applyFill="1" applyBorder="1" applyAlignment="1">
      <alignment horizontal="center"/>
    </xf>
    <xf numFmtId="0" fontId="15" fillId="22" borderId="37" xfId="0" applyFont="1" applyFill="1" applyBorder="1" applyAlignment="1">
      <alignment horizontal="center"/>
    </xf>
    <xf numFmtId="2" fontId="0" fillId="23" borderId="19" xfId="0" applyNumberFormat="1" applyFill="1" applyBorder="1" applyAlignment="1">
      <alignment horizontal="center"/>
    </xf>
    <xf numFmtId="2" fontId="0" fillId="23" borderId="21" xfId="0" applyNumberFormat="1" applyFill="1" applyBorder="1" applyAlignment="1">
      <alignment horizontal="center"/>
    </xf>
    <xf numFmtId="2" fontId="0" fillId="24" borderId="32" xfId="0" applyNumberFormat="1" applyFill="1" applyBorder="1" applyAlignment="1">
      <alignment horizontal="center"/>
    </xf>
    <xf numFmtId="2" fontId="0" fillId="24" borderId="31" xfId="0" applyNumberFormat="1" applyFill="1" applyBorder="1" applyAlignment="1">
      <alignment horizontal="center"/>
    </xf>
    <xf numFmtId="2" fontId="0" fillId="24" borderId="33" xfId="0" applyNumberFormat="1" applyFill="1" applyBorder="1" applyAlignment="1">
      <alignment horizontal="center"/>
    </xf>
    <xf numFmtId="0" fontId="0" fillId="25" borderId="51" xfId="0" applyFill="1" applyBorder="1" applyAlignment="1">
      <alignment horizontal="center"/>
    </xf>
    <xf numFmtId="184" fontId="0" fillId="25" borderId="11" xfId="0" applyNumberFormat="1" applyFill="1" applyBorder="1" applyAlignment="1">
      <alignment horizontal="center"/>
    </xf>
    <xf numFmtId="173" fontId="0" fillId="25" borderId="11" xfId="0" applyNumberFormat="1" applyFill="1" applyBorder="1" applyAlignment="1">
      <alignment horizontal="center"/>
    </xf>
    <xf numFmtId="164" fontId="0" fillId="24" borderId="11" xfId="0" applyNumberFormat="1" applyFill="1" applyBorder="1" applyAlignment="1">
      <alignment horizontal="center"/>
    </xf>
    <xf numFmtId="164" fontId="0" fillId="25" borderId="11" xfId="0" applyNumberFormat="1" applyFill="1" applyBorder="1" applyAlignment="1">
      <alignment horizontal="center"/>
    </xf>
    <xf numFmtId="178" fontId="0" fillId="24" borderId="11" xfId="0" applyNumberFormat="1" applyFill="1" applyBorder="1" applyAlignment="1">
      <alignment horizontal="center"/>
    </xf>
    <xf numFmtId="0" fontId="0" fillId="24" borderId="11" xfId="0" applyFill="1" applyBorder="1" applyAlignment="1">
      <alignment horizontal="center"/>
    </xf>
    <xf numFmtId="0" fontId="0" fillId="25" borderId="52" xfId="0" applyFill="1" applyBorder="1" applyAlignment="1">
      <alignment horizontal="center"/>
    </xf>
    <xf numFmtId="0" fontId="0" fillId="25" borderId="53" xfId="0" applyFill="1" applyBorder="1" applyAlignment="1">
      <alignment horizontal="center"/>
    </xf>
    <xf numFmtId="0" fontId="2" fillId="26" borderId="52" xfId="0" applyFont="1" applyFill="1" applyBorder="1" applyAlignment="1">
      <alignment horizontal="center"/>
    </xf>
    <xf numFmtId="0" fontId="0" fillId="26" borderId="54" xfId="0" applyFill="1" applyBorder="1" applyAlignment="1">
      <alignment horizontal="center"/>
    </xf>
    <xf numFmtId="0" fontId="0" fillId="26" borderId="53" xfId="0" applyFill="1" applyBorder="1" applyAlignment="1">
      <alignment horizontal="center"/>
    </xf>
    <xf numFmtId="0" fontId="0" fillId="25" borderId="55" xfId="0" applyFill="1" applyBorder="1" applyAlignment="1">
      <alignment horizontal="center"/>
    </xf>
    <xf numFmtId="0" fontId="0" fillId="25" borderId="56" xfId="0" applyFill="1" applyBorder="1" applyAlignment="1">
      <alignment horizontal="center"/>
    </xf>
    <xf numFmtId="0" fontId="0" fillId="25" borderId="57" xfId="0" applyFill="1" applyBorder="1" applyAlignment="1">
      <alignment horizontal="center"/>
    </xf>
    <xf numFmtId="0" fontId="0" fillId="25" borderId="58" xfId="0" applyFill="1" applyBorder="1" applyAlignment="1">
      <alignment horizontal="center"/>
    </xf>
    <xf numFmtId="0" fontId="0" fillId="25" borderId="59" xfId="0" applyFill="1" applyBorder="1" applyAlignment="1">
      <alignment horizontal="center"/>
    </xf>
    <xf numFmtId="0" fontId="0" fillId="25" borderId="60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61" xfId="0" applyFill="1" applyBorder="1" applyAlignment="1">
      <alignment horizontal="center"/>
    </xf>
    <xf numFmtId="0" fontId="0" fillId="3" borderId="0" xfId="0" applyFill="1" applyAlignment="1">
      <alignment horizontal="center"/>
    </xf>
    <xf numFmtId="183" fontId="0" fillId="25" borderId="58" xfId="0" applyNumberFormat="1" applyFill="1" applyBorder="1" applyAlignment="1">
      <alignment horizontal="center"/>
    </xf>
    <xf numFmtId="183" fontId="0" fillId="25" borderId="59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169" fontId="0" fillId="3" borderId="56" xfId="0" applyNumberFormat="1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26" borderId="51" xfId="0" applyFill="1" applyBorder="1" applyAlignment="1">
      <alignment horizontal="center"/>
    </xf>
    <xf numFmtId="183" fontId="0" fillId="26" borderId="51" xfId="0" applyNumberFormat="1" applyFill="1" applyBorder="1" applyAlignment="1">
      <alignment horizontal="center"/>
    </xf>
    <xf numFmtId="0" fontId="0" fillId="24" borderId="57" xfId="0" applyFill="1" applyBorder="1" applyAlignment="1">
      <alignment horizontal="center"/>
    </xf>
    <xf numFmtId="0" fontId="0" fillId="24" borderId="62" xfId="0" applyFill="1" applyBorder="1" applyAlignment="1">
      <alignment horizontal="center"/>
    </xf>
    <xf numFmtId="183" fontId="0" fillId="25" borderId="60" xfId="0" applyNumberFormat="1" applyFill="1" applyBorder="1" applyAlignment="1">
      <alignment horizontal="center"/>
    </xf>
    <xf numFmtId="0" fontId="43" fillId="0" borderId="0" xfId="0" applyFont="1" applyAlignment="1">
      <alignment vertical="center"/>
    </xf>
    <xf numFmtId="0" fontId="44" fillId="0" borderId="0" xfId="2" applyFont="1"/>
    <xf numFmtId="0" fontId="44" fillId="27" borderId="2" xfId="2" applyFont="1" applyFill="1" applyBorder="1" applyAlignment="1" applyProtection="1">
      <alignment horizontal="center"/>
      <protection hidden="1"/>
    </xf>
    <xf numFmtId="177" fontId="45" fillId="5" borderId="2" xfId="2" applyNumberFormat="1" applyFont="1" applyFill="1" applyBorder="1" applyAlignment="1" applyProtection="1">
      <alignment horizontal="center"/>
      <protection hidden="1"/>
    </xf>
    <xf numFmtId="0" fontId="43" fillId="0" borderId="0" xfId="2" applyFont="1"/>
    <xf numFmtId="0" fontId="46" fillId="0" borderId="10" xfId="2" applyFont="1" applyBorder="1" applyAlignment="1">
      <alignment horizontal="right"/>
    </xf>
    <xf numFmtId="0" fontId="44" fillId="0" borderId="10" xfId="2" applyFont="1" applyBorder="1"/>
    <xf numFmtId="0" fontId="47" fillId="0" borderId="10" xfId="2" applyFont="1" applyBorder="1" applyAlignment="1">
      <alignment horizontal="left"/>
    </xf>
    <xf numFmtId="0" fontId="46" fillId="0" borderId="10" xfId="2" applyFont="1" applyBorder="1"/>
    <xf numFmtId="0" fontId="46" fillId="0" borderId="7" xfId="0" applyFont="1" applyBorder="1" applyAlignment="1">
      <alignment horizontal="right" vertical="center"/>
    </xf>
    <xf numFmtId="0" fontId="47" fillId="0" borderId="7" xfId="0" applyFont="1" applyBorder="1" applyAlignment="1">
      <alignment horizontal="right" vertical="center"/>
    </xf>
    <xf numFmtId="166" fontId="0" fillId="0" borderId="7" xfId="0" applyNumberFormat="1" applyBorder="1" applyAlignment="1">
      <alignment horizontal="right" vertical="center"/>
    </xf>
    <xf numFmtId="193" fontId="0" fillId="3" borderId="11" xfId="0" applyNumberFormat="1" applyFill="1" applyBorder="1" applyAlignment="1">
      <alignment horizontal="center"/>
    </xf>
    <xf numFmtId="0" fontId="0" fillId="28" borderId="24" xfId="0" applyFill="1" applyBorder="1" applyAlignment="1">
      <alignment horizontal="center"/>
    </xf>
    <xf numFmtId="0" fontId="0" fillId="29" borderId="26" xfId="0" applyFill="1" applyBorder="1" applyAlignment="1">
      <alignment horizontal="center"/>
    </xf>
    <xf numFmtId="186" fontId="0" fillId="25" borderId="11" xfId="0" applyNumberFormat="1" applyFill="1" applyBorder="1" applyAlignment="1">
      <alignment horizontal="center"/>
    </xf>
    <xf numFmtId="176" fontId="31" fillId="5" borderId="24" xfId="2" applyNumberFormat="1" applyFont="1" applyFill="1" applyBorder="1" applyAlignment="1" applyProtection="1">
      <alignment horizontal="center"/>
      <protection hidden="1"/>
    </xf>
    <xf numFmtId="176" fontId="31" fillId="5" borderId="26" xfId="2" applyNumberFormat="1" applyFont="1" applyFill="1" applyBorder="1" applyAlignment="1" applyProtection="1">
      <alignment horizontal="center"/>
      <protection hidden="1"/>
    </xf>
    <xf numFmtId="176" fontId="31" fillId="5" borderId="25" xfId="2" applyNumberFormat="1" applyFont="1" applyFill="1" applyBorder="1" applyAlignment="1" applyProtection="1">
      <alignment horizontal="center"/>
      <protection hidden="1"/>
    </xf>
    <xf numFmtId="0" fontId="31" fillId="5" borderId="63" xfId="2" applyFont="1" applyFill="1" applyBorder="1" applyAlignment="1">
      <alignment horizontal="center"/>
    </xf>
    <xf numFmtId="0" fontId="31" fillId="5" borderId="20" xfId="2" applyFont="1" applyFill="1" applyBorder="1" applyAlignment="1">
      <alignment horizontal="center"/>
    </xf>
    <xf numFmtId="0" fontId="31" fillId="5" borderId="23" xfId="2" applyFont="1" applyFill="1" applyBorder="1" applyAlignment="1">
      <alignment horizontal="center"/>
    </xf>
    <xf numFmtId="176" fontId="31" fillId="5" borderId="63" xfId="2" applyNumberFormat="1" applyFont="1" applyFill="1" applyBorder="1" applyAlignment="1">
      <alignment horizontal="center"/>
    </xf>
    <xf numFmtId="196" fontId="31" fillId="5" borderId="63" xfId="2" applyNumberFormat="1" applyFont="1" applyFill="1" applyBorder="1" applyAlignment="1">
      <alignment horizontal="center"/>
    </xf>
    <xf numFmtId="196" fontId="31" fillId="5" borderId="20" xfId="2" applyNumberFormat="1" applyFont="1" applyFill="1" applyBorder="1" applyAlignment="1">
      <alignment horizontal="center"/>
    </xf>
    <xf numFmtId="196" fontId="31" fillId="5" borderId="23" xfId="2" applyNumberFormat="1" applyFont="1" applyFill="1" applyBorder="1" applyAlignment="1">
      <alignment horizontal="center"/>
    </xf>
    <xf numFmtId="174" fontId="31" fillId="5" borderId="63" xfId="2" applyNumberFormat="1" applyFont="1" applyFill="1" applyBorder="1" applyAlignment="1">
      <alignment horizontal="center"/>
    </xf>
    <xf numFmtId="174" fontId="31" fillId="5" borderId="20" xfId="2" applyNumberFormat="1" applyFont="1" applyFill="1" applyBorder="1" applyAlignment="1">
      <alignment horizontal="center"/>
    </xf>
    <xf numFmtId="174" fontId="31" fillId="5" borderId="23" xfId="2" applyNumberFormat="1" applyFont="1" applyFill="1" applyBorder="1" applyAlignment="1">
      <alignment horizontal="center"/>
    </xf>
    <xf numFmtId="167" fontId="31" fillId="5" borderId="63" xfId="2" applyNumberFormat="1" applyFont="1" applyFill="1" applyBorder="1" applyAlignment="1">
      <alignment horizontal="center"/>
    </xf>
    <xf numFmtId="167" fontId="31" fillId="5" borderId="20" xfId="2" applyNumberFormat="1" applyFont="1" applyFill="1" applyBorder="1" applyAlignment="1">
      <alignment horizontal="center"/>
    </xf>
    <xf numFmtId="167" fontId="31" fillId="5" borderId="23" xfId="2" applyNumberFormat="1" applyFont="1" applyFill="1" applyBorder="1" applyAlignment="1">
      <alignment horizontal="center"/>
    </xf>
    <xf numFmtId="170" fontId="31" fillId="5" borderId="63" xfId="2" applyNumberFormat="1" applyFont="1" applyFill="1" applyBorder="1" applyAlignment="1">
      <alignment horizontal="center"/>
    </xf>
    <xf numFmtId="170" fontId="31" fillId="5" borderId="20" xfId="2" applyNumberFormat="1" applyFont="1" applyFill="1" applyBorder="1" applyAlignment="1">
      <alignment horizontal="center"/>
    </xf>
    <xf numFmtId="170" fontId="31" fillId="5" borderId="23" xfId="2" applyNumberFormat="1" applyFont="1" applyFill="1" applyBorder="1" applyAlignment="1">
      <alignment horizontal="center"/>
    </xf>
    <xf numFmtId="0" fontId="2" fillId="9" borderId="2" xfId="0" applyFont="1" applyFill="1" applyBorder="1" applyAlignment="1" applyProtection="1">
      <alignment horizontal="center" vertical="center"/>
      <protection hidden="1"/>
    </xf>
    <xf numFmtId="0" fontId="0" fillId="9" borderId="2" xfId="0" applyFill="1" applyBorder="1" applyAlignment="1" applyProtection="1">
      <alignment horizontal="center" vertical="center"/>
      <protection hidden="1"/>
    </xf>
    <xf numFmtId="0" fontId="0" fillId="0" borderId="22" xfId="0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87" fontId="2" fillId="7" borderId="2" xfId="0" applyNumberFormat="1" applyFont="1" applyFill="1" applyBorder="1" applyAlignment="1">
      <alignment horizontal="center" vertical="center"/>
    </xf>
    <xf numFmtId="197" fontId="31" fillId="5" borderId="24" xfId="2" applyNumberFormat="1" applyFont="1" applyFill="1" applyBorder="1" applyAlignment="1">
      <alignment horizontal="center"/>
    </xf>
    <xf numFmtId="197" fontId="31" fillId="5" borderId="26" xfId="2" applyNumberFormat="1" applyFont="1" applyFill="1" applyBorder="1" applyAlignment="1">
      <alignment horizontal="center"/>
    </xf>
    <xf numFmtId="197" fontId="31" fillId="5" borderId="25" xfId="2" applyNumberFormat="1" applyFont="1" applyFill="1" applyBorder="1" applyAlignment="1">
      <alignment horizontal="center"/>
    </xf>
    <xf numFmtId="0" fontId="43" fillId="0" borderId="0" xfId="2" applyFont="1" applyAlignment="1" applyProtection="1">
      <alignment horizontal="right"/>
      <protection hidden="1"/>
    </xf>
    <xf numFmtId="0" fontId="2" fillId="0" borderId="31" xfId="0" applyFont="1" applyBorder="1"/>
    <xf numFmtId="0" fontId="2" fillId="0" borderId="32" xfId="0" applyFont="1" applyBorder="1"/>
    <xf numFmtId="0" fontId="2" fillId="0" borderId="21" xfId="0" applyFont="1" applyBorder="1"/>
    <xf numFmtId="0" fontId="2" fillId="0" borderId="19" xfId="0" applyFont="1" applyBorder="1" applyAlignment="1">
      <alignment horizontal="left"/>
    </xf>
    <xf numFmtId="14" fontId="2" fillId="0" borderId="23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0" fontId="4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19" xfId="0" applyFont="1" applyBorder="1"/>
    <xf numFmtId="0" fontId="2" fillId="0" borderId="34" xfId="0" applyFont="1" applyBorder="1"/>
    <xf numFmtId="0" fontId="2" fillId="0" borderId="14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64" xfId="0" applyFont="1" applyBorder="1" applyAlignment="1">
      <alignment horizontal="center"/>
    </xf>
    <xf numFmtId="201" fontId="15" fillId="0" borderId="0" xfId="0" applyNumberFormat="1" applyFont="1"/>
    <xf numFmtId="191" fontId="0" fillId="0" borderId="0" xfId="0" applyNumberFormat="1"/>
    <xf numFmtId="192" fontId="0" fillId="0" borderId="0" xfId="0" applyNumberFormat="1"/>
    <xf numFmtId="0" fontId="41" fillId="0" borderId="0" xfId="0" applyFont="1"/>
    <xf numFmtId="192" fontId="2" fillId="30" borderId="32" xfId="0" applyNumberFormat="1" applyFont="1" applyFill="1" applyBorder="1" applyProtection="1">
      <protection locked="0"/>
    </xf>
    <xf numFmtId="198" fontId="2" fillId="0" borderId="23" xfId="0" applyNumberFormat="1" applyFont="1" applyBorder="1"/>
    <xf numFmtId="0" fontId="40" fillId="0" borderId="0" xfId="0" applyFont="1"/>
    <xf numFmtId="3" fontId="2" fillId="30" borderId="32" xfId="0" applyNumberFormat="1" applyFont="1" applyFill="1" applyBorder="1" applyAlignment="1">
      <alignment horizontal="center"/>
    </xf>
    <xf numFmtId="191" fontId="2" fillId="0" borderId="33" xfId="0" applyNumberFormat="1" applyFont="1" applyBorder="1" applyAlignment="1">
      <alignment horizontal="center"/>
    </xf>
    <xf numFmtId="192" fontId="2" fillId="0" borderId="32" xfId="0" applyNumberFormat="1" applyFont="1" applyBorder="1" applyAlignment="1">
      <alignment horizontal="center"/>
    </xf>
    <xf numFmtId="191" fontId="2" fillId="0" borderId="22" xfId="0" applyNumberFormat="1" applyFont="1" applyBorder="1" applyAlignment="1">
      <alignment horizontal="center"/>
    </xf>
    <xf numFmtId="192" fontId="2" fillId="0" borderId="23" xfId="0" applyNumberFormat="1" applyFont="1" applyBorder="1" applyAlignment="1">
      <alignment horizontal="center"/>
    </xf>
    <xf numFmtId="192" fontId="2" fillId="30" borderId="32" xfId="0" applyNumberFormat="1" applyFont="1" applyFill="1" applyBorder="1" applyAlignment="1" applyProtection="1">
      <alignment horizontal="center"/>
      <protection locked="0"/>
    </xf>
    <xf numFmtId="202" fontId="2" fillId="0" borderId="23" xfId="0" applyNumberFormat="1" applyFont="1" applyBorder="1" applyAlignment="1">
      <alignment horizontal="center"/>
    </xf>
    <xf numFmtId="201" fontId="2" fillId="0" borderId="23" xfId="0" applyNumberFormat="1" applyFont="1" applyBorder="1" applyAlignment="1">
      <alignment horizontal="center"/>
    </xf>
    <xf numFmtId="199" fontId="2" fillId="0" borderId="33" xfId="0" applyNumberFormat="1" applyFont="1" applyBorder="1" applyAlignment="1">
      <alignment horizontal="center"/>
    </xf>
    <xf numFmtId="200" fontId="2" fillId="0" borderId="32" xfId="0" applyNumberFormat="1" applyFont="1" applyBorder="1" applyAlignment="1">
      <alignment horizontal="center"/>
    </xf>
    <xf numFmtId="191" fontId="2" fillId="0" borderId="0" xfId="0" applyNumberFormat="1" applyFont="1" applyAlignment="1">
      <alignment horizontal="center"/>
    </xf>
    <xf numFmtId="192" fontId="2" fillId="0" borderId="20" xfId="0" applyNumberFormat="1" applyFont="1" applyBorder="1" applyAlignment="1">
      <alignment horizontal="center"/>
    </xf>
    <xf numFmtId="0" fontId="15" fillId="0" borderId="10" xfId="0" applyFont="1" applyBorder="1"/>
    <xf numFmtId="0" fontId="0" fillId="29" borderId="20" xfId="0" applyFill="1" applyBorder="1" applyAlignment="1">
      <alignment horizontal="center"/>
    </xf>
    <xf numFmtId="0" fontId="0" fillId="31" borderId="65" xfId="0" applyFill="1" applyBorder="1" applyAlignment="1">
      <alignment horizontal="center"/>
    </xf>
    <xf numFmtId="186" fontId="0" fillId="24" borderId="11" xfId="0" applyNumberFormat="1" applyFill="1" applyBorder="1" applyAlignment="1">
      <alignment horizontal="center"/>
    </xf>
    <xf numFmtId="203" fontId="0" fillId="24" borderId="11" xfId="0" applyNumberFormat="1" applyFill="1" applyBorder="1" applyAlignment="1">
      <alignment horizontal="center"/>
    </xf>
    <xf numFmtId="0" fontId="2" fillId="11" borderId="66" xfId="0" applyFont="1" applyFill="1" applyBorder="1" applyAlignment="1" applyProtection="1">
      <alignment horizontal="center" vertical="center"/>
      <protection hidden="1"/>
    </xf>
    <xf numFmtId="164" fontId="2" fillId="17" borderId="24" xfId="0" applyNumberFormat="1" applyFont="1" applyFill="1" applyBorder="1" applyAlignment="1">
      <alignment horizontal="center" vertical="center"/>
    </xf>
    <xf numFmtId="0" fontId="2" fillId="11" borderId="67" xfId="0" applyFont="1" applyFill="1" applyBorder="1" applyAlignment="1" applyProtection="1">
      <alignment horizontal="center" vertical="center"/>
      <protection hidden="1"/>
    </xf>
    <xf numFmtId="170" fontId="2" fillId="3" borderId="25" xfId="0" applyNumberFormat="1" applyFont="1" applyFill="1" applyBorder="1" applyAlignment="1" applyProtection="1">
      <alignment horizontal="center" vertical="center"/>
      <protection locked="0"/>
    </xf>
    <xf numFmtId="0" fontId="2" fillId="28" borderId="2" xfId="0" applyFont="1" applyFill="1" applyBorder="1" applyAlignment="1">
      <alignment horizontal="center" vertical="center"/>
    </xf>
    <xf numFmtId="0" fontId="0" fillId="30" borderId="0" xfId="0" applyFill="1"/>
    <xf numFmtId="0" fontId="0" fillId="30" borderId="0" xfId="0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9" borderId="25" xfId="0" applyFill="1" applyBorder="1" applyAlignment="1">
      <alignment horizontal="center"/>
    </xf>
    <xf numFmtId="0" fontId="1" fillId="0" borderId="0" xfId="2" applyProtection="1">
      <protection locked="0"/>
    </xf>
    <xf numFmtId="0" fontId="1" fillId="0" borderId="0" xfId="2"/>
    <xf numFmtId="0" fontId="34" fillId="0" borderId="0" xfId="2" applyFont="1"/>
    <xf numFmtId="186" fontId="0" fillId="0" borderId="0" xfId="0" applyNumberFormat="1" applyAlignment="1">
      <alignment vertical="center"/>
    </xf>
    <xf numFmtId="0" fontId="0" fillId="0" borderId="0" xfId="0" quotePrefix="1" applyAlignment="1">
      <alignment horizontal="center" vertical="center"/>
    </xf>
    <xf numFmtId="170" fontId="0" fillId="0" borderId="0" xfId="0" applyNumberFormat="1" applyAlignment="1">
      <alignment horizontal="right" vertical="center"/>
    </xf>
    <xf numFmtId="0" fontId="0" fillId="30" borderId="2" xfId="0" applyFill="1" applyBorder="1" applyAlignment="1">
      <alignment vertical="center"/>
    </xf>
    <xf numFmtId="164" fontId="2" fillId="18" borderId="24" xfId="0" applyNumberFormat="1" applyFont="1" applyFill="1" applyBorder="1" applyAlignment="1" applyProtection="1">
      <alignment horizontal="center" vertical="center"/>
      <protection locked="0"/>
    </xf>
    <xf numFmtId="0" fontId="10" fillId="0" borderId="0" xfId="1" applyAlignment="1" applyProtection="1">
      <alignment horizontal="left"/>
      <protection hidden="1"/>
    </xf>
    <xf numFmtId="166" fontId="48" fillId="0" borderId="0" xfId="0" applyNumberFormat="1" applyFont="1" applyAlignment="1">
      <alignment vertical="center"/>
    </xf>
    <xf numFmtId="0" fontId="2" fillId="0" borderId="0" xfId="0" applyFont="1" applyAlignment="1" applyProtection="1">
      <alignment horizontal="center" vertical="center"/>
      <protection hidden="1"/>
    </xf>
    <xf numFmtId="186" fontId="2" fillId="0" borderId="0" xfId="0" applyNumberFormat="1" applyFont="1" applyAlignment="1">
      <alignment horizontal="center" vertical="center"/>
    </xf>
    <xf numFmtId="204" fontId="2" fillId="32" borderId="2" xfId="0" applyNumberFormat="1" applyFont="1" applyFill="1" applyBorder="1" applyAlignment="1">
      <alignment horizontal="center" vertical="center"/>
    </xf>
    <xf numFmtId="175" fontId="0" fillId="7" borderId="46" xfId="0" applyNumberFormat="1" applyFill="1" applyBorder="1" applyAlignment="1">
      <alignment horizontal="center" vertical="center"/>
    </xf>
    <xf numFmtId="175" fontId="2" fillId="7" borderId="2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0" fontId="2" fillId="9" borderId="46" xfId="0" applyFont="1" applyFill="1" applyBorder="1" applyAlignment="1" applyProtection="1">
      <alignment horizontal="center" vertical="center"/>
      <protection hidden="1"/>
    </xf>
    <xf numFmtId="0" fontId="5" fillId="9" borderId="46" xfId="0" applyFont="1" applyFill="1" applyBorder="1" applyAlignment="1" applyProtection="1">
      <alignment horizontal="center" vertical="center"/>
      <protection hidden="1"/>
    </xf>
    <xf numFmtId="2" fontId="0" fillId="7" borderId="68" xfId="0" applyNumberFormat="1" applyFill="1" applyBorder="1" applyAlignment="1">
      <alignment horizontal="center" vertical="center"/>
    </xf>
    <xf numFmtId="187" fontId="2" fillId="7" borderId="68" xfId="0" applyNumberFormat="1" applyFont="1" applyFill="1" applyBorder="1" applyAlignment="1">
      <alignment horizontal="center" vertical="center"/>
    </xf>
    <xf numFmtId="165" fontId="0" fillId="7" borderId="69" xfId="0" applyNumberFormat="1" applyFill="1" applyBorder="1" applyAlignment="1">
      <alignment horizontal="center" vertical="center"/>
    </xf>
    <xf numFmtId="188" fontId="2" fillId="7" borderId="70" xfId="0" applyNumberFormat="1" applyFont="1" applyFill="1" applyBorder="1" applyAlignment="1">
      <alignment horizontal="center" vertical="center"/>
    </xf>
    <xf numFmtId="165" fontId="0" fillId="7" borderId="71" xfId="0" applyNumberFormat="1" applyFill="1" applyBorder="1" applyAlignment="1">
      <alignment horizontal="center" vertical="center"/>
    </xf>
    <xf numFmtId="165" fontId="0" fillId="7" borderId="70" xfId="0" applyNumberFormat="1" applyFill="1" applyBorder="1" applyAlignment="1">
      <alignment horizontal="center" vertical="center"/>
    </xf>
    <xf numFmtId="186" fontId="0" fillId="7" borderId="43" xfId="0" applyNumberFormat="1" applyFill="1" applyBorder="1" applyAlignment="1">
      <alignment horizontal="center" vertical="center"/>
    </xf>
    <xf numFmtId="165" fontId="0" fillId="7" borderId="72" xfId="0" applyNumberFormat="1" applyFill="1" applyBorder="1" applyAlignment="1">
      <alignment horizontal="center" vertical="center"/>
    </xf>
    <xf numFmtId="166" fontId="2" fillId="27" borderId="14" xfId="0" applyNumberFormat="1" applyFont="1" applyFill="1" applyBorder="1" applyAlignment="1">
      <alignment horizontal="center" vertical="center"/>
    </xf>
    <xf numFmtId="0" fontId="0" fillId="32" borderId="2" xfId="0" applyFill="1" applyBorder="1" applyAlignment="1">
      <alignment vertical="center"/>
    </xf>
    <xf numFmtId="187" fontId="0" fillId="7" borderId="73" xfId="0" applyNumberFormat="1" applyFill="1" applyBorder="1" applyAlignment="1">
      <alignment horizontal="center" vertical="center"/>
    </xf>
    <xf numFmtId="205" fontId="0" fillId="32" borderId="2" xfId="0" applyNumberFormat="1" applyFill="1" applyBorder="1" applyAlignment="1">
      <alignment horizontal="center" vertical="center"/>
    </xf>
    <xf numFmtId="206" fontId="15" fillId="0" borderId="0" xfId="2" applyNumberFormat="1" applyFont="1" applyProtection="1">
      <protection hidden="1"/>
    </xf>
    <xf numFmtId="175" fontId="2" fillId="0" borderId="0" xfId="2" applyNumberFormat="1" applyFont="1" applyProtection="1">
      <protection locked="0"/>
    </xf>
    <xf numFmtId="186" fontId="2" fillId="30" borderId="2" xfId="0" applyNumberFormat="1" applyFont="1" applyFill="1" applyBorder="1" applyAlignment="1">
      <alignment horizontal="center" vertical="center"/>
    </xf>
    <xf numFmtId="177" fontId="2" fillId="0" borderId="0" xfId="2" applyNumberFormat="1" applyFont="1"/>
    <xf numFmtId="170" fontId="2" fillId="33" borderId="25" xfId="0" applyNumberFormat="1" applyFont="1" applyFill="1" applyBorder="1" applyAlignment="1" applyProtection="1">
      <alignment horizontal="center" vertical="center"/>
      <protection locked="0"/>
    </xf>
    <xf numFmtId="165" fontId="2" fillId="5" borderId="34" xfId="2" applyNumberFormat="1" applyFont="1" applyFill="1" applyBorder="1" applyAlignment="1">
      <alignment horizontal="center"/>
    </xf>
    <xf numFmtId="178" fontId="14" fillId="5" borderId="34" xfId="2" applyNumberFormat="1" applyFont="1" applyFill="1" applyBorder="1"/>
    <xf numFmtId="179" fontId="30" fillId="5" borderId="24" xfId="2" applyNumberFormat="1" applyFont="1" applyFill="1" applyBorder="1" applyAlignment="1" applyProtection="1">
      <alignment horizontal="center" vertical="center"/>
      <protection hidden="1"/>
    </xf>
    <xf numFmtId="0" fontId="30" fillId="5" borderId="24" xfId="2" applyFont="1" applyFill="1" applyBorder="1" applyAlignment="1" applyProtection="1">
      <alignment horizontal="center" vertical="center"/>
      <protection hidden="1"/>
    </xf>
    <xf numFmtId="2" fontId="15" fillId="0" borderId="19" xfId="2" applyNumberFormat="1" applyFont="1" applyBorder="1" applyAlignment="1" applyProtection="1">
      <alignment horizontal="center"/>
      <protection hidden="1"/>
    </xf>
    <xf numFmtId="2" fontId="15" fillId="0" borderId="20" xfId="2" applyNumberFormat="1" applyFont="1" applyBorder="1" applyAlignment="1" applyProtection="1">
      <alignment horizontal="center"/>
      <protection hidden="1"/>
    </xf>
    <xf numFmtId="2" fontId="15" fillId="0" borderId="0" xfId="2" applyNumberFormat="1" applyFont="1" applyAlignment="1" applyProtection="1">
      <alignment horizontal="center"/>
      <protection hidden="1"/>
    </xf>
    <xf numFmtId="0" fontId="2" fillId="6" borderId="24" xfId="2" applyFont="1" applyFill="1" applyBorder="1" applyAlignment="1">
      <alignment vertical="center"/>
    </xf>
    <xf numFmtId="0" fontId="2" fillId="6" borderId="24" xfId="2" applyFont="1" applyFill="1" applyBorder="1" applyAlignment="1">
      <alignment horizontal="center" vertical="center"/>
    </xf>
    <xf numFmtId="0" fontId="0" fillId="7" borderId="74" xfId="0" applyFill="1" applyBorder="1" applyAlignment="1">
      <alignment horizontal="center" vertical="center"/>
    </xf>
    <xf numFmtId="175" fontId="2" fillId="0" borderId="0" xfId="0" applyNumberFormat="1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82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6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10" borderId="2" xfId="2" applyFont="1" applyFill="1" applyBorder="1" applyAlignment="1" applyProtection="1">
      <alignment horizontal="left"/>
      <protection hidden="1"/>
    </xf>
    <xf numFmtId="0" fontId="2" fillId="10" borderId="26" xfId="2" applyFont="1" applyFill="1" applyBorder="1" applyAlignment="1" applyProtection="1">
      <alignment horizontal="left"/>
      <protection hidden="1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right" vertic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left" vertical="top"/>
    </xf>
    <xf numFmtId="0" fontId="43" fillId="0" borderId="0" xfId="2" applyFont="1" applyAlignment="1">
      <alignment horizontal="center"/>
    </xf>
    <xf numFmtId="0" fontId="2" fillId="6" borderId="2" xfId="2" applyFont="1" applyFill="1" applyBorder="1" applyAlignment="1" applyProtection="1">
      <alignment horizontal="center"/>
      <protection hidden="1"/>
    </xf>
    <xf numFmtId="0" fontId="2" fillId="10" borderId="75" xfId="2" applyFont="1" applyFill="1" applyBorder="1" applyAlignment="1" applyProtection="1">
      <alignment horizontal="center"/>
      <protection hidden="1"/>
    </xf>
    <xf numFmtId="0" fontId="2" fillId="10" borderId="76" xfId="2" applyFont="1" applyFill="1" applyBorder="1" applyAlignment="1" applyProtection="1">
      <alignment horizontal="center"/>
      <protection hidden="1"/>
    </xf>
    <xf numFmtId="0" fontId="43" fillId="4" borderId="25" xfId="2" applyFont="1" applyFill="1" applyBorder="1" applyAlignment="1" applyProtection="1">
      <alignment horizontal="center"/>
      <protection locked="0"/>
    </xf>
    <xf numFmtId="0" fontId="43" fillId="4" borderId="77" xfId="2" applyFont="1" applyFill="1" applyBorder="1" applyAlignment="1" applyProtection="1">
      <alignment horizontal="center"/>
      <protection locked="0"/>
    </xf>
    <xf numFmtId="165" fontId="31" fillId="5" borderId="2" xfId="2" applyNumberFormat="1" applyFont="1" applyFill="1" applyBorder="1" applyAlignment="1">
      <alignment horizontal="center"/>
    </xf>
    <xf numFmtId="178" fontId="31" fillId="5" borderId="34" xfId="2" applyNumberFormat="1" applyFont="1" applyFill="1" applyBorder="1" applyAlignment="1">
      <alignment horizontal="center"/>
    </xf>
    <xf numFmtId="178" fontId="31" fillId="5" borderId="14" xfId="2" applyNumberFormat="1" applyFont="1" applyFill="1" applyBorder="1" applyAlignment="1">
      <alignment horizontal="center"/>
    </xf>
    <xf numFmtId="165" fontId="31" fillId="5" borderId="34" xfId="2" applyNumberFormat="1" applyFont="1" applyFill="1" applyBorder="1" applyAlignment="1">
      <alignment horizontal="center"/>
    </xf>
    <xf numFmtId="165" fontId="31" fillId="5" borderId="14" xfId="2" applyNumberFormat="1" applyFont="1" applyFill="1" applyBorder="1" applyAlignment="1">
      <alignment horizontal="center"/>
    </xf>
    <xf numFmtId="0" fontId="2" fillId="10" borderId="78" xfId="2" applyFont="1" applyFill="1" applyBorder="1" applyAlignment="1" applyProtection="1">
      <alignment horizontal="center"/>
      <protection hidden="1"/>
    </xf>
    <xf numFmtId="0" fontId="2" fillId="10" borderId="79" xfId="2" applyFont="1" applyFill="1" applyBorder="1" applyAlignment="1" applyProtection="1">
      <alignment horizontal="center"/>
      <protection hidden="1"/>
    </xf>
    <xf numFmtId="0" fontId="2" fillId="0" borderId="0" xfId="2" applyFont="1" applyAlignment="1">
      <alignment horizontal="center"/>
    </xf>
    <xf numFmtId="177" fontId="2" fillId="4" borderId="34" xfId="2" applyNumberFormat="1" applyFont="1" applyFill="1" applyBorder="1" applyAlignment="1" applyProtection="1">
      <alignment horizontal="center"/>
      <protection locked="0"/>
    </xf>
    <xf numFmtId="177" fontId="2" fillId="4" borderId="14" xfId="2" applyNumberFormat="1" applyFont="1" applyFill="1" applyBorder="1" applyAlignment="1" applyProtection="1">
      <alignment horizontal="center"/>
      <protection locked="0"/>
    </xf>
    <xf numFmtId="0" fontId="33" fillId="4" borderId="25" xfId="2" applyFont="1" applyFill="1" applyBorder="1" applyAlignment="1" applyProtection="1">
      <alignment horizontal="center" vertical="center"/>
      <protection locked="0"/>
    </xf>
    <xf numFmtId="0" fontId="33" fillId="4" borderId="2" xfId="2" applyFont="1" applyFill="1" applyBorder="1" applyAlignment="1" applyProtection="1">
      <alignment horizontal="center" vertical="center"/>
      <protection locked="0"/>
    </xf>
    <xf numFmtId="0" fontId="3" fillId="19" borderId="0" xfId="2" applyFont="1" applyFill="1" applyAlignment="1">
      <alignment horizontal="center"/>
    </xf>
    <xf numFmtId="0" fontId="2" fillId="0" borderId="0" xfId="2" applyFont="1" applyAlignment="1" applyProtection="1">
      <alignment horizontal="center"/>
      <protection hidden="1"/>
    </xf>
    <xf numFmtId="178" fontId="31" fillId="5" borderId="2" xfId="2" applyNumberFormat="1" applyFont="1" applyFill="1" applyBorder="1" applyAlignment="1">
      <alignment horizontal="center"/>
    </xf>
    <xf numFmtId="0" fontId="2" fillId="10" borderId="80" xfId="2" applyFont="1" applyFill="1" applyBorder="1" applyAlignment="1" applyProtection="1">
      <alignment horizontal="center"/>
      <protection hidden="1"/>
    </xf>
    <xf numFmtId="0" fontId="2" fillId="10" borderId="81" xfId="2" applyFont="1" applyFill="1" applyBorder="1" applyAlignment="1" applyProtection="1">
      <alignment horizontal="center"/>
      <protection hidden="1"/>
    </xf>
    <xf numFmtId="0" fontId="2" fillId="4" borderId="34" xfId="2" applyFont="1" applyFill="1" applyBorder="1" applyAlignment="1" applyProtection="1">
      <alignment horizontal="center"/>
      <protection locked="0"/>
    </xf>
    <xf numFmtId="0" fontId="2" fillId="4" borderId="82" xfId="2" applyFont="1" applyFill="1" applyBorder="1" applyAlignment="1" applyProtection="1">
      <alignment horizontal="center"/>
      <protection locked="0"/>
    </xf>
    <xf numFmtId="0" fontId="2" fillId="10" borderId="34" xfId="2" applyFont="1" applyFill="1" applyBorder="1" applyAlignment="1" applyProtection="1">
      <alignment horizontal="center"/>
      <protection hidden="1"/>
    </xf>
    <xf numFmtId="0" fontId="2" fillId="10" borderId="14" xfId="2" applyFont="1" applyFill="1" applyBorder="1" applyAlignment="1" applyProtection="1">
      <alignment horizontal="center"/>
      <protection hidden="1"/>
    </xf>
    <xf numFmtId="176" fontId="31" fillId="5" borderId="34" xfId="2" applyNumberFormat="1" applyFont="1" applyFill="1" applyBorder="1" applyAlignment="1">
      <alignment horizontal="center"/>
    </xf>
    <xf numFmtId="176" fontId="31" fillId="5" borderId="14" xfId="2" applyNumberFormat="1" applyFont="1" applyFill="1" applyBorder="1" applyAlignment="1">
      <alignment horizontal="center"/>
    </xf>
    <xf numFmtId="178" fontId="32" fillId="5" borderId="34" xfId="2" applyNumberFormat="1" applyFont="1" applyFill="1" applyBorder="1" applyAlignment="1">
      <alignment horizontal="center"/>
    </xf>
    <xf numFmtId="178" fontId="32" fillId="5" borderId="14" xfId="2" applyNumberFormat="1" applyFont="1" applyFill="1" applyBorder="1" applyAlignment="1">
      <alignment horizontal="center"/>
    </xf>
    <xf numFmtId="0" fontId="31" fillId="6" borderId="34" xfId="2" applyFont="1" applyFill="1" applyBorder="1" applyAlignment="1">
      <alignment horizontal="center"/>
    </xf>
    <xf numFmtId="0" fontId="31" fillId="6" borderId="14" xfId="2" applyFont="1" applyFill="1" applyBorder="1" applyAlignment="1">
      <alignment horizontal="center"/>
    </xf>
    <xf numFmtId="20" fontId="2" fillId="4" borderId="34" xfId="2" applyNumberFormat="1" applyFont="1" applyFill="1" applyBorder="1" applyAlignment="1" applyProtection="1">
      <alignment horizontal="center"/>
      <protection locked="0"/>
    </xf>
    <xf numFmtId="20" fontId="2" fillId="4" borderId="82" xfId="2" applyNumberFormat="1" applyFont="1" applyFill="1" applyBorder="1" applyAlignment="1" applyProtection="1">
      <alignment horizontal="center"/>
      <protection locked="0"/>
    </xf>
    <xf numFmtId="177" fontId="2" fillId="4" borderId="2" xfId="2" applyNumberFormat="1" applyFont="1" applyFill="1" applyBorder="1" applyAlignment="1" applyProtection="1">
      <alignment horizontal="center"/>
      <protection locked="0"/>
    </xf>
    <xf numFmtId="0" fontId="43" fillId="0" borderId="83" xfId="2" applyFont="1" applyBorder="1" applyAlignment="1">
      <alignment horizontal="center"/>
    </xf>
    <xf numFmtId="0" fontId="2" fillId="4" borderId="21" xfId="2" applyFont="1" applyFill="1" applyBorder="1" applyAlignment="1" applyProtection="1">
      <alignment horizontal="center"/>
      <protection locked="0"/>
    </xf>
    <xf numFmtId="0" fontId="2" fillId="4" borderId="84" xfId="2" applyFont="1" applyFill="1" applyBorder="1" applyAlignment="1" applyProtection="1">
      <alignment horizontal="center"/>
      <protection locked="0"/>
    </xf>
    <xf numFmtId="0" fontId="17" fillId="5" borderId="31" xfId="2" applyFont="1" applyFill="1" applyBorder="1" applyAlignment="1">
      <alignment horizontal="center" vertical="center"/>
    </xf>
    <xf numFmtId="0" fontId="17" fillId="5" borderId="32" xfId="2" applyFont="1" applyFill="1" applyBorder="1" applyAlignment="1">
      <alignment horizontal="center" vertical="center"/>
    </xf>
    <xf numFmtId="0" fontId="17" fillId="5" borderId="21" xfId="2" applyFont="1" applyFill="1" applyBorder="1" applyAlignment="1">
      <alignment horizontal="center" vertical="center"/>
    </xf>
    <xf numFmtId="0" fontId="17" fillId="5" borderId="23" xfId="2" applyFont="1" applyFill="1" applyBorder="1" applyAlignment="1">
      <alignment horizontal="center" vertical="center"/>
    </xf>
    <xf numFmtId="0" fontId="2" fillId="4" borderId="2" xfId="2" applyFont="1" applyFill="1" applyBorder="1" applyAlignment="1" applyProtection="1">
      <alignment horizontal="center"/>
      <protection locked="0"/>
    </xf>
    <xf numFmtId="0" fontId="2" fillId="4" borderId="8" xfId="2" applyFont="1" applyFill="1" applyBorder="1" applyAlignment="1" applyProtection="1">
      <alignment horizontal="center"/>
      <protection locked="0"/>
    </xf>
    <xf numFmtId="177" fontId="31" fillId="5" borderId="34" xfId="2" applyNumberFormat="1" applyFont="1" applyFill="1" applyBorder="1" applyAlignment="1" applyProtection="1">
      <alignment horizontal="center"/>
      <protection hidden="1"/>
    </xf>
    <xf numFmtId="177" fontId="31" fillId="5" borderId="14" xfId="2" applyNumberFormat="1" applyFont="1" applyFill="1" applyBorder="1" applyAlignment="1" applyProtection="1">
      <alignment horizontal="center"/>
      <protection hidden="1"/>
    </xf>
    <xf numFmtId="176" fontId="31" fillId="5" borderId="34" xfId="2" applyNumberFormat="1" applyFont="1" applyFill="1" applyBorder="1" applyAlignment="1" applyProtection="1">
      <alignment horizontal="center"/>
      <protection hidden="1"/>
    </xf>
    <xf numFmtId="176" fontId="31" fillId="5" borderId="14" xfId="2" applyNumberFormat="1" applyFont="1" applyFill="1" applyBorder="1" applyAlignment="1" applyProtection="1">
      <alignment horizontal="center"/>
      <protection hidden="1"/>
    </xf>
    <xf numFmtId="165" fontId="2" fillId="5" borderId="34" xfId="2" applyNumberFormat="1" applyFont="1" applyFill="1" applyBorder="1" applyAlignment="1">
      <alignment horizontal="center"/>
    </xf>
    <xf numFmtId="165" fontId="2" fillId="5" borderId="14" xfId="2" applyNumberFormat="1" applyFont="1" applyFill="1" applyBorder="1" applyAlignment="1">
      <alignment horizontal="center"/>
    </xf>
    <xf numFmtId="0" fontId="15" fillId="0" borderId="0" xfId="2" applyFont="1" applyAlignment="1" applyProtection="1">
      <alignment horizontal="center"/>
      <protection hidden="1"/>
    </xf>
    <xf numFmtId="0" fontId="28" fillId="6" borderId="34" xfId="2" applyFont="1" applyFill="1" applyBorder="1" applyAlignment="1" applyProtection="1">
      <alignment horizontal="center"/>
      <protection hidden="1"/>
    </xf>
    <xf numFmtId="0" fontId="28" fillId="6" borderId="14" xfId="2" applyFont="1" applyFill="1" applyBorder="1" applyAlignment="1" applyProtection="1">
      <alignment horizontal="center"/>
      <protection hidden="1"/>
    </xf>
    <xf numFmtId="0" fontId="2" fillId="10" borderId="2" xfId="2" applyFont="1" applyFill="1" applyBorder="1" applyAlignment="1" applyProtection="1">
      <alignment horizontal="center"/>
      <protection hidden="1"/>
    </xf>
    <xf numFmtId="0" fontId="31" fillId="6" borderId="2" xfId="2" applyFont="1" applyFill="1" applyBorder="1" applyAlignment="1">
      <alignment horizontal="center"/>
    </xf>
    <xf numFmtId="0" fontId="39" fillId="8" borderId="85" xfId="0" applyFont="1" applyFill="1" applyBorder="1" applyAlignment="1" applyProtection="1">
      <alignment horizontal="center" vertical="center"/>
      <protection hidden="1"/>
    </xf>
    <xf numFmtId="0" fontId="39" fillId="8" borderId="86" xfId="0" applyFont="1" applyFill="1" applyBorder="1" applyAlignment="1" applyProtection="1">
      <alignment horizontal="center" vertical="center"/>
      <protection hidden="1"/>
    </xf>
    <xf numFmtId="0" fontId="2" fillId="8" borderId="87" xfId="0" applyFont="1" applyFill="1" applyBorder="1" applyAlignment="1" applyProtection="1">
      <alignment horizontal="center" vertical="center"/>
      <protection hidden="1"/>
    </xf>
    <xf numFmtId="0" fontId="11" fillId="8" borderId="15" xfId="0" applyFont="1" applyFill="1" applyBorder="1" applyAlignment="1" applyProtection="1">
      <alignment horizontal="center" vertical="center"/>
      <protection hidden="1"/>
    </xf>
    <xf numFmtId="0" fontId="39" fillId="8" borderId="88" xfId="0" applyFont="1" applyFill="1" applyBorder="1" applyAlignment="1" applyProtection="1">
      <alignment horizontal="center" vertical="center"/>
      <protection hidden="1"/>
    </xf>
    <xf numFmtId="0" fontId="39" fillId="8" borderId="89" xfId="0" applyFont="1" applyFill="1" applyBorder="1" applyAlignment="1" applyProtection="1">
      <alignment horizontal="center" vertical="center"/>
      <protection hidden="1"/>
    </xf>
    <xf numFmtId="0" fontId="14" fillId="8" borderId="15" xfId="0" applyFont="1" applyFill="1" applyBorder="1" applyAlignment="1" applyProtection="1">
      <alignment horizontal="center" vertical="center"/>
      <protection hidden="1"/>
    </xf>
    <xf numFmtId="0" fontId="12" fillId="8" borderId="17" xfId="0" applyFont="1" applyFill="1" applyBorder="1" applyAlignment="1" applyProtection="1">
      <alignment horizontal="center" vertical="center"/>
      <protection hidden="1"/>
    </xf>
    <xf numFmtId="0" fontId="12" fillId="8" borderId="16" xfId="0" applyFont="1" applyFill="1" applyBorder="1" applyAlignment="1" applyProtection="1">
      <alignment horizontal="center" vertical="center"/>
      <protection hidden="1"/>
    </xf>
    <xf numFmtId="0" fontId="2" fillId="13" borderId="90" xfId="0" applyFont="1" applyFill="1" applyBorder="1" applyAlignment="1" applyProtection="1">
      <alignment horizontal="center" vertical="center"/>
      <protection locked="0"/>
    </xf>
    <xf numFmtId="0" fontId="2" fillId="13" borderId="91" xfId="0" applyFont="1" applyFill="1" applyBorder="1" applyAlignment="1" applyProtection="1">
      <alignment horizontal="center" vertical="center"/>
      <protection locked="0"/>
    </xf>
    <xf numFmtId="164" fontId="2" fillId="13" borderId="46" xfId="0" applyNumberFormat="1" applyFont="1" applyFill="1" applyBorder="1" applyAlignment="1">
      <alignment horizontal="center" vertical="center"/>
    </xf>
    <xf numFmtId="168" fontId="2" fillId="13" borderId="15" xfId="0" applyNumberFormat="1" applyFont="1" applyFill="1" applyBorder="1" applyAlignment="1" applyProtection="1">
      <alignment horizontal="center" vertical="center"/>
      <protection locked="0"/>
    </xf>
    <xf numFmtId="167" fontId="2" fillId="13" borderId="15" xfId="0" applyNumberFormat="1" applyFont="1" applyFill="1" applyBorder="1" applyAlignment="1" applyProtection="1">
      <alignment horizontal="center" vertical="center"/>
      <protection locked="0"/>
    </xf>
    <xf numFmtId="0" fontId="2" fillId="13" borderId="92" xfId="0" applyFont="1" applyFill="1" applyBorder="1" applyAlignment="1">
      <alignment horizontal="center"/>
    </xf>
    <xf numFmtId="0" fontId="2" fillId="13" borderId="91" xfId="0" applyFont="1" applyFill="1" applyBorder="1" applyAlignment="1">
      <alignment horizontal="center"/>
    </xf>
    <xf numFmtId="0" fontId="2" fillId="12" borderId="15" xfId="0" applyFont="1" applyFill="1" applyBorder="1" applyAlignment="1" applyProtection="1">
      <alignment horizontal="center"/>
      <protection hidden="1"/>
    </xf>
    <xf numFmtId="166" fontId="2" fillId="17" borderId="46" xfId="0" applyNumberFormat="1" applyFont="1" applyFill="1" applyBorder="1" applyAlignment="1">
      <alignment horizontal="center" vertical="center"/>
    </xf>
    <xf numFmtId="0" fontId="2" fillId="12" borderId="66" xfId="0" applyFont="1" applyFill="1" applyBorder="1" applyAlignment="1" applyProtection="1">
      <alignment horizontal="center"/>
      <protection hidden="1"/>
    </xf>
    <xf numFmtId="0" fontId="2" fillId="12" borderId="93" xfId="0" applyFont="1" applyFill="1" applyBorder="1" applyAlignment="1" applyProtection="1">
      <alignment horizontal="center"/>
      <protection hidden="1"/>
    </xf>
    <xf numFmtId="0" fontId="11" fillId="8" borderId="94" xfId="0" applyFont="1" applyFill="1" applyBorder="1" applyAlignment="1" applyProtection="1">
      <alignment horizontal="center" vertical="center"/>
      <protection hidden="1"/>
    </xf>
    <xf numFmtId="0" fontId="11" fillId="8" borderId="68" xfId="0" applyFont="1" applyFill="1" applyBorder="1" applyAlignment="1" applyProtection="1">
      <alignment horizontal="center" vertical="center"/>
      <protection hidden="1"/>
    </xf>
    <xf numFmtId="0" fontId="12" fillId="8" borderId="95" xfId="0" applyFont="1" applyFill="1" applyBorder="1" applyAlignment="1" applyProtection="1">
      <alignment horizontal="center" vertical="center"/>
      <protection hidden="1"/>
    </xf>
    <xf numFmtId="0" fontId="11" fillId="8" borderId="96" xfId="0" applyFont="1" applyFill="1" applyBorder="1" applyAlignment="1" applyProtection="1">
      <alignment horizontal="center" vertical="center"/>
      <protection hidden="1"/>
    </xf>
    <xf numFmtId="0" fontId="39" fillId="8" borderId="97" xfId="0" applyFont="1" applyFill="1" applyBorder="1" applyAlignment="1" applyProtection="1">
      <alignment horizontal="center" vertical="center"/>
      <protection hidden="1"/>
    </xf>
    <xf numFmtId="0" fontId="2" fillId="4" borderId="34" xfId="2" applyFont="1" applyFill="1" applyBorder="1" applyAlignment="1" applyProtection="1">
      <alignment horizontal="center" vertical="center"/>
      <protection locked="0"/>
    </xf>
    <xf numFmtId="0" fontId="2" fillId="4" borderId="14" xfId="2" applyFont="1" applyFill="1" applyBorder="1" applyAlignment="1" applyProtection="1">
      <alignment horizontal="center" vertical="center"/>
      <protection locked="0"/>
    </xf>
    <xf numFmtId="0" fontId="14" fillId="8" borderId="98" xfId="0" applyFont="1" applyFill="1" applyBorder="1" applyAlignment="1" applyProtection="1">
      <alignment horizontal="center" vertical="center"/>
      <protection hidden="1"/>
    </xf>
    <xf numFmtId="0" fontId="14" fillId="8" borderId="43" xfId="0" applyFont="1" applyFill="1" applyBorder="1" applyAlignment="1" applyProtection="1">
      <alignment horizontal="center" vertical="center"/>
      <protection hidden="1"/>
    </xf>
    <xf numFmtId="0" fontId="2" fillId="10" borderId="2" xfId="2" applyFont="1" applyFill="1" applyBorder="1" applyAlignment="1" applyProtection="1">
      <alignment horizontal="center" vertical="center"/>
      <protection hidden="1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4" borderId="2" xfId="2" applyFont="1" applyFill="1" applyBorder="1" applyAlignment="1" applyProtection="1">
      <alignment horizontal="center" vertical="center"/>
      <protection locked="0"/>
    </xf>
    <xf numFmtId="0" fontId="3" fillId="20" borderId="0" xfId="0" applyFont="1" applyFill="1" applyAlignment="1">
      <alignment horizontal="center"/>
    </xf>
    <xf numFmtId="0" fontId="33" fillId="13" borderId="1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0" fillId="30" borderId="21" xfId="0" applyFill="1" applyBorder="1" applyAlignment="1">
      <alignment horizontal="center"/>
    </xf>
    <xf numFmtId="0" fontId="0" fillId="30" borderId="23" xfId="0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30" borderId="19" xfId="0" applyFill="1" applyBorder="1" applyAlignment="1">
      <alignment horizontal="center"/>
    </xf>
    <xf numFmtId="0" fontId="0" fillId="30" borderId="20" xfId="0" applyFill="1" applyBorder="1" applyAlignment="1">
      <alignment horizontal="center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20" xfId="0" applyFill="1" applyBorder="1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0" fontId="0" fillId="30" borderId="21" xfId="0" applyFill="1" applyBorder="1" applyAlignment="1" applyProtection="1">
      <alignment horizontal="center"/>
      <protection locked="0"/>
    </xf>
    <xf numFmtId="0" fontId="0" fillId="30" borderId="23" xfId="0" applyFill="1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30" borderId="19" xfId="0" applyFill="1" applyBorder="1" applyAlignment="1" applyProtection="1">
      <alignment horizontal="center"/>
      <protection locked="0"/>
    </xf>
    <xf numFmtId="0" fontId="0" fillId="30" borderId="20" xfId="0" applyFill="1" applyBorder="1" applyAlignment="1" applyProtection="1">
      <alignment horizontal="center"/>
      <protection locked="0"/>
    </xf>
    <xf numFmtId="0" fontId="0" fillId="28" borderId="31" xfId="0" applyFill="1" applyBorder="1" applyAlignment="1">
      <alignment horizontal="center"/>
    </xf>
    <xf numFmtId="0" fontId="0" fillId="28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2" fontId="0" fillId="22" borderId="53" xfId="0" applyNumberFormat="1" applyFill="1" applyBorder="1" applyAlignment="1">
      <alignment horizontal="center"/>
    </xf>
    <xf numFmtId="2" fontId="0" fillId="22" borderId="65" xfId="0" applyNumberFormat="1" applyFill="1" applyBorder="1" applyAlignment="1">
      <alignment horizontal="center"/>
    </xf>
    <xf numFmtId="2" fontId="0" fillId="22" borderId="11" xfId="0" applyNumberFormat="1" applyFill="1" applyBorder="1" applyAlignment="1">
      <alignment horizontal="center"/>
    </xf>
    <xf numFmtId="2" fontId="0" fillId="22" borderId="54" xfId="0" applyNumberFormat="1" applyFill="1" applyBorder="1" applyAlignment="1">
      <alignment horizontal="center"/>
    </xf>
    <xf numFmtId="0" fontId="0" fillId="22" borderId="99" xfId="0" applyFill="1" applyBorder="1" applyAlignment="1">
      <alignment horizontal="center"/>
    </xf>
    <xf numFmtId="0" fontId="0" fillId="22" borderId="100" xfId="0" applyFill="1" applyBorder="1" applyAlignment="1">
      <alignment horizontal="center"/>
    </xf>
    <xf numFmtId="0" fontId="0" fillId="22" borderId="101" xfId="0" applyFill="1" applyBorder="1" applyAlignment="1">
      <alignment horizontal="center"/>
    </xf>
    <xf numFmtId="2" fontId="0" fillId="22" borderId="52" xfId="0" applyNumberFormat="1" applyFill="1" applyBorder="1" applyAlignment="1">
      <alignment horizontal="center"/>
    </xf>
    <xf numFmtId="194" fontId="2" fillId="13" borderId="46" xfId="0" applyNumberFormat="1" applyFont="1" applyFill="1" applyBorder="1" applyAlignment="1">
      <alignment horizontal="center" vertical="center"/>
    </xf>
    <xf numFmtId="195" fontId="2" fillId="17" borderId="15" xfId="0" applyNumberFormat="1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46" xfId="0" applyFont="1" applyFill="1" applyBorder="1" applyAlignment="1">
      <alignment horizontal="center" vertical="center"/>
    </xf>
    <xf numFmtId="165" fontId="2" fillId="0" borderId="33" xfId="0" applyNumberFormat="1" applyFont="1" applyBorder="1" applyAlignment="1">
      <alignment horizontal="center" vertical="center"/>
    </xf>
    <xf numFmtId="165" fontId="2" fillId="0" borderId="32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5" fontId="2" fillId="0" borderId="22" xfId="0" applyNumberFormat="1" applyFont="1" applyBorder="1" applyAlignment="1">
      <alignment horizontal="center" vertical="center"/>
    </xf>
    <xf numFmtId="175" fontId="2" fillId="0" borderId="23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2" fillId="0" borderId="33" xfId="0" applyFont="1" applyBorder="1" applyAlignment="1">
      <alignment horizontal="left"/>
    </xf>
  </cellXfs>
  <cellStyles count="3">
    <cellStyle name="Lien hypertexte" xfId="1" builtinId="8"/>
    <cellStyle name="Normal" xfId="0" builtinId="0"/>
    <cellStyle name="Normal 2" xfId="2" xr:uid="{00000000-0005-0000-0000-000002000000}"/>
  </cellStyles>
  <dxfs count="54"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indexed="42"/>
          <bgColor rgb="FFFFFFCC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7"/>
          <bgColor rgb="FFFFCCFF"/>
        </patternFill>
      </fill>
    </dxf>
    <dxf>
      <font>
        <color rgb="FFFF0000"/>
      </font>
    </dxf>
    <dxf>
      <font>
        <color rgb="FF808080"/>
      </font>
    </dxf>
    <dxf>
      <fill>
        <patternFill>
          <bgColor indexed="10"/>
        </patternFill>
      </fill>
    </dxf>
    <dxf>
      <fill>
        <patternFill patternType="solid">
          <fgColor indexed="53"/>
          <bgColor rgb="FFFF0000"/>
        </patternFill>
      </fill>
    </dxf>
    <dxf>
      <fill>
        <patternFill patternType="solid">
          <fgColor indexed="60"/>
          <bgColor indexed="10"/>
        </patternFill>
      </fill>
    </dxf>
    <dxf>
      <fill>
        <patternFill>
          <bgColor rgb="FFFF0000"/>
        </patternFill>
      </fill>
    </dxf>
    <dxf>
      <font>
        <color rgb="FFCCFFFF"/>
      </font>
    </dxf>
    <dxf>
      <font>
        <color rgb="FFCC6600"/>
      </font>
    </dxf>
    <dxf>
      <font>
        <color rgb="FFCC6600"/>
      </font>
    </dxf>
    <dxf>
      <fill>
        <patternFill>
          <bgColor rgb="FFFF0000"/>
        </patternFill>
      </fill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bottom/>
      </border>
    </dxf>
    <dxf>
      <font>
        <color rgb="FF99CCFF"/>
      </font>
    </dxf>
    <dxf>
      <fill>
        <patternFill>
          <bgColor indexed="10"/>
        </patternFill>
      </fill>
    </dxf>
    <dxf>
      <font>
        <color theme="0"/>
      </font>
      <fill>
        <patternFill>
          <bgColor theme="0"/>
        </patternFill>
      </fill>
      <border>
        <right/>
        <top/>
        <bottom/>
      </border>
    </dxf>
    <dxf>
      <font>
        <color indexed="9"/>
      </font>
      <fill>
        <patternFill patternType="solid">
          <bgColor indexed="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solid">
          <bgColor theme="0"/>
        </patternFill>
      </fill>
      <border>
        <right/>
        <bottom/>
      </border>
    </dxf>
    <dxf>
      <fill>
        <patternFill patternType="solid">
          <fgColor indexed="60"/>
          <bgColor indexed="10"/>
        </patternFill>
      </fill>
    </dxf>
    <dxf>
      <font>
        <color rgb="FFFFFF99"/>
        <name val="Cambria"/>
        <scheme val="none"/>
      </font>
    </dxf>
    <dxf>
      <font>
        <color rgb="FFFFCC99"/>
      </font>
    </dxf>
    <dxf>
      <font>
        <color rgb="FF808080"/>
      </font>
    </dxf>
    <dxf>
      <font>
        <color theme="0"/>
      </font>
      <fill>
        <patternFill>
          <bgColor theme="0"/>
        </patternFill>
      </fill>
      <border>
        <left/>
        <right/>
        <bottom/>
      </border>
    </dxf>
    <dxf>
      <font>
        <color rgb="FFFF0000"/>
      </font>
    </dxf>
    <dxf>
      <font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theme="1"/>
      </font>
    </dxf>
    <dxf>
      <font>
        <color rgb="FFCC6600"/>
      </font>
    </dxf>
    <dxf>
      <font>
        <color rgb="FFCC6600"/>
      </font>
    </dxf>
    <dxf>
      <font>
        <color rgb="FFFF0000"/>
      </font>
    </dxf>
    <dxf>
      <font>
        <color rgb="FFCC6600"/>
      </font>
    </dxf>
    <dxf>
      <font>
        <color theme="0"/>
      </font>
      <fill>
        <patternFill patternType="none">
          <bgColor indexed="65"/>
        </patternFill>
      </fill>
      <border>
        <left/>
        <right/>
        <bottom/>
      </border>
    </dxf>
  </dxfs>
  <tableStyles count="1" defaultTableStyle="TableStyleMedium2" defaultPivotStyle="PivotStyleLight16">
    <tableStyle name="Invisible" pivot="0" table="0" count="0" xr9:uid="{F4726A1C-5962-4C6D-A156-DDCD1FCD6B5E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3CAFF"/>
      <rgbColor rgb="00993366"/>
      <rgbColor rgb="00E6E6E6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185232743879301E-2"/>
          <c:y val="6.1378198400092628E-2"/>
          <c:w val="0.84871001627006748"/>
          <c:h val="0.90566037735849303"/>
        </c:manualLayout>
      </c:layout>
      <c:scatterChart>
        <c:scatterStyle val="lineMarker"/>
        <c:varyColors val="0"/>
        <c:ser>
          <c:idx val="0"/>
          <c:order val="0"/>
          <c:tx>
            <c:v>fuselage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Stabilito!$D$124:$D$131</c:f>
              <c:numCache>
                <c:formatCode>0</c:formatCode>
                <c:ptCount val="8"/>
                <c:pt idx="0">
                  <c:v>0</c:v>
                </c:pt>
                <c:pt idx="1">
                  <c:v>42</c:v>
                </c:pt>
                <c:pt idx="2">
                  <c:v>42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0</c:v>
                </c:pt>
              </c:numCache>
            </c:numRef>
          </c:xVal>
          <c:yVal>
            <c:numRef>
              <c:f>Stabilito!$C$124:$C$131</c:f>
              <c:numCache>
                <c:formatCode>0</c:formatCode>
                <c:ptCount val="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-51</c:v>
                </c:pt>
                <c:pt idx="4">
                  <c:v>-51</c:v>
                </c:pt>
                <c:pt idx="5">
                  <c:v>-51</c:v>
                </c:pt>
                <c:pt idx="6">
                  <c:v>-1035</c:v>
                </c:pt>
                <c:pt idx="7">
                  <c:v>-1035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5-4F59-84CA-EEBAEE08982C}"/>
            </c:ext>
          </c:extLst>
        </c:ser>
        <c:ser>
          <c:idx val="1"/>
          <c:order val="1"/>
          <c:tx>
            <c:v>aileron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Stabilito!$D$132:$D$136</c:f>
              <c:numCache>
                <c:formatCode>0</c:formatCode>
                <c:ptCount val="5"/>
                <c:pt idx="0">
                  <c:v>52</c:v>
                </c:pt>
                <c:pt idx="1">
                  <c:v>202</c:v>
                </c:pt>
                <c:pt idx="2">
                  <c:v>202</c:v>
                </c:pt>
                <c:pt idx="3">
                  <c:v>52</c:v>
                </c:pt>
                <c:pt idx="4">
                  <c:v>52</c:v>
                </c:pt>
              </c:numCache>
            </c:numRef>
          </c:xVal>
          <c:yVal>
            <c:numRef>
              <c:f>Stabilito!$C$132:$C$136</c:f>
              <c:numCache>
                <c:formatCode>0</c:formatCode>
                <c:ptCount val="5"/>
                <c:pt idx="0">
                  <c:v>-805</c:v>
                </c:pt>
                <c:pt idx="1">
                  <c:v>-975</c:v>
                </c:pt>
                <c:pt idx="2">
                  <c:v>-1095</c:v>
                </c:pt>
                <c:pt idx="3">
                  <c:v>-1015</c:v>
                </c:pt>
                <c:pt idx="4">
                  <c:v>-805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5-4F59-84CA-EEBAEE08982C}"/>
            </c:ext>
          </c:extLst>
        </c:ser>
        <c:ser>
          <c:idx val="2"/>
          <c:order val="2"/>
          <c:tx>
            <c:v>fuselage2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Stabilito!$E$124:$E$131</c:f>
              <c:numCache>
                <c:formatCode>0</c:formatCode>
                <c:ptCount val="8"/>
                <c:pt idx="0">
                  <c:v>0</c:v>
                </c:pt>
                <c:pt idx="1">
                  <c:v>-42</c:v>
                </c:pt>
                <c:pt idx="2">
                  <c:v>-42</c:v>
                </c:pt>
                <c:pt idx="3">
                  <c:v>-52</c:v>
                </c:pt>
                <c:pt idx="4">
                  <c:v>-52</c:v>
                </c:pt>
                <c:pt idx="5">
                  <c:v>-52</c:v>
                </c:pt>
                <c:pt idx="6">
                  <c:v>-52</c:v>
                </c:pt>
                <c:pt idx="7">
                  <c:v>0</c:v>
                </c:pt>
              </c:numCache>
            </c:numRef>
          </c:xVal>
          <c:yVal>
            <c:numRef>
              <c:f>Stabilito!$C$124:$C$131</c:f>
              <c:numCache>
                <c:formatCode>0</c:formatCode>
                <c:ptCount val="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-51</c:v>
                </c:pt>
                <c:pt idx="4">
                  <c:v>-51</c:v>
                </c:pt>
                <c:pt idx="5">
                  <c:v>-51</c:v>
                </c:pt>
                <c:pt idx="6">
                  <c:v>-1035</c:v>
                </c:pt>
                <c:pt idx="7">
                  <c:v>-1035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5-4F59-84CA-EEBAEE08982C}"/>
            </c:ext>
          </c:extLst>
        </c:ser>
        <c:ser>
          <c:idx val="3"/>
          <c:order val="3"/>
          <c:tx>
            <c:v>aileron2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Stabilito!$E$132:$E$136</c:f>
              <c:numCache>
                <c:formatCode>0</c:formatCode>
                <c:ptCount val="5"/>
                <c:pt idx="0">
                  <c:v>-52</c:v>
                </c:pt>
                <c:pt idx="1">
                  <c:v>-202</c:v>
                </c:pt>
                <c:pt idx="2">
                  <c:v>-202</c:v>
                </c:pt>
                <c:pt idx="3">
                  <c:v>-52</c:v>
                </c:pt>
                <c:pt idx="4">
                  <c:v>-52</c:v>
                </c:pt>
              </c:numCache>
            </c:numRef>
          </c:xVal>
          <c:yVal>
            <c:numRef>
              <c:f>Stabilito!$C$132:$C$136</c:f>
              <c:numCache>
                <c:formatCode>0</c:formatCode>
                <c:ptCount val="5"/>
                <c:pt idx="0">
                  <c:v>-805</c:v>
                </c:pt>
                <c:pt idx="1">
                  <c:v>-975</c:v>
                </c:pt>
                <c:pt idx="2">
                  <c:v>-1095</c:v>
                </c:pt>
                <c:pt idx="3">
                  <c:v>-1015</c:v>
                </c:pt>
                <c:pt idx="4">
                  <c:v>-805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35-4F59-84CA-EEBAEE08982C}"/>
            </c:ext>
          </c:extLst>
        </c:ser>
        <c:ser>
          <c:idx val="4"/>
          <c:order val="4"/>
          <c:tx>
            <c:strRef>
              <c:f>Stabilito!$B$12</c:f>
              <c:strCache>
                <c:ptCount val="1"/>
                <c:pt idx="0">
                  <c:v>Centre de Masse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Stabilito!$D$149:$D$150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Stabilito!$C$149:$C$150</c:f>
              <c:numCache>
                <c:formatCode>0</c:formatCode>
                <c:ptCount val="2"/>
                <c:pt idx="0">
                  <c:v>-478.14554609759017</c:v>
                </c:pt>
                <c:pt idx="1">
                  <c:v>-387.25974025974023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35-4F59-84CA-EEBAEE08982C}"/>
            </c:ext>
          </c:extLst>
        </c:ser>
        <c:ser>
          <c:idx val="5"/>
          <c:order val="5"/>
          <c:tx>
            <c:strRef>
              <c:f>Stabilito!$F$28</c:f>
              <c:strCache>
                <c:ptCount val="1"/>
                <c:pt idx="0">
                  <c:v>Portance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8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Stabilito!$D$151:$D$154</c:f>
              <c:numCache>
                <c:formatCode>0</c:formatCode>
                <c:ptCount val="4"/>
                <c:pt idx="0">
                  <c:v>0</c:v>
                </c:pt>
                <c:pt idx="1">
                  <c:v>132.51207998200962</c:v>
                </c:pt>
                <c:pt idx="2">
                  <c:v>132.51207998200962</c:v>
                </c:pt>
                <c:pt idx="3">
                  <c:v>0</c:v>
                </c:pt>
              </c:numCache>
            </c:numRef>
          </c:xVal>
          <c:yVal>
            <c:numRef>
              <c:f>Stabilito!$C$151:$C$154</c:f>
              <c:numCache>
                <c:formatCode>0</c:formatCode>
                <c:ptCount val="4"/>
                <c:pt idx="0">
                  <c:v>-796.12906470512303</c:v>
                </c:pt>
                <c:pt idx="1">
                  <c:v>-796.12906470512303</c:v>
                </c:pt>
                <c:pt idx="2">
                  <c:v>-796.12906470512303</c:v>
                </c:pt>
                <c:pt idx="3">
                  <c:v>-796.12906470512303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35-4F59-84CA-EEBAEE08982C}"/>
            </c:ext>
          </c:extLst>
        </c:ser>
        <c:ser>
          <c:idx val="6"/>
          <c:order val="6"/>
          <c:tx>
            <c:v>canard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Stabilito!$D$158:$D$162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Stabilito!$C$158:$C$162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35-4F59-84CA-EEBAEE08982C}"/>
            </c:ext>
          </c:extLst>
        </c:ser>
        <c:ser>
          <c:idx val="7"/>
          <c:order val="7"/>
          <c:tx>
            <c:v>canard2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Stabilito!$E$158:$E$162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Stabilito!$C$158:$C$162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35-4F59-84CA-EEBAEE08982C}"/>
            </c:ext>
          </c:extLst>
        </c:ser>
        <c:ser>
          <c:idx val="8"/>
          <c:order val="8"/>
          <c:tx>
            <c:v>masquage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Stabilito!$D$163:$D$167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Stabilito!$C$163:$C$167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35-4F59-84CA-EEBAEE08982C}"/>
            </c:ext>
          </c:extLst>
        </c:ser>
        <c:ser>
          <c:idx val="9"/>
          <c:order val="9"/>
          <c:tx>
            <c:v>masquage2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Stabilito!$E$163:$E$167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Stabilito!$C$163:$C$167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35-4F59-84CA-EEBAEE08982C}"/>
            </c:ext>
          </c:extLst>
        </c:ser>
        <c:ser>
          <c:idx val="10"/>
          <c:order val="10"/>
          <c:tx>
            <c:v>cadre</c:v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none"/>
          </c:marker>
          <c:xVal>
            <c:numRef>
              <c:f>Stabilito!$D$168:$D$169</c:f>
              <c:numCache>
                <c:formatCode>0</c:formatCode>
                <c:ptCount val="2"/>
                <c:pt idx="0">
                  <c:v>345</c:v>
                </c:pt>
                <c:pt idx="1">
                  <c:v>-345</c:v>
                </c:pt>
              </c:numCache>
            </c:numRef>
          </c:xVal>
          <c:yVal>
            <c:numRef>
              <c:f>Stabilito!$C$168:$C$169</c:f>
              <c:numCache>
                <c:formatCode>0</c:formatCode>
                <c:ptCount val="2"/>
                <c:pt idx="0">
                  <c:v>-1105.95</c:v>
                </c:pt>
                <c:pt idx="1">
                  <c:v>-1105.95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535-4F59-84CA-EEBAEE08982C}"/>
            </c:ext>
          </c:extLst>
        </c:ser>
        <c:ser>
          <c:idx val="11"/>
          <c:order val="11"/>
          <c:tx>
            <c:v>Propu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Stabilito!$D$170:$D$174</c:f>
              <c:numCache>
                <c:formatCode>0</c:formatCode>
                <c:ptCount val="5"/>
                <c:pt idx="0">
                  <c:v>-37.5</c:v>
                </c:pt>
                <c:pt idx="1">
                  <c:v>37.5</c:v>
                </c:pt>
                <c:pt idx="2">
                  <c:v>37.5</c:v>
                </c:pt>
                <c:pt idx="3">
                  <c:v>-37.5</c:v>
                </c:pt>
                <c:pt idx="4">
                  <c:v>-37.5</c:v>
                </c:pt>
              </c:numCache>
            </c:numRef>
          </c:xVal>
          <c:yVal>
            <c:numRef>
              <c:f>Stabilito!$C$170:$C$174</c:f>
              <c:numCache>
                <c:formatCode>0</c:formatCode>
                <c:ptCount val="5"/>
                <c:pt idx="0">
                  <c:v>-549</c:v>
                </c:pt>
                <c:pt idx="1">
                  <c:v>-549</c:v>
                </c:pt>
                <c:pt idx="2">
                  <c:v>-1035</c:v>
                </c:pt>
                <c:pt idx="3">
                  <c:v>-1035</c:v>
                </c:pt>
                <c:pt idx="4">
                  <c:v>-549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535-4F59-84CA-EEBAEE08982C}"/>
            </c:ext>
          </c:extLst>
        </c:ser>
        <c:ser>
          <c:idx val="12"/>
          <c:order val="12"/>
          <c:tx>
            <c:v>Cone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Stabilito!$D$175:$D$180</c:f>
              <c:numCache>
                <c:formatCode>0</c:formatCode>
                <c:ptCount val="6"/>
                <c:pt idx="0">
                  <c:v>0</c:v>
                </c:pt>
                <c:pt idx="1">
                  <c:v>4.2</c:v>
                </c:pt>
                <c:pt idx="2">
                  <c:v>10.5</c:v>
                </c:pt>
                <c:pt idx="3">
                  <c:v>21</c:v>
                </c:pt>
                <c:pt idx="4">
                  <c:v>31.5</c:v>
                </c:pt>
                <c:pt idx="5">
                  <c:v>42</c:v>
                </c:pt>
              </c:numCache>
            </c:numRef>
          </c:xVal>
          <c:yVal>
            <c:numRef>
              <c:f>Stabilito!$C$175:$C$180</c:f>
              <c:numCache>
                <c:formatCode>0</c:formatCode>
                <c:ptCount val="6"/>
                <c:pt idx="0">
                  <c:v>0</c:v>
                </c:pt>
                <c:pt idx="1">
                  <c:v>-0.1</c:v>
                </c:pt>
                <c:pt idx="2">
                  <c:v>-0.25</c:v>
                </c:pt>
                <c:pt idx="3">
                  <c:v>-0.5</c:v>
                </c:pt>
                <c:pt idx="4">
                  <c:v>-0.75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535-4F59-84CA-EEBAEE08982C}"/>
            </c:ext>
          </c:extLst>
        </c:ser>
        <c:ser>
          <c:idx val="13"/>
          <c:order val="13"/>
          <c:tx>
            <c:v>Cone1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Stabilito!$E$175:$E$180</c:f>
              <c:numCache>
                <c:formatCode>0</c:formatCode>
                <c:ptCount val="6"/>
                <c:pt idx="0">
                  <c:v>0</c:v>
                </c:pt>
                <c:pt idx="1">
                  <c:v>-4.2</c:v>
                </c:pt>
                <c:pt idx="2">
                  <c:v>-10.5</c:v>
                </c:pt>
                <c:pt idx="3">
                  <c:v>-21</c:v>
                </c:pt>
                <c:pt idx="4">
                  <c:v>-31.5</c:v>
                </c:pt>
                <c:pt idx="5">
                  <c:v>-42</c:v>
                </c:pt>
              </c:numCache>
            </c:numRef>
          </c:xVal>
          <c:yVal>
            <c:numRef>
              <c:f>Stabilito!$C$175:$C$180</c:f>
              <c:numCache>
                <c:formatCode>0</c:formatCode>
                <c:ptCount val="6"/>
                <c:pt idx="0">
                  <c:v>0</c:v>
                </c:pt>
                <c:pt idx="1">
                  <c:v>-0.1</c:v>
                </c:pt>
                <c:pt idx="2">
                  <c:v>-0.25</c:v>
                </c:pt>
                <c:pt idx="3">
                  <c:v>-0.5</c:v>
                </c:pt>
                <c:pt idx="4">
                  <c:v>-0.75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535-4F59-84CA-EEBAEE08982C}"/>
            </c:ext>
          </c:extLst>
        </c:ser>
        <c:ser>
          <c:idx val="14"/>
          <c:order val="14"/>
          <c:tx>
            <c:strRef>
              <c:f>Stabilito!$B$137</c:f>
              <c:strCache>
                <c:ptCount val="1"/>
                <c:pt idx="0">
                  <c:v>Envergure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Stabilito!$D$137:$D$139</c:f>
              <c:numCache>
                <c:formatCode>0</c:formatCode>
                <c:ptCount val="3"/>
                <c:pt idx="0">
                  <c:v>-202</c:v>
                </c:pt>
                <c:pt idx="1">
                  <c:v>-127</c:v>
                </c:pt>
                <c:pt idx="2">
                  <c:v>-52</c:v>
                </c:pt>
              </c:numCache>
            </c:numRef>
          </c:xVal>
          <c:yVal>
            <c:numRef>
              <c:f>Stabilito!$C$137:$C$139</c:f>
              <c:numCache>
                <c:formatCode>0</c:formatCode>
                <c:ptCount val="3"/>
                <c:pt idx="0">
                  <c:v>-1129.5</c:v>
                </c:pt>
                <c:pt idx="1">
                  <c:v>-1129.5</c:v>
                </c:pt>
                <c:pt idx="2">
                  <c:v>-1129.5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535-4F59-84CA-EEBAEE08982C}"/>
            </c:ext>
          </c:extLst>
        </c:ser>
        <c:ser>
          <c:idx val="15"/>
          <c:order val="15"/>
          <c:tx>
            <c:strRef>
              <c:f>Stabilito!$B$143</c:f>
              <c:strCache>
                <c:ptCount val="1"/>
                <c:pt idx="0">
                  <c:v>Flèche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Stabilito!$D$143:$D$145</c:f>
              <c:numCache>
                <c:formatCode>0</c:formatCode>
                <c:ptCount val="3"/>
                <c:pt idx="0">
                  <c:v>-236.5</c:v>
                </c:pt>
                <c:pt idx="1">
                  <c:v>-236.5</c:v>
                </c:pt>
                <c:pt idx="2">
                  <c:v>-236.5</c:v>
                </c:pt>
              </c:numCache>
            </c:numRef>
          </c:xVal>
          <c:yVal>
            <c:numRef>
              <c:f>Stabilito!$C$143:$C$145</c:f>
              <c:numCache>
                <c:formatCode>0</c:formatCode>
                <c:ptCount val="3"/>
                <c:pt idx="0">
                  <c:v>-805</c:v>
                </c:pt>
                <c:pt idx="1">
                  <c:v>-890</c:v>
                </c:pt>
                <c:pt idx="2">
                  <c:v>-975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535-4F59-84CA-EEBAEE08982C}"/>
            </c:ext>
          </c:extLst>
        </c:ser>
        <c:ser>
          <c:idx val="16"/>
          <c:order val="16"/>
          <c:tx>
            <c:strRef>
              <c:f>Stabilito!$B$146</c:f>
              <c:strCache>
                <c:ptCount val="1"/>
                <c:pt idx="0">
                  <c:v>Saumon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Stabilito!$D$146:$D$148</c:f>
              <c:numCache>
                <c:formatCode>0</c:formatCode>
                <c:ptCount val="3"/>
                <c:pt idx="0">
                  <c:v>-253.75</c:v>
                </c:pt>
                <c:pt idx="1">
                  <c:v>-253.75</c:v>
                </c:pt>
                <c:pt idx="2">
                  <c:v>-253.75</c:v>
                </c:pt>
              </c:numCache>
            </c:numRef>
          </c:xVal>
          <c:yVal>
            <c:numRef>
              <c:f>Stabilito!$C$146:$C$148</c:f>
              <c:numCache>
                <c:formatCode>0</c:formatCode>
                <c:ptCount val="3"/>
                <c:pt idx="0">
                  <c:v>-975</c:v>
                </c:pt>
                <c:pt idx="1">
                  <c:v>-1035</c:v>
                </c:pt>
                <c:pt idx="2">
                  <c:v>-1095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535-4F59-84CA-EEBAEE08982C}"/>
            </c:ext>
          </c:extLst>
        </c:ser>
        <c:ser>
          <c:idx val="17"/>
          <c:order val="17"/>
          <c:tx>
            <c:strRef>
              <c:f>Stabilito!$B$140</c:f>
              <c:strCache>
                <c:ptCount val="1"/>
                <c:pt idx="0">
                  <c:v>Emplanture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Stabilito!$D$140:$D$142</c:f>
              <c:numCache>
                <c:formatCode>0</c:formatCode>
                <c:ptCount val="3"/>
                <c:pt idx="0">
                  <c:v>253.75</c:v>
                </c:pt>
                <c:pt idx="1">
                  <c:v>253.75</c:v>
                </c:pt>
                <c:pt idx="2">
                  <c:v>253.75</c:v>
                </c:pt>
              </c:numCache>
            </c:numRef>
          </c:xVal>
          <c:yVal>
            <c:numRef>
              <c:f>Stabilito!$C$140:$C$142</c:f>
              <c:numCache>
                <c:formatCode>0</c:formatCode>
                <c:ptCount val="3"/>
                <c:pt idx="0">
                  <c:v>-805</c:v>
                </c:pt>
                <c:pt idx="1">
                  <c:v>-910</c:v>
                </c:pt>
                <c:pt idx="2">
                  <c:v>-1015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535-4F59-84CA-EEBAEE08982C}"/>
            </c:ext>
          </c:extLst>
        </c:ser>
        <c:ser>
          <c:idx val="18"/>
          <c:order val="18"/>
          <c:tx>
            <c:strRef>
              <c:f>Stabilito!$B$155</c:f>
              <c:strCache>
                <c:ptCount val="1"/>
                <c:pt idx="0">
                  <c:v>Marge Statique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Stabilito!$D$155:$D$157</c:f>
              <c:numCache>
                <c:formatCode>0</c:formatCode>
                <c:ptCount val="3"/>
                <c:pt idx="0">
                  <c:v>-253.75</c:v>
                </c:pt>
                <c:pt idx="1">
                  <c:v>-253.75</c:v>
                </c:pt>
                <c:pt idx="2">
                  <c:v>-253.75</c:v>
                </c:pt>
              </c:numCache>
            </c:numRef>
          </c:xVal>
          <c:yVal>
            <c:numRef>
              <c:f>Stabilito!$C$155:$C$157</c:f>
              <c:numCache>
                <c:formatCode>0</c:formatCode>
                <c:ptCount val="3"/>
                <c:pt idx="0">
                  <c:v>-432.7026431786652</c:v>
                </c:pt>
                <c:pt idx="1">
                  <c:v>-614.41585394189406</c:v>
                </c:pt>
                <c:pt idx="2">
                  <c:v>-796.12906470512303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535-4F59-84CA-EEBAEE089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07200"/>
        <c:axId val="148708736"/>
      </c:scatterChart>
      <c:valAx>
        <c:axId val="148707200"/>
        <c:scaling>
          <c:orientation val="minMax"/>
        </c:scaling>
        <c:delete val="0"/>
        <c:axPos val="t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708736"/>
        <c:crosses val="max"/>
        <c:crossBetween val="midCat"/>
      </c:valAx>
      <c:valAx>
        <c:axId val="14870873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707200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Abaco!$B$75</c:f>
          <c:strCache>
            <c:ptCount val="1"/>
            <c:pt idx="0">
              <c:v>Vitesse max / Masse totale</c:v>
            </c:pt>
          </c:strCache>
        </c:strRef>
      </c:tx>
      <c:layout>
        <c:manualLayout>
          <c:xMode val="edge"/>
          <c:yMode val="edge"/>
          <c:x val="0.32580555555555563"/>
          <c:y val="3.2407484861159096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8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75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3.5110000000000001</c:v>
                </c:pt>
                <c:pt idx="1">
                  <c:v>4.7185000000000006</c:v>
                </c:pt>
                <c:pt idx="2">
                  <c:v>5.9260000000000002</c:v>
                </c:pt>
                <c:pt idx="3">
                  <c:v>7.1334999999999997</c:v>
                </c:pt>
                <c:pt idx="4">
                  <c:v>8.3410000000000011</c:v>
                </c:pt>
                <c:pt idx="5">
                  <c:v>9.5485000000000007</c:v>
                </c:pt>
                <c:pt idx="6">
                  <c:v>10.756</c:v>
                </c:pt>
                <c:pt idx="7">
                  <c:v>11.9635</c:v>
                </c:pt>
                <c:pt idx="8">
                  <c:v>13.170999999999999</c:v>
                </c:pt>
              </c:numCache>
            </c:numRef>
          </c:xVal>
          <c:yVal>
            <c:numRef>
              <c:f>Abaco!$K$41:$K$49</c:f>
              <c:numCache>
                <c:formatCode>General" m/s"</c:formatCode>
                <c:ptCount val="9"/>
                <c:pt idx="0">
                  <c:v>720.40587937186433</c:v>
                </c:pt>
                <c:pt idx="1">
                  <c:v>637.86511185105155</c:v>
                </c:pt>
                <c:pt idx="2">
                  <c:v>549.04869109886272</c:v>
                </c:pt>
                <c:pt idx="3">
                  <c:v>471.20855149631905</c:v>
                </c:pt>
                <c:pt idx="4">
                  <c:v>407.12660690923752</c:v>
                </c:pt>
                <c:pt idx="5">
                  <c:v>355.09189399212386</c:v>
                </c:pt>
                <c:pt idx="6">
                  <c:v>312.67696797827983</c:v>
                </c:pt>
                <c:pt idx="7">
                  <c:v>277.7547570099245</c:v>
                </c:pt>
                <c:pt idx="8">
                  <c:v>248.66062967107226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5-471B-B048-B774D8756BF8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104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3.5110000000000001</c:v>
                </c:pt>
                <c:pt idx="1">
                  <c:v>4.7185000000000006</c:v>
                </c:pt>
                <c:pt idx="2">
                  <c:v>5.9260000000000002</c:v>
                </c:pt>
                <c:pt idx="3">
                  <c:v>7.1334999999999997</c:v>
                </c:pt>
                <c:pt idx="4">
                  <c:v>8.3410000000000011</c:v>
                </c:pt>
                <c:pt idx="5">
                  <c:v>9.5485000000000007</c:v>
                </c:pt>
                <c:pt idx="6">
                  <c:v>10.756</c:v>
                </c:pt>
                <c:pt idx="7">
                  <c:v>11.9635</c:v>
                </c:pt>
                <c:pt idx="8">
                  <c:v>13.170999999999999</c:v>
                </c:pt>
              </c:numCache>
            </c:numRef>
          </c:xVal>
          <c:yVal>
            <c:numRef>
              <c:f>Abaco!$K$50:$K$58</c:f>
              <c:numCache>
                <c:formatCode>General" m/s"</c:formatCode>
                <c:ptCount val="9"/>
                <c:pt idx="0">
                  <c:v>539.09786790963688</c:v>
                </c:pt>
                <c:pt idx="1">
                  <c:v>508.93107553980553</c:v>
                </c:pt>
                <c:pt idx="2">
                  <c:v>464.0742528628312</c:v>
                </c:pt>
                <c:pt idx="3">
                  <c:v>415.72065287408253</c:v>
                </c:pt>
                <c:pt idx="4">
                  <c:v>370.26798125795727</c:v>
                </c:pt>
                <c:pt idx="5">
                  <c:v>329.97914313122328</c:v>
                </c:pt>
                <c:pt idx="6">
                  <c:v>295.10938570510922</c:v>
                </c:pt>
                <c:pt idx="7">
                  <c:v>265.15735425100416</c:v>
                </c:pt>
                <c:pt idx="8">
                  <c:v>239.42358987879973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5-471B-B048-B774D8756BF8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156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3.5110000000000001</c:v>
                </c:pt>
                <c:pt idx="1">
                  <c:v>4.7185000000000006</c:v>
                </c:pt>
                <c:pt idx="2">
                  <c:v>5.9260000000000002</c:v>
                </c:pt>
                <c:pt idx="3">
                  <c:v>7.1334999999999997</c:v>
                </c:pt>
                <c:pt idx="4">
                  <c:v>8.3410000000000011</c:v>
                </c:pt>
                <c:pt idx="5">
                  <c:v>9.5485000000000007</c:v>
                </c:pt>
                <c:pt idx="6">
                  <c:v>10.756</c:v>
                </c:pt>
                <c:pt idx="7">
                  <c:v>11.9635</c:v>
                </c:pt>
                <c:pt idx="8">
                  <c:v>13.170999999999999</c:v>
                </c:pt>
              </c:numCache>
            </c:numRef>
          </c:xVal>
          <c:yVal>
            <c:numRef>
              <c:f>Abaco!$K$59:$K$67</c:f>
              <c:numCache>
                <c:formatCode>General" m/s"</c:formatCode>
                <c:ptCount val="9"/>
                <c:pt idx="0">
                  <c:v>363.24076561679539</c:v>
                </c:pt>
                <c:pt idx="1">
                  <c:v>356.90765030256699</c:v>
                </c:pt>
                <c:pt idx="2">
                  <c:v>344.16399043387759</c:v>
                </c:pt>
                <c:pt idx="3">
                  <c:v>325.63370828222946</c:v>
                </c:pt>
                <c:pt idx="4">
                  <c:v>303.83209997544554</c:v>
                </c:pt>
                <c:pt idx="5">
                  <c:v>281.07338346549335</c:v>
                </c:pt>
                <c:pt idx="6">
                  <c:v>258.86585644288778</c:v>
                </c:pt>
                <c:pt idx="7">
                  <c:v>238.01037070023634</c:v>
                </c:pt>
                <c:pt idx="8">
                  <c:v>218.84205418112361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85-471B-B048-B774D875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67904"/>
        <c:axId val="193469824"/>
      </c:scatterChart>
      <c:valAx>
        <c:axId val="193467904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2650918629"/>
              <c:y val="0.80923605680929611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469824"/>
        <c:crosses val="autoZero"/>
        <c:crossBetween val="midCat"/>
      </c:valAx>
      <c:valAx>
        <c:axId val="193469824"/>
        <c:scaling>
          <c:orientation val="minMax"/>
        </c:scaling>
        <c:delete val="0"/>
        <c:axPos val="l"/>
        <c:majorGridlines/>
        <c:title>
          <c:tx>
            <c:strRef>
              <c:f>Abaco!$B$74</c:f>
              <c:strCache>
                <c:ptCount val="1"/>
                <c:pt idx="0">
                  <c:v>Vitesse max</c:v>
                </c:pt>
              </c:strCache>
            </c:strRef>
          </c:tx>
          <c:layout>
            <c:manualLayout>
              <c:xMode val="edge"/>
              <c:yMode val="edge"/>
              <c:x val="0.14166666666666666"/>
              <c:y val="5.803422378207343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m/s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467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944466316710431"/>
          <c:y val="0.18706733829172051"/>
          <c:w val="0.20833333333333343"/>
          <c:h val="0.24711352766816386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Abaco!$B$77</c:f>
          <c:strCache>
            <c:ptCount val="1"/>
            <c:pt idx="0">
              <c:v>Altitude max / Masse totale</c:v>
            </c:pt>
          </c:strCache>
        </c:strRef>
      </c:tx>
      <c:layout>
        <c:manualLayout>
          <c:xMode val="edge"/>
          <c:yMode val="edge"/>
          <c:x val="0.32580555555555563"/>
          <c:y val="3.2407517456544362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8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75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3.5110000000000001</c:v>
                </c:pt>
                <c:pt idx="1">
                  <c:v>4.7185000000000006</c:v>
                </c:pt>
                <c:pt idx="2">
                  <c:v>5.9260000000000002</c:v>
                </c:pt>
                <c:pt idx="3">
                  <c:v>7.1334999999999997</c:v>
                </c:pt>
                <c:pt idx="4">
                  <c:v>8.3410000000000011</c:v>
                </c:pt>
                <c:pt idx="5">
                  <c:v>9.5485000000000007</c:v>
                </c:pt>
                <c:pt idx="6">
                  <c:v>10.756</c:v>
                </c:pt>
                <c:pt idx="7">
                  <c:v>11.9635</c:v>
                </c:pt>
                <c:pt idx="8">
                  <c:v>13.170999999999999</c:v>
                </c:pt>
              </c:numCache>
            </c:numRef>
          </c:xVal>
          <c:yVal>
            <c:numRef>
              <c:f>Abaco!$L$41:$L$49</c:f>
              <c:numCache>
                <c:formatCode>General" m"</c:formatCode>
                <c:ptCount val="9"/>
                <c:pt idx="0">
                  <c:v>4565.8665325686015</c:v>
                </c:pt>
                <c:pt idx="1">
                  <c:v>4979.5599344711782</c:v>
                </c:pt>
                <c:pt idx="2">
                  <c:v>5073.551234990623</c:v>
                </c:pt>
                <c:pt idx="3">
                  <c:v>4929.3412029104202</c:v>
                </c:pt>
                <c:pt idx="4">
                  <c:v>4623.8506917730519</c:v>
                </c:pt>
                <c:pt idx="5">
                  <c:v>4225.2492424414777</c:v>
                </c:pt>
                <c:pt idx="6">
                  <c:v>3788.3446024834839</c:v>
                </c:pt>
                <c:pt idx="7">
                  <c:v>3352.5275961881584</c:v>
                </c:pt>
                <c:pt idx="8">
                  <c:v>2942.5356307709699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3-4D65-B3FC-606C75B7CC88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104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3.5110000000000001</c:v>
                </c:pt>
                <c:pt idx="1">
                  <c:v>4.7185000000000006</c:v>
                </c:pt>
                <c:pt idx="2">
                  <c:v>5.9260000000000002</c:v>
                </c:pt>
                <c:pt idx="3">
                  <c:v>7.1334999999999997</c:v>
                </c:pt>
                <c:pt idx="4">
                  <c:v>8.3410000000000011</c:v>
                </c:pt>
                <c:pt idx="5">
                  <c:v>9.5485000000000007</c:v>
                </c:pt>
                <c:pt idx="6">
                  <c:v>10.756</c:v>
                </c:pt>
                <c:pt idx="7">
                  <c:v>11.9635</c:v>
                </c:pt>
                <c:pt idx="8">
                  <c:v>13.170999999999999</c:v>
                </c:pt>
              </c:numCache>
            </c:numRef>
          </c:xVal>
          <c:yVal>
            <c:numRef>
              <c:f>Abaco!$L$50:$L$58</c:f>
              <c:numCache>
                <c:formatCode>General" m"</c:formatCode>
                <c:ptCount val="9"/>
                <c:pt idx="0">
                  <c:v>3090.9606477392999</c:v>
                </c:pt>
                <c:pt idx="1">
                  <c:v>3332.2228132016371</c:v>
                </c:pt>
                <c:pt idx="2">
                  <c:v>3432.3482536806018</c:v>
                </c:pt>
                <c:pt idx="3">
                  <c:v>3417.2372095604987</c:v>
                </c:pt>
                <c:pt idx="4">
                  <c:v>3311.0409807494061</c:v>
                </c:pt>
                <c:pt idx="5">
                  <c:v>3138.1347015495612</c:v>
                </c:pt>
                <c:pt idx="6">
                  <c:v>2921.5606932092228</c:v>
                </c:pt>
                <c:pt idx="7">
                  <c:v>2681.5162440913773</c:v>
                </c:pt>
                <c:pt idx="8">
                  <c:v>2434.3480609151143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73-4D65-B3FC-606C75B7CC88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156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3.5110000000000001</c:v>
                </c:pt>
                <c:pt idx="1">
                  <c:v>4.7185000000000006</c:v>
                </c:pt>
                <c:pt idx="2">
                  <c:v>5.9260000000000002</c:v>
                </c:pt>
                <c:pt idx="3">
                  <c:v>7.1334999999999997</c:v>
                </c:pt>
                <c:pt idx="4">
                  <c:v>8.3410000000000011</c:v>
                </c:pt>
                <c:pt idx="5">
                  <c:v>9.5485000000000007</c:v>
                </c:pt>
                <c:pt idx="6">
                  <c:v>10.756</c:v>
                </c:pt>
                <c:pt idx="7">
                  <c:v>11.9635</c:v>
                </c:pt>
                <c:pt idx="8">
                  <c:v>13.170999999999999</c:v>
                </c:pt>
              </c:numCache>
            </c:numRef>
          </c:xVal>
          <c:yVal>
            <c:numRef>
              <c:f>Abaco!$L$59:$L$67</c:f>
              <c:numCache>
                <c:formatCode>General" m"</c:formatCode>
                <c:ptCount val="9"/>
                <c:pt idx="0">
                  <c:v>1941.4938071543661</c:v>
                </c:pt>
                <c:pt idx="1">
                  <c:v>2051.3977178004347</c:v>
                </c:pt>
                <c:pt idx="2">
                  <c:v>2109.9174564465311</c:v>
                </c:pt>
                <c:pt idx="3">
                  <c:v>2126.4736540295921</c:v>
                </c:pt>
                <c:pt idx="4">
                  <c:v>2106.54034514148</c:v>
                </c:pt>
                <c:pt idx="5">
                  <c:v>2055.479811964316</c:v>
                </c:pt>
                <c:pt idx="6">
                  <c:v>1979.0430222193672</c:v>
                </c:pt>
                <c:pt idx="7">
                  <c:v>1883.1630744626998</c:v>
                </c:pt>
                <c:pt idx="8">
                  <c:v>1773.6342853711528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73-4D65-B3FC-606C75B7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12576"/>
        <c:axId val="193514496"/>
      </c:scatterChart>
      <c:valAx>
        <c:axId val="193512576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2650918629"/>
              <c:y val="0.8092359976229385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514496"/>
        <c:crosses val="autoZero"/>
        <c:crossBetween val="midCat"/>
      </c:valAx>
      <c:valAx>
        <c:axId val="193514496"/>
        <c:scaling>
          <c:orientation val="minMax"/>
        </c:scaling>
        <c:delete val="0"/>
        <c:axPos val="l"/>
        <c:majorGridlines/>
        <c:title>
          <c:tx>
            <c:strRef>
              <c:f>Abaco!$B$76</c:f>
              <c:strCache>
                <c:ptCount val="1"/>
                <c:pt idx="0">
                  <c:v>Altitude max</c:v>
                </c:pt>
              </c:strCache>
            </c:strRef>
          </c:tx>
          <c:layout>
            <c:manualLayout>
              <c:xMode val="edge"/>
              <c:yMode val="edge"/>
              <c:x val="0.14166666666666666"/>
              <c:y val="5.8034467389689502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m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51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944466316710431"/>
          <c:y val="0.18396263556678061"/>
          <c:w val="0.20833333333333343"/>
          <c:h val="0.2523588619818750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Abaco!$B$79</c:f>
          <c:strCache>
            <c:ptCount val="1"/>
            <c:pt idx="0">
              <c:v>Temps de culmination / Masse totale</c:v>
            </c:pt>
          </c:strCache>
        </c:strRef>
      </c:tx>
      <c:layout>
        <c:manualLayout>
          <c:xMode val="edge"/>
          <c:yMode val="edge"/>
          <c:x val="0.18369438576275529"/>
          <c:y val="3.2407517456544362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8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75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3.5110000000000001</c:v>
                </c:pt>
                <c:pt idx="1">
                  <c:v>4.7185000000000006</c:v>
                </c:pt>
                <c:pt idx="2">
                  <c:v>5.9260000000000002</c:v>
                </c:pt>
                <c:pt idx="3">
                  <c:v>7.1334999999999997</c:v>
                </c:pt>
                <c:pt idx="4">
                  <c:v>8.3410000000000011</c:v>
                </c:pt>
                <c:pt idx="5">
                  <c:v>9.5485000000000007</c:v>
                </c:pt>
                <c:pt idx="6">
                  <c:v>10.756</c:v>
                </c:pt>
                <c:pt idx="7">
                  <c:v>11.9635</c:v>
                </c:pt>
                <c:pt idx="8">
                  <c:v>13.170999999999999</c:v>
                </c:pt>
              </c:numCache>
            </c:numRef>
          </c:xVal>
          <c:yVal>
            <c:numRef>
              <c:f>Abaco!$M$41:$M$49</c:f>
              <c:numCache>
                <c:formatCode>General" s"</c:formatCode>
                <c:ptCount val="9"/>
                <c:pt idx="0">
                  <c:v>20.462214926687707</c:v>
                </c:pt>
                <c:pt idx="1">
                  <c:v>24.436532842736451</c:v>
                </c:pt>
                <c:pt idx="2">
                  <c:v>26.84074115262451</c:v>
                </c:pt>
                <c:pt idx="3">
                  <c:v>28.129628029271313</c:v>
                </c:pt>
                <c:pt idx="4">
                  <c:v>28.564141403134315</c:v>
                </c:pt>
                <c:pt idx="5">
                  <c:v>28.35244480468948</c:v>
                </c:pt>
                <c:pt idx="6">
                  <c:v>27.678311367761143</c:v>
                </c:pt>
                <c:pt idx="7">
                  <c:v>26.700950638082315</c:v>
                </c:pt>
                <c:pt idx="8">
                  <c:v>25.549511212619315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E-4D16-B659-8F15E40A2BDD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104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3.5110000000000001</c:v>
                </c:pt>
                <c:pt idx="1">
                  <c:v>4.7185000000000006</c:v>
                </c:pt>
                <c:pt idx="2">
                  <c:v>5.9260000000000002</c:v>
                </c:pt>
                <c:pt idx="3">
                  <c:v>7.1334999999999997</c:v>
                </c:pt>
                <c:pt idx="4">
                  <c:v>8.3410000000000011</c:v>
                </c:pt>
                <c:pt idx="5">
                  <c:v>9.5485000000000007</c:v>
                </c:pt>
                <c:pt idx="6">
                  <c:v>10.756</c:v>
                </c:pt>
                <c:pt idx="7">
                  <c:v>11.9635</c:v>
                </c:pt>
                <c:pt idx="8">
                  <c:v>13.170999999999999</c:v>
                </c:pt>
              </c:numCache>
            </c:numRef>
          </c:xVal>
          <c:yVal>
            <c:numRef>
              <c:f>Abaco!$M$50:$M$58</c:f>
              <c:numCache>
                <c:formatCode>General" s"</c:formatCode>
                <c:ptCount val="9"/>
                <c:pt idx="0">
                  <c:v>16.104459543837429</c:v>
                </c:pt>
                <c:pt idx="1">
                  <c:v>19.146064582586625</c:v>
                </c:pt>
                <c:pt idx="2">
                  <c:v>21.194235173779788</c:v>
                </c:pt>
                <c:pt idx="3">
                  <c:v>22.542121743604781</c:v>
                </c:pt>
                <c:pt idx="4">
                  <c:v>23.332371335533246</c:v>
                </c:pt>
                <c:pt idx="5">
                  <c:v>23.665696922637014</c:v>
                </c:pt>
                <c:pt idx="6">
                  <c:v>23.628860494009764</c:v>
                </c:pt>
                <c:pt idx="7">
                  <c:v>23.30229811789911</c:v>
                </c:pt>
                <c:pt idx="8">
                  <c:v>22.760390428196779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E-4D16-B659-8F15E40A2BDD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156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3.5110000000000001</c:v>
                </c:pt>
                <c:pt idx="1">
                  <c:v>4.7185000000000006</c:v>
                </c:pt>
                <c:pt idx="2">
                  <c:v>5.9260000000000002</c:v>
                </c:pt>
                <c:pt idx="3">
                  <c:v>7.1334999999999997</c:v>
                </c:pt>
                <c:pt idx="4">
                  <c:v>8.3410000000000011</c:v>
                </c:pt>
                <c:pt idx="5">
                  <c:v>9.5485000000000007</c:v>
                </c:pt>
                <c:pt idx="6">
                  <c:v>10.756</c:v>
                </c:pt>
                <c:pt idx="7">
                  <c:v>11.9635</c:v>
                </c:pt>
                <c:pt idx="8">
                  <c:v>13.170999999999999</c:v>
                </c:pt>
              </c:numCache>
            </c:numRef>
          </c:xVal>
          <c:yVal>
            <c:numRef>
              <c:f>Abaco!$M$59:$M$67</c:f>
              <c:numCache>
                <c:formatCode>General" s"</c:formatCode>
                <c:ptCount val="9"/>
                <c:pt idx="0">
                  <c:v>12.304372550295348</c:v>
                </c:pt>
                <c:pt idx="1">
                  <c:v>14.392095532232315</c:v>
                </c:pt>
                <c:pt idx="2">
                  <c:v>15.902056323499952</c:v>
                </c:pt>
                <c:pt idx="3">
                  <c:v>17.027632464427974</c:v>
                </c:pt>
                <c:pt idx="4">
                  <c:v>17.847320586788012</c:v>
                </c:pt>
                <c:pt idx="5">
                  <c:v>18.406445765973963</c:v>
                </c:pt>
                <c:pt idx="6">
                  <c:v>18.738760578562861</c:v>
                </c:pt>
                <c:pt idx="7">
                  <c:v>18.873837465377967</c:v>
                </c:pt>
                <c:pt idx="8">
                  <c:v>18.839851234074281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CE-4D16-B659-8F15E40A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78976"/>
        <c:axId val="195680896"/>
      </c:scatterChart>
      <c:valAx>
        <c:axId val="195678976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4251328334"/>
              <c:y val="0.8092359976229385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5680896"/>
        <c:crosses val="autoZero"/>
        <c:crossBetween val="midCat"/>
      </c:valAx>
      <c:valAx>
        <c:axId val="195680896"/>
        <c:scaling>
          <c:orientation val="minMax"/>
        </c:scaling>
        <c:delete val="0"/>
        <c:axPos val="l"/>
        <c:majorGridlines/>
        <c:title>
          <c:tx>
            <c:strRef>
              <c:f>Abaco!$B$78</c:f>
              <c:strCache>
                <c:ptCount val="1"/>
                <c:pt idx="0">
                  <c:v>Temps de culmination</c:v>
                </c:pt>
              </c:strCache>
            </c:strRef>
          </c:tx>
          <c:layout>
            <c:manualLayout>
              <c:xMode val="edge"/>
              <c:yMode val="edge"/>
              <c:x val="0.14166677336064695"/>
              <c:y val="5.8034467389689502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s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5678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357744916031841"/>
          <c:y val="0.18396263556678061"/>
          <c:w val="0.20325203252032525"/>
          <c:h val="0.2523588619818750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Stabilito!$B$117</c:f>
          <c:strCache>
            <c:ptCount val="1"/>
            <c:pt idx="0">
              <c:v>Diagramme des critères de stabilité</c:v>
            </c:pt>
          </c:strCache>
        </c:strRef>
      </c:tx>
      <c:layout>
        <c:manualLayout>
          <c:xMode val="edge"/>
          <c:yMode val="edge"/>
          <c:x val="0.19620910443519407"/>
          <c:y val="8.021417322834646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092838196286504E-2"/>
          <c:y val="5.8823683008029475E-2"/>
          <c:w val="0.93899204244031864"/>
          <c:h val="0.82887916965859743"/>
        </c:manualLayout>
      </c:layout>
      <c:scatterChart>
        <c:scatterStyle val="smoothMarker"/>
        <c:varyColors val="0"/>
        <c:ser>
          <c:idx val="0"/>
          <c:order val="0"/>
          <c:tx>
            <c:v>Cna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Stabilito!$B$182:$B$183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Stabilito!$C$182:$C$183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2B-4801-8589-0A76F8F3832F}"/>
            </c:ext>
          </c:extLst>
        </c:ser>
        <c:ser>
          <c:idx val="1"/>
          <c:order val="1"/>
          <c:tx>
            <c:v>Cna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Stabilito!$B$184:$B$185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Stabilito!$C$184:$C$185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2B-4801-8589-0A76F8F3832F}"/>
            </c:ext>
          </c:extLst>
        </c:ser>
        <c:ser>
          <c:idx val="2"/>
          <c:order val="2"/>
          <c:tx>
            <c:v>MS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Stabilito!$B$186:$B$187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Stabilito!$C$186:$C$187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2B-4801-8589-0A76F8F3832F}"/>
            </c:ext>
          </c:extLst>
        </c:ser>
        <c:ser>
          <c:idx val="3"/>
          <c:order val="3"/>
          <c:tx>
            <c:v>MS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Stabilito!$B$188:$B$189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Stabilito!$C$188:$C$189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2B-4801-8589-0A76F8F3832F}"/>
            </c:ext>
          </c:extLst>
        </c:ser>
        <c:ser>
          <c:idx val="5"/>
          <c:order val="6"/>
          <c:tx>
            <c:v>MS*Cna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Stabilito!$D$182:$D$187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</c:numCache>
            </c:numRef>
          </c:xVal>
          <c:yVal>
            <c:numRef>
              <c:f>Stabilito!$E$182:$E$187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13.333333333333334</c:v>
                </c:pt>
                <c:pt idx="4">
                  <c:v>8</c:v>
                </c:pt>
                <c:pt idx="5">
                  <c:v>5.7142857142857144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2B-4801-8589-0A76F8F3832F}"/>
            </c:ext>
          </c:extLst>
        </c:ser>
        <c:ser>
          <c:idx val="6"/>
          <c:order val="7"/>
          <c:tx>
            <c:v>MS*Cna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Stabilito!$D$188:$D$193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Stabilito!$E$188:$E$193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33.333333333333336</c:v>
                </c:pt>
                <c:pt idx="3">
                  <c:v>25</c:v>
                </c:pt>
                <c:pt idx="4">
                  <c:v>16.666666666666668</c:v>
                </c:pt>
                <c:pt idx="5">
                  <c:v>14.285714285714286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2B-4801-8589-0A76F8F3832F}"/>
            </c:ext>
          </c:extLst>
        </c:ser>
        <c:ser>
          <c:idx val="7"/>
          <c:order val="8"/>
          <c:tx>
            <c:v>Cna moy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Stabilito!$B$195:$B$196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Stabilito!$C$195:$C$196</c:f>
              <c:numCache>
                <c:formatCode>General</c:formatCode>
                <c:ptCount val="2"/>
                <c:pt idx="0">
                  <c:v>27.5</c:v>
                </c:pt>
                <c:pt idx="1">
                  <c:v>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2B-4801-8589-0A76F8F3832F}"/>
            </c:ext>
          </c:extLst>
        </c:ser>
        <c:ser>
          <c:idx val="8"/>
          <c:order val="9"/>
          <c:tx>
            <c:v>Cna moy2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Stabilito!$B$197:$B$198</c:f>
              <c:numCache>
                <c:formatCode>General</c:formatCode>
                <c:ptCount val="2"/>
                <c:pt idx="0">
                  <c:v>3.6363636363636362</c:v>
                </c:pt>
                <c:pt idx="1">
                  <c:v>7</c:v>
                </c:pt>
              </c:numCache>
            </c:numRef>
          </c:xVal>
          <c:yVal>
            <c:numRef>
              <c:f>Stabilito!$C$197:$C$198</c:f>
              <c:numCache>
                <c:formatCode>General</c:formatCode>
                <c:ptCount val="2"/>
                <c:pt idx="0">
                  <c:v>27.5</c:v>
                </c:pt>
                <c:pt idx="1">
                  <c:v>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2B-4801-8589-0A76F8F3832F}"/>
            </c:ext>
          </c:extLst>
        </c:ser>
        <c:ser>
          <c:idx val="9"/>
          <c:order val="10"/>
          <c:tx>
            <c:v>MS moy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Stabilito!$B$199:$B$200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Stabilito!$C$199:$C$200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2B-4801-8589-0A76F8F3832F}"/>
            </c:ext>
          </c:extLst>
        </c:ser>
        <c:ser>
          <c:idx val="10"/>
          <c:order val="11"/>
          <c:tx>
            <c:v>MS moy2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Stabilito!$B$201:$B$202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Stabilito!$C$201:$C$202</c:f>
              <c:numCache>
                <c:formatCode>General</c:formatCode>
                <c:ptCount val="2"/>
                <c:pt idx="0">
                  <c:v>25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2B-4801-8589-0A76F8F3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1168"/>
        <c:axId val="148481536"/>
      </c:scatterChart>
      <c:scatterChart>
        <c:scatterStyle val="lineMarker"/>
        <c:varyColors val="0"/>
        <c:ser>
          <c:idx val="4"/>
          <c:order val="4"/>
          <c:tx>
            <c:v>Fusée en cours</c:v>
          </c:tx>
          <c:spPr>
            <a:ln w="25400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Stabilito!$B$190:$B$193</c:f>
              <c:numCache>
                <c:formatCode>0.00</c:formatCode>
                <c:ptCount val="4"/>
                <c:pt idx="0">
                  <c:v>3.0575338327647392</c:v>
                </c:pt>
                <c:pt idx="1">
                  <c:v>3.0575338327647392</c:v>
                </c:pt>
                <c:pt idx="2">
                  <c:v>3.9314358119748345</c:v>
                </c:pt>
                <c:pt idx="3">
                  <c:v>3.9314358119748345</c:v>
                </c:pt>
              </c:numCache>
            </c:numRef>
          </c:xVal>
          <c:yVal>
            <c:numRef>
              <c:f>Stabilito!$C$190:$C$193</c:f>
              <c:numCache>
                <c:formatCode>0.00</c:formatCode>
                <c:ptCount val="4"/>
                <c:pt idx="0">
                  <c:v>19.112319228174467</c:v>
                </c:pt>
                <c:pt idx="1">
                  <c:v>19.112319228174467</c:v>
                </c:pt>
                <c:pt idx="2">
                  <c:v>19.112319228174467</c:v>
                </c:pt>
                <c:pt idx="3">
                  <c:v>19.112319228174467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2B-4801-8589-0A76F8F3832F}"/>
            </c:ext>
          </c:extLst>
        </c:ser>
        <c:ser>
          <c:idx val="11"/>
          <c:order val="5"/>
          <c:tx>
            <c:v>Fusée en cours0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Stabilito!$B$193:$B$194</c:f>
              <c:numCache>
                <c:formatCode>0.00</c:formatCode>
                <c:ptCount val="2"/>
                <c:pt idx="0">
                  <c:v>3.9314358119748345</c:v>
                </c:pt>
                <c:pt idx="1">
                  <c:v>3.0575338327647392</c:v>
                </c:pt>
              </c:numCache>
            </c:numRef>
          </c:xVal>
          <c:yVal>
            <c:numRef>
              <c:f>Stabilito!$C$193:$C$194</c:f>
              <c:numCache>
                <c:formatCode>0.00</c:formatCode>
                <c:ptCount val="2"/>
                <c:pt idx="0">
                  <c:v>19.112319228174467</c:v>
                </c:pt>
                <c:pt idx="1">
                  <c:v>19.112319228174467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2B-4801-8589-0A76F8F3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1168"/>
        <c:axId val="148481536"/>
      </c:scatterChart>
      <c:valAx>
        <c:axId val="148471168"/>
        <c:scaling>
          <c:orientation val="minMax"/>
          <c:max val="7"/>
          <c:min val="0"/>
        </c:scaling>
        <c:delete val="0"/>
        <c:axPos val="b"/>
        <c:title>
          <c:tx>
            <c:strRef>
              <c:f>Stabilito!$B$118</c:f>
              <c:strCache>
                <c:ptCount val="1"/>
                <c:pt idx="0">
                  <c:v>Marge Statique (MS)</c:v>
                </c:pt>
              </c:strCache>
            </c:strRef>
          </c:tx>
          <c:layout>
            <c:manualLayout>
              <c:xMode val="edge"/>
              <c:yMode val="edge"/>
              <c:x val="0.51717271009913568"/>
              <c:y val="0.73094047244094495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481536"/>
        <c:crosses val="autoZero"/>
        <c:crossBetween val="midCat"/>
      </c:valAx>
      <c:valAx>
        <c:axId val="148481536"/>
        <c:scaling>
          <c:orientation val="minMax"/>
          <c:max val="55"/>
          <c:min val="0"/>
        </c:scaling>
        <c:delete val="0"/>
        <c:axPos val="l"/>
        <c:title>
          <c:tx>
            <c:strRef>
              <c:f>Stabilito!$B$119</c:f>
              <c:strCache>
                <c:ptCount val="1"/>
                <c:pt idx="0">
                  <c:v>Portance Cnα</c:v>
                </c:pt>
              </c:strCache>
            </c:strRef>
          </c:tx>
          <c:layout>
            <c:manualLayout>
              <c:xMode val="edge"/>
              <c:yMode val="edge"/>
              <c:x val="6.9119481083972797E-2"/>
              <c:y val="0.24099905511811029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471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Trajecto!$B$110</c:f>
          <c:strCache>
            <c:ptCount val="1"/>
            <c:pt idx="0">
              <c:v>Trajectoire (x z)</c:v>
            </c:pt>
          </c:strCache>
        </c:strRef>
      </c:tx>
      <c:layout>
        <c:manualLayout>
          <c:xMode val="edge"/>
          <c:yMode val="edge"/>
          <c:x val="0.66868786671936287"/>
          <c:y val="3.857574406972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697175950449913E-2"/>
          <c:y val="3.5608360198500402E-2"/>
          <c:w val="0.89697235136230857"/>
          <c:h val="0.89614373166225958"/>
        </c:manualLayout>
      </c:layout>
      <c:scatterChart>
        <c:scatterStyle val="lineMarker"/>
        <c:varyColors val="0"/>
        <c:ser>
          <c:idx val="0"/>
          <c:order val="0"/>
          <c:tx>
            <c:v>Point invisible pour mise à l'echelle</c:v>
          </c:tx>
          <c:spPr>
            <a:ln w="3175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Trajecto!$B$120</c:f>
              <c:numCache>
                <c:formatCode>0</c:formatCode>
                <c:ptCount val="1"/>
                <c:pt idx="0">
                  <c:v>3041.5232658427863</c:v>
                </c:pt>
              </c:numCache>
            </c:numRef>
          </c:xVal>
          <c:yVal>
            <c:numRef>
              <c:f>Trajecto!$C$118</c:f>
              <c:numCache>
                <c:formatCode>0</c:formatCode>
                <c:ptCount val="1"/>
                <c:pt idx="0">
                  <c:v>3041.5232658427863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2-4CA2-BA56-E0E46E48A268}"/>
            </c:ext>
          </c:extLst>
        </c:ser>
        <c:ser>
          <c:idx val="1"/>
          <c:order val="1"/>
          <c:tx>
            <c:v>1 point par seconde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Calculs!$AD$4:$AD$1004</c:f>
              <c:numCache>
                <c:formatCode>0</c:formatCode>
                <c:ptCount val="100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5.3344906363211049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22.404439018873539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49.834184244678383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84.519272718922736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121.99558376322612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155.21860879454582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184.64712293004231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211.23558620918413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235.62719941320441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258.27816515632287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279.52537356154147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299.62596452823254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318.78177556414937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337.1551481977076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354.87953668435006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372.06685104395632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388.8126611529575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405.19992669595848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421.30161345682609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437.18227073899283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452.89814679397318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468.49413952905536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483.99434755223444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499.39171802037254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514.65405933131012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529.73822268176457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544.59825126543728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559.18890279903144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573.46739451508415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587.39442819594842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600.93484495935888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614.05803952492238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626.73819150862801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638.95434619190098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650.6903684491283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661.93479061953417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672.68057413463021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682.92480409106292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692.66833508244054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701.91540529202075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710.67323411938719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718.95161657582855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726.76252547327988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734.11973018680385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741.03843860780455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747.53496691406508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753.6264400234553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759.33052410348557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764.66519128827554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769.64851579957895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774.29849995815107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778.63292807714708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7.9551017983196934E-4</c:v>
                </c:pt>
                <c:pt idx="2">
                  <c:v>4.5969806451097925E-3</c:v>
                </c:pt>
                <c:pt idx="3">
                  <c:v>1.3406949949768451E-2</c:v>
                </c:pt>
                <c:pt idx="4">
                  <c:v>2.8401219250121523E-2</c:v>
                </c:pt>
                <c:pt idx="5">
                  <c:v>5.0756894473462134E-2</c:v>
                </c:pt>
                <c:pt idx="6">
                  <c:v>8.1652578986609478E-2</c:v>
                </c:pt>
                <c:pt idx="7">
                  <c:v>0.12226856376226272</c:v>
                </c:pt>
                <c:pt idx="8">
                  <c:v>0.17378701513006151</c:v>
                </c:pt>
                <c:pt idx="9">
                  <c:v>0.23739216019483012</c:v>
                </c:pt>
                <c:pt idx="10">
                  <c:v>0.31427047000019614</c:v>
                </c:pt>
                <c:pt idx="11">
                  <c:v>0.40527228320445341</c:v>
                </c:pt>
                <c:pt idx="12">
                  <c:v>0.51057232448723888</c:v>
                </c:pt>
                <c:pt idx="13">
                  <c:v>0.63000415809525101</c:v>
                </c:pt>
                <c:pt idx="14">
                  <c:v>0.76339565266121023</c:v>
                </c:pt>
                <c:pt idx="15">
                  <c:v>0.91057155858677497</c:v>
                </c:pt>
                <c:pt idx="16">
                  <c:v>1.0713560932387671</c:v>
                </c:pt>
                <c:pt idx="17">
                  <c:v>1.2455729506424484</c:v>
                </c:pt>
                <c:pt idx="18">
                  <c:v>1.4330453111800932</c:v>
                </c:pt>
                <c:pt idx="19">
                  <c:v>1.6335958512925897</c:v>
                </c:pt>
                <c:pt idx="20">
                  <c:v>1.8470467531818142</c:v>
                </c:pt>
                <c:pt idx="21">
                  <c:v>2.0732197145115308</c:v>
                </c:pt>
                <c:pt idx="22">
                  <c:v>2.3119359581045873</c:v>
                </c:pt>
                <c:pt idx="23">
                  <c:v>2.5630162416341902</c:v>
                </c:pt>
                <c:pt idx="24">
                  <c:v>2.8262808673070552</c:v>
                </c:pt>
                <c:pt idx="25">
                  <c:v>3.1015496915362473</c:v>
                </c:pt>
                <c:pt idx="26">
                  <c:v>3.3886421346015396</c:v>
                </c:pt>
                <c:pt idx="27">
                  <c:v>3.6874228307268293</c:v>
                </c:pt>
                <c:pt idx="28">
                  <c:v>3.9978473810024013</c:v>
                </c:pt>
                <c:pt idx="29">
                  <c:v>4.3199131395194454</c:v>
                </c:pt>
                <c:pt idx="30">
                  <c:v>4.6536172071448449</c:v>
                </c:pt>
                <c:pt idx="31">
                  <c:v>4.9989601612126009</c:v>
                </c:pt>
                <c:pt idx="32">
                  <c:v>5.3559424720361681</c:v>
                </c:pt>
                <c:pt idx="33">
                  <c:v>5.7245645047271552</c:v>
                </c:pt>
                <c:pt idx="34">
                  <c:v>6.1048265185892134</c:v>
                </c:pt>
                <c:pt idx="35">
                  <c:v>6.4967286665539499</c:v>
                </c:pt>
                <c:pt idx="36">
                  <c:v>6.9002709946546332</c:v>
                </c:pt>
                <c:pt idx="37">
                  <c:v>7.3154534415340731</c:v>
                </c:pt>
                <c:pt idx="38">
                  <c:v>7.7422758379835255</c:v>
                </c:pt>
                <c:pt idx="39">
                  <c:v>8.1807379065099113</c:v>
                </c:pt>
                <c:pt idx="40">
                  <c:v>8.6308392609289761</c:v>
                </c:pt>
                <c:pt idx="41">
                  <c:v>9.0925794059823275</c:v>
                </c:pt>
                <c:pt idx="42">
                  <c:v>9.5659577369765305</c:v>
                </c:pt>
                <c:pt idx="43">
                  <c:v>10.050973539442658</c:v>
                </c:pt>
                <c:pt idx="44">
                  <c:v>10.547625988814906</c:v>
                </c:pt>
                <c:pt idx="45">
                  <c:v>11.055914150126995</c:v>
                </c:pt>
                <c:pt idx="46">
                  <c:v>11.575836977725285</c:v>
                </c:pt>
                <c:pt idx="47">
                  <c:v>12.107393314997577</c:v>
                </c:pt>
                <c:pt idx="48">
                  <c:v>12.650581894116762</c:v>
                </c:pt>
                <c:pt idx="49">
                  <c:v>13.205401335798495</c:v>
                </c:pt>
                <c:pt idx="50">
                  <c:v>13.771850149072204</c:v>
                </c:pt>
                <c:pt idx="51">
                  <c:v>14.349926731064793</c:v>
                </c:pt>
                <c:pt idx="52">
                  <c:v>14.939629366796469</c:v>
                </c:pt>
                <c:pt idx="53">
                  <c:v>15.540956228988179</c:v>
                </c:pt>
                <c:pt idx="54">
                  <c:v>16.153905377880172</c:v>
                </c:pt>
                <c:pt idx="55">
                  <c:v>16.778474761061283</c:v>
                </c:pt>
                <c:pt idx="56">
                  <c:v>17.414662213308553</c:v>
                </c:pt>
                <c:pt idx="57">
                  <c:v>18.062465456436811</c:v>
                </c:pt>
                <c:pt idx="58">
                  <c:v>18.72188209915792</c:v>
                </c:pt>
                <c:pt idx="59">
                  <c:v>19.392909636949394</c:v>
                </c:pt>
                <c:pt idx="60">
                  <c:v>20.075545451932118</c:v>
                </c:pt>
                <c:pt idx="61">
                  <c:v>20.769786812756912</c:v>
                </c:pt>
                <c:pt idx="62">
                  <c:v>21.475630874499739</c:v>
                </c:pt>
                <c:pt idx="63">
                  <c:v>22.193074678565338</c:v>
                </c:pt>
                <c:pt idx="64">
                  <c:v>22.922115152599083</c:v>
                </c:pt>
                <c:pt idx="65">
                  <c:v>23.662749110406921</c:v>
                </c:pt>
                <c:pt idx="66">
                  <c:v>24.414973251883193</c:v>
                </c:pt>
                <c:pt idx="67">
                  <c:v>25.178784162946222</c:v>
                </c:pt>
                <c:pt idx="68">
                  <c:v>25.954178315481506</c:v>
                </c:pt>
                <c:pt idx="69">
                  <c:v>26.741152067292397</c:v>
                </c:pt>
                <c:pt idx="70">
                  <c:v>27.539701662058153</c:v>
                </c:pt>
                <c:pt idx="71">
                  <c:v>28.349823229299233</c:v>
                </c:pt>
                <c:pt idx="72">
                  <c:v>29.171512258083826</c:v>
                </c:pt>
                <c:pt idx="73">
                  <c:v>30.004763069772565</c:v>
                </c:pt>
                <c:pt idx="74">
                  <c:v>30.84956934302107</c:v>
                </c:pt>
                <c:pt idx="75">
                  <c:v>31.705924639788361</c:v>
                </c:pt>
                <c:pt idx="76">
                  <c:v>32.573822405397408</c:v>
                </c:pt>
                <c:pt idx="77">
                  <c:v>33.453255968602654</c:v>
                </c:pt>
                <c:pt idx="78">
                  <c:v>34.344218541664418</c:v>
                </c:pt>
                <c:pt idx="79">
                  <c:v>35.246703220430092</c:v>
                </c:pt>
                <c:pt idx="80">
                  <c:v>36.160702984422102</c:v>
                </c:pt>
                <c:pt idx="81">
                  <c:v>37.086210696932518</c:v>
                </c:pt>
                <c:pt idx="82">
                  <c:v>38.023219105124284</c:v>
                </c:pt>
                <c:pt idx="83">
                  <c:v>38.971720840139</c:v>
                </c:pt>
                <c:pt idx="84">
                  <c:v>39.931708417211176</c:v>
                </c:pt>
                <c:pt idx="85">
                  <c:v>40.903174235788939</c:v>
                </c:pt>
                <c:pt idx="86">
                  <c:v>41.8861105796611</c:v>
                </c:pt>
                <c:pt idx="87">
                  <c:v>42.880509617090574</c:v>
                </c:pt>
                <c:pt idx="88">
                  <c:v>43.886363400954053</c:v>
                </c:pt>
                <c:pt idx="89">
                  <c:v>44.903663868887918</c:v>
                </c:pt>
                <c:pt idx="90">
                  <c:v>45.93240284344035</c:v>
                </c:pt>
                <c:pt idx="91">
                  <c:v>46.972572032229557</c:v>
                </c:pt>
                <c:pt idx="92">
                  <c:v>48.024163028108106</c:v>
                </c:pt>
                <c:pt idx="93">
                  <c:v>49.087167309333324</c:v>
                </c:pt>
                <c:pt idx="94">
                  <c:v>50.161576239743674</c:v>
                </c:pt>
                <c:pt idx="95">
                  <c:v>51.247381068941131</c:v>
                </c:pt>
                <c:pt idx="96">
                  <c:v>52.344572932479487</c:v>
                </c:pt>
                <c:pt idx="97">
                  <c:v>53.453142852058527</c:v>
                </c:pt>
                <c:pt idx="98">
                  <c:v>54.573081735724081</c:v>
                </c:pt>
                <c:pt idx="99">
                  <c:v>55.704380378073886</c:v>
                </c:pt>
                <c:pt idx="100">
                  <c:v>56.847029460469216</c:v>
                </c:pt>
                <c:pt idx="101">
                  <c:v>58.001019551252256</c:v>
                </c:pt>
                <c:pt idx="102">
                  <c:v>59.166341105969195</c:v>
                </c:pt>
                <c:pt idx="103">
                  <c:v>60.342984467598995</c:v>
                </c:pt>
                <c:pt idx="104">
                  <c:v>61.530939866787755</c:v>
                </c:pt>
                <c:pt idx="105">
                  <c:v>62.730197422088715</c:v>
                </c:pt>
                <c:pt idx="106">
                  <c:v>63.940747140207819</c:v>
                </c:pt>
                <c:pt idx="107">
                  <c:v>65.162578916254773</c:v>
                </c:pt>
                <c:pt idx="108">
                  <c:v>66.395682533999675</c:v>
                </c:pt>
                <c:pt idx="109">
                  <c:v>67.64004766613499</c:v>
                </c:pt>
                <c:pt idx="110">
                  <c:v>68.895663874543061</c:v>
                </c:pt>
                <c:pt idx="111">
                  <c:v>70.162520610568976</c:v>
                </c:pt>
                <c:pt idx="112">
                  <c:v>71.440607215298755</c:v>
                </c:pt>
                <c:pt idx="113">
                  <c:v>72.729912919842917</c:v>
                </c:pt>
                <c:pt idx="114">
                  <c:v>74.0304268456253</c:v>
                </c:pt>
                <c:pt idx="115">
                  <c:v>75.342138004677139</c:v>
                </c:pt>
                <c:pt idx="116">
                  <c:v>76.66503529993642</c:v>
                </c:pt>
                <c:pt idx="117">
                  <c:v>77.999107525552333</c:v>
                </c:pt>
                <c:pt idx="118">
                  <c:v>79.344343367194924</c:v>
                </c:pt>
                <c:pt idx="119">
                  <c:v>80.700731402369897</c:v>
                </c:pt>
                <c:pt idx="120">
                  <c:v>82.068260100738428</c:v>
                </c:pt>
                <c:pt idx="121">
                  <c:v>83.446917824442096</c:v>
                </c:pt>
                <c:pt idx="122">
                  <c:v>84.836692828432788</c:v>
                </c:pt>
                <c:pt idx="123">
                  <c:v>86.237573260807565</c:v>
                </c:pt>
                <c:pt idx="124">
                  <c:v>87.649547163148554</c:v>
                </c:pt>
                <c:pt idx="125">
                  <c:v>89.07260247086765</c:v>
                </c:pt>
                <c:pt idx="126">
                  <c:v>90.506727013556144</c:v>
                </c:pt>
                <c:pt idx="127">
                  <c:v>91.951908515339184</c:v>
                </c:pt>
                <c:pt idx="128">
                  <c:v>93.408134595235055</c:v>
                </c:pt>
                <c:pt idx="129">
                  <c:v>94.875390311136059</c:v>
                </c:pt>
                <c:pt idx="130">
                  <c:v>96.353655700702035</c:v>
                </c:pt>
                <c:pt idx="131">
                  <c:v>97.842908235197584</c:v>
                </c:pt>
                <c:pt idx="132">
                  <c:v>99.343125276582242</c:v>
                </c:pt>
                <c:pt idx="133">
                  <c:v>100.85428407820518</c:v>
                </c:pt>
                <c:pt idx="134">
                  <c:v>102.37636178550432</c:v>
                </c:pt>
                <c:pt idx="135">
                  <c:v>103.90933543670967</c:v>
                </c:pt>
                <c:pt idx="136">
                  <c:v>105.45318196355095</c:v>
                </c:pt>
                <c:pt idx="137">
                  <c:v>107.00787819196927</c:v>
                </c:pt>
                <c:pt idx="138">
                  <c:v>108.57340084283292</c:v>
                </c:pt>
                <c:pt idx="139">
                  <c:v>110.14972653265716</c:v>
                </c:pt>
                <c:pt idx="140">
                  <c:v>111.73683177432785</c:v>
                </c:pt>
                <c:pt idx="141">
                  <c:v>113.33469297782908</c:v>
                </c:pt>
                <c:pt idx="142">
                  <c:v>114.94328645097441</c:v>
                </c:pt>
                <c:pt idx="143">
                  <c:v>116.56258840014196</c:v>
                </c:pt>
                <c:pt idx="144">
                  <c:v>118.19257493101301</c:v>
                </c:pt>
                <c:pt idx="145">
                  <c:v>119.83322204931429</c:v>
                </c:pt>
                <c:pt idx="146">
                  <c:v>121.4845056615636</c:v>
                </c:pt>
                <c:pt idx="147">
                  <c:v>123.14640157581906</c:v>
                </c:pt>
                <c:pt idx="148">
                  <c:v>124.81888550243146</c:v>
                </c:pt>
                <c:pt idx="149">
                  <c:v>126.50193305480009</c:v>
                </c:pt>
                <c:pt idx="150">
                  <c:v>128.19551975013169</c:v>
                </c:pt>
                <c:pt idx="151">
                  <c:v>129.89962101020248</c:v>
                </c:pt>
                <c:pt idx="152">
                  <c:v>131.61421216212335</c:v>
                </c:pt>
                <c:pt idx="153">
                  <c:v>133.33926843910797</c:v>
                </c:pt>
                <c:pt idx="154">
                  <c:v>135.07476498124382</c:v>
                </c:pt>
                <c:pt idx="155">
                  <c:v>136.82067683626607</c:v>
                </c:pt>
                <c:pt idx="156">
                  <c:v>138.57697896033426</c:v>
                </c:pt>
                <c:pt idx="157">
                  <c:v>140.34364621881156</c:v>
                </c:pt>
                <c:pt idx="158">
                  <c:v>142.12065338704687</c:v>
                </c:pt>
                <c:pt idx="159">
                  <c:v>143.90797515115923</c:v>
                </c:pt>
                <c:pt idx="160">
                  <c:v>145.70558610882495</c:v>
                </c:pt>
                <c:pt idx="161">
                  <c:v>147.51346077006687</c:v>
                </c:pt>
                <c:pt idx="162">
                  <c:v>149.33157355804627</c:v>
                </c:pt>
                <c:pt idx="163">
                  <c:v>151.15989880985683</c:v>
                </c:pt>
                <c:pt idx="164">
                  <c:v>152.9984107773208</c:v>
                </c:pt>
                <c:pt idx="165">
                  <c:v>154.84708362778741</c:v>
                </c:pt>
                <c:pt idx="166">
                  <c:v>156.70589144493326</c:v>
                </c:pt>
                <c:pt idx="167">
                  <c:v>158.57480822956464</c:v>
                </c:pt>
                <c:pt idx="168">
                  <c:v>160.45380790042185</c:v>
                </c:pt>
                <c:pt idx="169">
                  <c:v>162.34286429498536</c:v>
                </c:pt>
                <c:pt idx="170">
                  <c:v>164.24195117028367</c:v>
                </c:pt>
                <c:pt idx="171">
                  <c:v>166.15104220370281</c:v>
                </c:pt>
                <c:pt idx="172">
                  <c:v>168.0701109937977</c:v>
                </c:pt>
                <c:pt idx="173">
                  <c:v>169.99913106110483</c:v>
                </c:pt>
                <c:pt idx="174">
                  <c:v>171.93807584895654</c:v>
                </c:pt>
                <c:pt idx="175">
                  <c:v>173.88691872429666</c:v>
                </c:pt>
                <c:pt idx="176">
                  <c:v>175.84563297849755</c:v>
                </c:pt>
                <c:pt idx="177">
                  <c:v>177.81419182817839</c:v>
                </c:pt>
                <c:pt idx="178">
                  <c:v>179.79256841602469</c:v>
                </c:pt>
                <c:pt idx="179">
                  <c:v>181.78073581160885</c:v>
                </c:pt>
                <c:pt idx="180">
                  <c:v>183.77866701221194</c:v>
                </c:pt>
                <c:pt idx="181">
                  <c:v>185.78633494364632</c:v>
                </c:pt>
                <c:pt idx="182">
                  <c:v>187.80371246107936</c:v>
                </c:pt>
                <c:pt idx="183">
                  <c:v>189.8307723498578</c:v>
                </c:pt>
                <c:pt idx="184">
                  <c:v>191.86748732633311</c:v>
                </c:pt>
                <c:pt idx="185">
                  <c:v>193.91383003868748</c:v>
                </c:pt>
                <c:pt idx="186">
                  <c:v>195.96977306776049</c:v>
                </c:pt>
                <c:pt idx="187">
                  <c:v>198.03528892787631</c:v>
                </c:pt>
                <c:pt idx="188">
                  <c:v>200.11035006767145</c:v>
                </c:pt>
                <c:pt idx="189">
                  <c:v>202.19492887092306</c:v>
                </c:pt>
                <c:pt idx="190">
                  <c:v>204.28899765737751</c:v>
                </c:pt>
                <c:pt idx="191">
                  <c:v>206.39252868357926</c:v>
                </c:pt>
                <c:pt idx="192">
                  <c:v>208.50549414370008</c:v>
                </c:pt>
                <c:pt idx="193">
                  <c:v>210.62786617036846</c:v>
                </c:pt>
                <c:pt idx="194">
                  <c:v>212.75961683549909</c:v>
                </c:pt>
                <c:pt idx="195">
                  <c:v>214.90071815112233</c:v>
                </c:pt>
                <c:pt idx="196">
                  <c:v>217.0511420702139</c:v>
                </c:pt>
                <c:pt idx="197">
                  <c:v>219.21086048752423</c:v>
                </c:pt>
                <c:pt idx="198">
                  <c:v>221.37984524040786</c:v>
                </c:pt>
                <c:pt idx="199">
                  <c:v>223.55806810965257</c:v>
                </c:pt>
                <c:pt idx="200">
                  <c:v>225.74550082030828</c:v>
                </c:pt>
                <c:pt idx="201">
                  <c:v>227.94211504251555</c:v>
                </c:pt>
                <c:pt idx="202">
                  <c:v>230.14788239233383</c:v>
                </c:pt>
                <c:pt idx="203">
                  <c:v>232.36277443256904</c:v>
                </c:pt>
                <c:pt idx="204">
                  <c:v>234.58676267360093</c:v>
                </c:pt>
                <c:pt idx="205">
                  <c:v>236.81981857420953</c:v>
                </c:pt>
                <c:pt idx="206">
                  <c:v>239.06191293311676</c:v>
                </c:pt>
                <c:pt idx="207">
                  <c:v>241.31301528033208</c:v>
                </c:pt>
                <c:pt idx="208">
                  <c:v>243.57309448764053</c:v>
                </c:pt>
                <c:pt idx="209">
                  <c:v>245.84211937932093</c:v>
                </c:pt>
                <c:pt idx="210">
                  <c:v>248.12005873304085</c:v>
                </c:pt>
                <c:pt idx="211">
                  <c:v>250.40688128075013</c:v>
                </c:pt>
                <c:pt idx="212">
                  <c:v>252.70255570957312</c:v>
                </c:pt>
                <c:pt idx="213">
                  <c:v>255.00705066269913</c:v>
                </c:pt>
                <c:pt idx="214">
                  <c:v>257.32033474027162</c:v>
                </c:pt>
                <c:pt idx="215">
                  <c:v>259.64237650027547</c:v>
                </c:pt>
                <c:pt idx="216">
                  <c:v>261.97314445942271</c:v>
                </c:pt>
                <c:pt idx="217">
                  <c:v>264.31260709403642</c:v>
                </c:pt>
                <c:pt idx="218">
                  <c:v>266.66073284093289</c:v>
                </c:pt>
                <c:pt idx="219">
                  <c:v>269.01749009830166</c:v>
                </c:pt>
                <c:pt idx="220">
                  <c:v>271.38284722658398</c:v>
                </c:pt>
                <c:pt idx="221">
                  <c:v>273.75677254934885</c:v>
                </c:pt>
                <c:pt idx="222">
                  <c:v>276.1392343541674</c:v>
                </c:pt>
                <c:pt idx="223">
                  <c:v>278.53020089348485</c:v>
                </c:pt>
                <c:pt idx="224">
                  <c:v>280.92964038549042</c:v>
                </c:pt>
                <c:pt idx="225">
                  <c:v>283.33752101498487</c:v>
                </c:pt>
                <c:pt idx="226">
                  <c:v>285.75381093424608</c:v>
                </c:pt>
                <c:pt idx="227">
                  <c:v>288.1784782638918</c:v>
                </c:pt>
                <c:pt idx="228">
                  <c:v>290.61149109374037</c:v>
                </c:pt>
                <c:pt idx="229">
                  <c:v>293.05281748366883</c:v>
                </c:pt>
                <c:pt idx="230">
                  <c:v>295.50242546446856</c:v>
                </c:pt>
                <c:pt idx="231">
                  <c:v>297.96028303869832</c:v>
                </c:pt>
                <c:pt idx="232">
                  <c:v>300.42635818153468</c:v>
                </c:pt>
                <c:pt idx="233">
                  <c:v>302.90061884161969</c:v>
                </c:pt>
                <c:pt idx="234">
                  <c:v>305.38303294190615</c:v>
                </c:pt>
                <c:pt idx="235">
                  <c:v>307.87356838049959</c:v>
                </c:pt>
                <c:pt idx="236">
                  <c:v>310.37219303149789</c:v>
                </c:pt>
                <c:pt idx="237">
                  <c:v>312.87887474582777</c:v>
                </c:pt>
                <c:pt idx="238">
                  <c:v>315.39358135207857</c:v>
                </c:pt>
                <c:pt idx="239">
                  <c:v>317.91628065733266</c:v>
                </c:pt>
                <c:pt idx="240">
                  <c:v>320.44694044799326</c:v>
                </c:pt>
                <c:pt idx="241">
                  <c:v>322.98552849060906</c:v>
                </c:pt>
                <c:pt idx="242">
                  <c:v>325.53201040899722</c:v>
                </c:pt>
                <c:pt idx="243">
                  <c:v>328.08634756159699</c:v>
                </c:pt>
                <c:pt idx="244">
                  <c:v>330.64849916902807</c:v>
                </c:pt>
                <c:pt idx="245">
                  <c:v>333.21842444153123</c:v>
                </c:pt>
                <c:pt idx="246">
                  <c:v>335.79608258001269</c:v>
                </c:pt>
                <c:pt idx="247">
                  <c:v>338.38143277708326</c:v>
                </c:pt>
                <c:pt idx="248">
                  <c:v>340.97443421809157</c:v>
                </c:pt>
                <c:pt idx="249">
                  <c:v>343.57504608215203</c:v>
                </c:pt>
                <c:pt idx="250">
                  <c:v>346.18322754316677</c:v>
                </c:pt>
                <c:pt idx="251">
                  <c:v>348.79893777084214</c:v>
                </c:pt>
                <c:pt idx="252">
                  <c:v>351.42213593169924</c:v>
                </c:pt>
                <c:pt idx="253">
                  <c:v>354.05278119007863</c:v>
                </c:pt>
                <c:pt idx="254">
                  <c:v>356.69083270913922</c:v>
                </c:pt>
                <c:pt idx="255">
                  <c:v>359.33624965185123</c:v>
                </c:pt>
                <c:pt idx="256">
                  <c:v>361.98899118198324</c:v>
                </c:pt>
                <c:pt idx="257">
                  <c:v>364.64901646508298</c:v>
                </c:pt>
                <c:pt idx="258">
                  <c:v>367.31628466945227</c:v>
                </c:pt>
                <c:pt idx="259">
                  <c:v>369.99075496711589</c:v>
                </c:pt>
                <c:pt idx="260">
                  <c:v>372.67238653478415</c:v>
                </c:pt>
                <c:pt idx="261">
                  <c:v>375.36113855480926</c:v>
                </c:pt>
                <c:pt idx="262">
                  <c:v>378.05697021613571</c:v>
                </c:pt>
                <c:pt idx="263">
                  <c:v>380.75984071524414</c:v>
                </c:pt>
                <c:pt idx="264">
                  <c:v>383.46970925708894</c:v>
                </c:pt>
                <c:pt idx="265">
                  <c:v>386.1865350560297</c:v>
                </c:pt>
                <c:pt idx="266">
                  <c:v>388.910277336756</c:v>
                </c:pt>
                <c:pt idx="267">
                  <c:v>391.6408953352061</c:v>
                </c:pt>
                <c:pt idx="268">
                  <c:v>394.37834829947883</c:v>
                </c:pt>
                <c:pt idx="269">
                  <c:v>397.1225954907394</c:v>
                </c:pt>
                <c:pt idx="270">
                  <c:v>399.87359618411836</c:v>
                </c:pt>
                <c:pt idx="271">
                  <c:v>402.63130966960426</c:v>
                </c:pt>
                <c:pt idx="272">
                  <c:v>405.39569525292961</c:v>
                </c:pt>
                <c:pt idx="273">
                  <c:v>408.16671225645035</c:v>
                </c:pt>
                <c:pt idx="274">
                  <c:v>410.94432002001861</c:v>
                </c:pt>
                <c:pt idx="275">
                  <c:v>413.72847790184875</c:v>
                </c:pt>
                <c:pt idx="276">
                  <c:v>416.51914527937703</c:v>
                </c:pt>
                <c:pt idx="277">
                  <c:v>419.3162815501143</c:v>
                </c:pt>
                <c:pt idx="278">
                  <c:v>422.11984613249206</c:v>
                </c:pt>
                <c:pt idx="279">
                  <c:v>424.9297984667017</c:v>
                </c:pt>
                <c:pt idx="280">
                  <c:v>427.74609801552714</c:v>
                </c:pt>
                <c:pt idx="281">
                  <c:v>430.56870426517065</c:v>
                </c:pt>
                <c:pt idx="282">
                  <c:v>433.39757672607175</c:v>
                </c:pt>
                <c:pt idx="283">
                  <c:v>436.23267493371935</c:v>
                </c:pt>
                <c:pt idx="284">
                  <c:v>439.07396096575485</c:v>
                </c:pt>
                <c:pt idx="285">
                  <c:v>441.92140195746595</c:v>
                </c:pt>
                <c:pt idx="286">
                  <c:v>444.77496758027593</c:v>
                </c:pt>
                <c:pt idx="287">
                  <c:v>447.63462752171773</c:v>
                </c:pt>
                <c:pt idx="288">
                  <c:v>450.50035148599227</c:v>
                </c:pt>
                <c:pt idx="289">
                  <c:v>453.37210919452264</c:v>
                </c:pt>
                <c:pt idx="290">
                  <c:v>456.2498703865042</c:v>
                </c:pt>
                <c:pt idx="291">
                  <c:v>459.13360481945074</c:v>
                </c:pt>
                <c:pt idx="292">
                  <c:v>462.023282269736</c:v>
                </c:pt>
                <c:pt idx="293">
                  <c:v>464.91887253313138</c:v>
                </c:pt>
                <c:pt idx="294">
                  <c:v>467.8203454253395</c:v>
                </c:pt>
                <c:pt idx="295">
                  <c:v>470.72767078252326</c:v>
                </c:pt>
                <c:pt idx="296">
                  <c:v>473.64081846183109</c:v>
                </c:pt>
                <c:pt idx="297">
                  <c:v>476.5597583419177</c:v>
                </c:pt>
                <c:pt idx="298">
                  <c:v>479.48446032346072</c:v>
                </c:pt>
                <c:pt idx="299">
                  <c:v>482.41489432967325</c:v>
                </c:pt>
                <c:pt idx="300">
                  <c:v>485.35103030681199</c:v>
                </c:pt>
                <c:pt idx="301">
                  <c:v>488.29283822468119</c:v>
                </c:pt>
                <c:pt idx="302">
                  <c:v>491.24028807713245</c:v>
                </c:pt>
                <c:pt idx="303">
                  <c:v>494.19334988256031</c:v>
                </c:pt>
                <c:pt idx="304">
                  <c:v>497.15199368439346</c:v>
                </c:pt>
                <c:pt idx="305">
                  <c:v>500.11618955158167</c:v>
                </c:pt>
                <c:pt idx="306">
                  <c:v>503.08590757907876</c:v>
                </c:pt>
                <c:pt idx="307">
                  <c:v>506.06111788832106</c:v>
                </c:pt>
                <c:pt idx="308">
                  <c:v>509.04179062770157</c:v>
                </c:pt>
                <c:pt idx="309">
                  <c:v>512.02789597304024</c:v>
                </c:pt>
                <c:pt idx="310">
                  <c:v>515.01940412804936</c:v>
                </c:pt>
                <c:pt idx="311">
                  <c:v>518.01628532479538</c:v>
                </c:pt>
                <c:pt idx="312">
                  <c:v>521.0185098241559</c:v>
                </c:pt>
                <c:pt idx="313">
                  <c:v>524.026047916273</c:v>
                </c:pt>
                <c:pt idx="314">
                  <c:v>527.03886992100161</c:v>
                </c:pt>
                <c:pt idx="315">
                  <c:v>530.05694618835412</c:v>
                </c:pt>
                <c:pt idx="316">
                  <c:v>533.08024709894062</c:v>
                </c:pt>
                <c:pt idx="317">
                  <c:v>536.10874306440451</c:v>
                </c:pt>
                <c:pt idx="318">
                  <c:v>539.14240452785464</c:v>
                </c:pt>
                <c:pt idx="319">
                  <c:v>542.18120196429254</c:v>
                </c:pt>
                <c:pt idx="320">
                  <c:v>545.22510588103557</c:v>
                </c:pt>
                <c:pt idx="321">
                  <c:v>548.27408681813574</c:v>
                </c:pt>
                <c:pt idx="322">
                  <c:v>551.32811534879465</c:v>
                </c:pt>
                <c:pt idx="323">
                  <c:v>554.38716207977359</c:v>
                </c:pt>
                <c:pt idx="324">
                  <c:v>557.45119765180004</c:v>
                </c:pt>
                <c:pt idx="325">
                  <c:v>560.52019273996939</c:v>
                </c:pt>
                <c:pt idx="326">
                  <c:v>563.59411821005699</c:v>
                </c:pt>
                <c:pt idx="327">
                  <c:v>566.67294527466584</c:v>
                </c:pt>
                <c:pt idx="328">
                  <c:v>569.75664533721852</c:v>
                </c:pt>
                <c:pt idx="329">
                  <c:v>572.84518983609951</c:v>
                </c:pt>
                <c:pt idx="330">
                  <c:v>575.93855024502682</c:v>
                </c:pt>
                <c:pt idx="331">
                  <c:v>579.03669807341885</c:v>
                </c:pt>
                <c:pt idx="332">
                  <c:v>582.13960486675751</c:v>
                </c:pt>
                <c:pt idx="333">
                  <c:v>585.24724220694736</c:v>
                </c:pt>
                <c:pt idx="334">
                  <c:v>588.35958171267043</c:v>
                </c:pt>
                <c:pt idx="335">
                  <c:v>591.47659503973739</c:v>
                </c:pt>
                <c:pt idx="336">
                  <c:v>594.59825388143463</c:v>
                </c:pt>
                <c:pt idx="337">
                  <c:v>597.72452996886682</c:v>
                </c:pt>
                <c:pt idx="338">
                  <c:v>600.85539507129636</c:v>
                </c:pt>
                <c:pt idx="339">
                  <c:v>603.99082099647808</c:v>
                </c:pt>
                <c:pt idx="340">
                  <c:v>607.13077959099007</c:v>
                </c:pt>
                <c:pt idx="341">
                  <c:v>610.27524274056111</c:v>
                </c:pt>
                <c:pt idx="342">
                  <c:v>613.4241823703934</c:v>
                </c:pt>
                <c:pt idx="343">
                  <c:v>616.57757044548168</c:v>
                </c:pt>
                <c:pt idx="344">
                  <c:v>619.73537897092842</c:v>
                </c:pt>
                <c:pt idx="345">
                  <c:v>622.89757999225515</c:v>
                </c:pt>
                <c:pt idx="346">
                  <c:v>626.06414559570942</c:v>
                </c:pt>
                <c:pt idx="347">
                  <c:v>629.23504790856862</c:v>
                </c:pt>
                <c:pt idx="348">
                  <c:v>632.4102590994388</c:v>
                </c:pt>
                <c:pt idx="349">
                  <c:v>635.58975137855089</c:v>
                </c:pt>
                <c:pt idx="350">
                  <c:v>638.773496998052</c:v>
                </c:pt>
                <c:pt idx="351">
                  <c:v>641.96146825229323</c:v>
                </c:pt>
                <c:pt idx="352">
                  <c:v>645.15363747811364</c:v>
                </c:pt>
                <c:pt idx="353">
                  <c:v>648.34997705512046</c:v>
                </c:pt>
                <c:pt idx="354">
                  <c:v>651.5504594059654</c:v>
                </c:pt>
                <c:pt idx="355">
                  <c:v>654.75505699661676</c:v>
                </c:pt>
                <c:pt idx="356">
                  <c:v>657.96374233662834</c:v>
                </c:pt>
                <c:pt idx="357">
                  <c:v>661.17648797940421</c:v>
                </c:pt>
                <c:pt idx="358">
                  <c:v>664.39326652245984</c:v>
                </c:pt>
                <c:pt idx="359">
                  <c:v>667.61405060767913</c:v>
                </c:pt>
                <c:pt idx="360">
                  <c:v>670.83881292156821</c:v>
                </c:pt>
                <c:pt idx="361">
                  <c:v>674.06752619550502</c:v>
                </c:pt>
                <c:pt idx="362">
                  <c:v>677.30016320598543</c:v>
                </c:pt>
                <c:pt idx="363">
                  <c:v>680.53669677486562</c:v>
                </c:pt>
                <c:pt idx="364">
                  <c:v>683.77709976960057</c:v>
                </c:pt>
                <c:pt idx="365">
                  <c:v>687.02134510347923</c:v>
                </c:pt>
                <c:pt idx="366">
                  <c:v>690.26940971924967</c:v>
                </c:pt>
                <c:pt idx="367">
                  <c:v>693.52127856737684</c:v>
                </c:pt>
                <c:pt idx="368">
                  <c:v>696.77694060822057</c:v>
                </c:pt>
                <c:pt idx="369">
                  <c:v>700.03638481950395</c:v>
                </c:pt>
                <c:pt idx="370">
                  <c:v>703.29960019639248</c:v>
                </c:pt>
                <c:pt idx="371">
                  <c:v>706.56657575157203</c:v>
                </c:pt>
                <c:pt idx="372">
                  <c:v>709.83730051532598</c:v>
                </c:pt>
                <c:pt idx="373">
                  <c:v>713.11176353561132</c:v>
                </c:pt>
                <c:pt idx="374">
                  <c:v>716.38995387813452</c:v>
                </c:pt>
                <c:pt idx="375">
                  <c:v>719.67186062642566</c:v>
                </c:pt>
                <c:pt idx="376">
                  <c:v>722.95747288191239</c:v>
                </c:pt>
                <c:pt idx="377">
                  <c:v>726.24677976399289</c:v>
                </c:pt>
                <c:pt idx="378">
                  <c:v>729.53977041010774</c:v>
                </c:pt>
                <c:pt idx="379">
                  <c:v>732.83643397581136</c:v>
                </c:pt>
                <c:pt idx="380">
                  <c:v>736.13675963484229</c:v>
                </c:pt>
                <c:pt idx="381">
                  <c:v>739.4407322675703</c:v>
                </c:pt>
                <c:pt idx="382">
                  <c:v>742.74832815552952</c:v>
                </c:pt>
                <c:pt idx="383">
                  <c:v>746.05951930953643</c:v>
                </c:pt>
                <c:pt idx="384">
                  <c:v>749.37427779178961</c:v>
                </c:pt>
                <c:pt idx="385">
                  <c:v>752.69257571607443</c:v>
                </c:pt>
                <c:pt idx="386">
                  <c:v>756.01438524796424</c:v>
                </c:pt>
                <c:pt idx="387">
                  <c:v>759.33967860501718</c:v>
                </c:pt>
                <c:pt idx="388">
                  <c:v>762.66842805697013</c:v>
                </c:pt>
                <c:pt idx="389">
                  <c:v>766.00060592592774</c:v>
                </c:pt>
                <c:pt idx="390">
                  <c:v>769.33618458654894</c:v>
                </c:pt>
                <c:pt idx="391">
                  <c:v>772.67513646622876</c:v>
                </c:pt>
                <c:pt idx="392">
                  <c:v>776.01743404527701</c:v>
                </c:pt>
                <c:pt idx="393">
                  <c:v>779.36304985709285</c:v>
                </c:pt>
                <c:pt idx="394">
                  <c:v>782.71195648833623</c:v>
                </c:pt>
                <c:pt idx="395">
                  <c:v>786.06412657909539</c:v>
                </c:pt>
                <c:pt idx="396">
                  <c:v>789.41953282305042</c:v>
                </c:pt>
                <c:pt idx="397">
                  <c:v>792.77814796763391</c:v>
                </c:pt>
                <c:pt idx="398">
                  <c:v>796.13994481418752</c:v>
                </c:pt>
                <c:pt idx="399">
                  <c:v>799.50489621811505</c:v>
                </c:pt>
                <c:pt idx="400">
                  <c:v>802.87297508903237</c:v>
                </c:pt>
                <c:pt idx="401">
                  <c:v>806.24415099410623</c:v>
                </c:pt>
                <c:pt idx="402">
                  <c:v>809.6183867667138</c:v>
                </c:pt>
                <c:pt idx="403">
                  <c:v>812.99564191727802</c:v>
                </c:pt>
                <c:pt idx="404">
                  <c:v>816.37587603884538</c:v>
                </c:pt>
                <c:pt idx="405">
                  <c:v>819.75904880735732</c:v>
                </c:pt>
                <c:pt idx="406">
                  <c:v>823.14511998191347</c:v>
                </c:pt>
                <c:pt idx="407">
                  <c:v>826.53404940502912</c:v>
                </c:pt>
                <c:pt idx="408">
                  <c:v>829.92579700288445</c:v>
                </c:pt>
                <c:pt idx="409">
                  <c:v>833.3203227855679</c:v>
                </c:pt>
                <c:pt idx="410">
                  <c:v>836.71758684731185</c:v>
                </c:pt>
                <c:pt idx="411">
                  <c:v>840.1175305855686</c:v>
                </c:pt>
                <c:pt idx="412">
                  <c:v>843.52005795171067</c:v>
                </c:pt>
                <c:pt idx="413">
                  <c:v>846.92505431313396</c:v>
                </c:pt>
                <c:pt idx="414">
                  <c:v>850.33240528453723</c:v>
                </c:pt>
                <c:pt idx="415">
                  <c:v>853.7419967297285</c:v>
                </c:pt>
                <c:pt idx="416">
                  <c:v>857.15371476338169</c:v>
                </c:pt>
                <c:pt idx="417">
                  <c:v>860.5674457527424</c:v>
                </c:pt>
                <c:pt idx="418">
                  <c:v>863.98307631928424</c:v>
                </c:pt>
                <c:pt idx="419">
                  <c:v>867.40049334031517</c:v>
                </c:pt>
                <c:pt idx="420">
                  <c:v>870.81957326204031</c:v>
                </c:pt>
                <c:pt idx="421">
                  <c:v>874.24017143316973</c:v>
                </c:pt>
                <c:pt idx="422">
                  <c:v>877.6621328450459</c:v>
                </c:pt>
                <c:pt idx="423">
                  <c:v>881.0853028518743</c:v>
                </c:pt>
                <c:pt idx="424">
                  <c:v>884.50952717355756</c:v>
                </c:pt>
                <c:pt idx="425">
                  <c:v>887.93465189843914</c:v>
                </c:pt>
                <c:pt idx="426">
                  <c:v>891.3605234859582</c:v>
                </c:pt>
                <c:pt idx="427">
                  <c:v>894.7869887692143</c:v>
                </c:pt>
                <c:pt idx="428">
                  <c:v>898.21389495744484</c:v>
                </c:pt>
                <c:pt idx="429">
                  <c:v>901.6410896384142</c:v>
                </c:pt>
                <c:pt idx="430">
                  <c:v>905.06842078071634</c:v>
                </c:pt>
                <c:pt idx="431">
                  <c:v>908.49573673599082</c:v>
                </c:pt>
                <c:pt idx="432">
                  <c:v>911.92286901082491</c:v>
                </c:pt>
                <c:pt idx="433">
                  <c:v>915.34961507862499</c:v>
                </c:pt>
                <c:pt idx="434">
                  <c:v>918.77575570328543</c:v>
                </c:pt>
                <c:pt idx="435">
                  <c:v>922.20107222423758</c:v>
                </c:pt>
                <c:pt idx="436">
                  <c:v>925.62534656122943</c:v>
                </c:pt>
                <c:pt idx="437">
                  <c:v>929.04836121892822</c:v>
                </c:pt>
                <c:pt idx="438">
                  <c:v>932.46989929134531</c:v>
                </c:pt>
                <c:pt idx="439">
                  <c:v>935.88974446608654</c:v>
                </c:pt>
                <c:pt idx="440">
                  <c:v>939.30768102842853</c:v>
                </c:pt>
                <c:pt idx="441">
                  <c:v>942.72349386522285</c:v>
                </c:pt>
                <c:pt idx="442">
                  <c:v>946.13697893422545</c:v>
                </c:pt>
                <c:pt idx="443">
                  <c:v>949.54795370440308</c:v>
                </c:pt>
                <c:pt idx="444">
                  <c:v>952.95624663154194</c:v>
                </c:pt>
                <c:pt idx="445">
                  <c:v>956.36168666172034</c:v>
                </c:pt>
                <c:pt idx="446">
                  <c:v>959.76410323275718</c:v>
                </c:pt>
                <c:pt idx="447">
                  <c:v>963.16332627555823</c:v>
                </c:pt>
                <c:pt idx="448">
                  <c:v>966.55918621536193</c:v>
                </c:pt>
                <c:pt idx="449">
                  <c:v>969.95151397288544</c:v>
                </c:pt>
                <c:pt idx="450">
                  <c:v>973.34014096537271</c:v>
                </c:pt>
                <c:pt idx="451">
                  <c:v>976.72489910754462</c:v>
                </c:pt>
                <c:pt idx="452">
                  <c:v>980.10562081245394</c:v>
                </c:pt>
                <c:pt idx="453">
                  <c:v>983.48215397757838</c:v>
                </c:pt>
                <c:pt idx="454">
                  <c:v>986.85437692458504</c:v>
                </c:pt>
                <c:pt idx="455">
                  <c:v>990.22218331897454</c:v>
                </c:pt>
                <c:pt idx="456">
                  <c:v>993.58546713534849</c:v>
                </c:pt>
                <c:pt idx="457">
                  <c:v>996.94412265679148</c:v>
                </c:pt>
                <c:pt idx="458">
                  <c:v>1000.2980444742217</c:v>
                </c:pt>
                <c:pt idx="459">
                  <c:v>1003.6471274857109</c:v>
                </c:pt>
                <c:pt idx="460">
                  <c:v>1006.9912668957747</c:v>
                </c:pt>
                <c:pt idx="461">
                  <c:v>1010.3303716988762</c:v>
                </c:pt>
                <c:pt idx="462">
                  <c:v>1013.6643781196631</c:v>
                </c:pt>
                <c:pt idx="463">
                  <c:v>1016.9932360401639</c:v>
                </c:pt>
                <c:pt idx="464">
                  <c:v>1020.3168954702556</c:v>
                </c:pt>
                <c:pt idx="465">
                  <c:v>1023.6353065469464</c:v>
                </c:pt>
                <c:pt idx="466">
                  <c:v>1026.9484082064639</c:v>
                </c:pt>
                <c:pt idx="467">
                  <c:v>1030.256116893034</c:v>
                </c:pt>
                <c:pt idx="468">
                  <c:v>1033.5582118204468</c:v>
                </c:pt>
                <c:pt idx="469">
                  <c:v>1036.8543749797363</c:v>
                </c:pt>
                <c:pt idx="470">
                  <c:v>1040.1444719614792</c:v>
                </c:pt>
                <c:pt idx="471">
                  <c:v>1043.4285231193505</c:v>
                </c:pt>
                <c:pt idx="472">
                  <c:v>1046.7065486942458</c:v>
                </c:pt>
                <c:pt idx="473">
                  <c:v>1049.9785688151203</c:v>
                </c:pt>
                <c:pt idx="474">
                  <c:v>1053.2446034998193</c:v>
                </c:pt>
                <c:pt idx="475">
                  <c:v>1056.5046726559019</c:v>
                </c:pt>
                <c:pt idx="476">
                  <c:v>1059.7587960814574</c:v>
                </c:pt>
                <c:pt idx="477">
                  <c:v>1063.0069934659123</c:v>
                </c:pt>
                <c:pt idx="478">
                  <c:v>1066.2492843908319</c:v>
                </c:pt>
                <c:pt idx="479">
                  <c:v>1069.4856883307134</c:v>
                </c:pt>
                <c:pt idx="480">
                  <c:v>1072.716224653771</c:v>
                </c:pt>
                <c:pt idx="481">
                  <c:v>1075.9409126227156</c:v>
                </c:pt>
                <c:pt idx="482">
                  <c:v>1079.1597713955259</c:v>
                </c:pt>
                <c:pt idx="483">
                  <c:v>1082.3728200262124</c:v>
                </c:pt>
                <c:pt idx="484">
                  <c:v>1085.5800774655752</c:v>
                </c:pt>
                <c:pt idx="485">
                  <c:v>1088.7815625619544</c:v>
                </c:pt>
                <c:pt idx="486">
                  <c:v>1091.9772940619735</c:v>
                </c:pt>
                <c:pt idx="487">
                  <c:v>1095.1672906112763</c:v>
                </c:pt>
                <c:pt idx="488">
                  <c:v>1098.3515707552569</c:v>
                </c:pt>
                <c:pt idx="489">
                  <c:v>1101.5301529397839</c:v>
                </c:pt>
                <c:pt idx="490">
                  <c:v>1104.7030555119154</c:v>
                </c:pt>
                <c:pt idx="491">
                  <c:v>1107.8702967206116</c:v>
                </c:pt>
                <c:pt idx="492">
                  <c:v>1111.0318947174371</c:v>
                </c:pt>
                <c:pt idx="493">
                  <c:v>1114.1878675572598</c:v>
                </c:pt>
                <c:pt idx="494">
                  <c:v>1117.338233198941</c:v>
                </c:pt>
                <c:pt idx="495">
                  <c:v>1120.4830095060213</c:v>
                </c:pt>
                <c:pt idx="496">
                  <c:v>1123.6222142473996</c:v>
                </c:pt>
                <c:pt idx="497">
                  <c:v>1126.7558650980054</c:v>
                </c:pt>
                <c:pt idx="498">
                  <c:v>1129.8839796394664</c:v>
                </c:pt>
                <c:pt idx="499">
                  <c:v>1133.0065753607689</c:v>
                </c:pt>
                <c:pt idx="500">
                  <c:v>1136.1236696589131</c:v>
                </c:pt>
                <c:pt idx="501">
                  <c:v>1166.9933745316325</c:v>
                </c:pt>
                <c:pt idx="502">
                  <c:v>1197.324024968339</c:v>
                </c:pt>
                <c:pt idx="503">
                  <c:v>1227.1321752253491</c:v>
                </c:pt>
                <c:pt idx="504">
                  <c:v>1256.4335402738652</c:v>
                </c:pt>
                <c:pt idx="505">
                  <c:v>1285.2430521758179</c:v>
                </c:pt>
                <c:pt idx="506">
                  <c:v>1313.5749117582604</c:v>
                </c:pt>
                <c:pt idx="507">
                  <c:v>1341.4426360519772</c:v>
                </c:pt>
                <c:pt idx="508">
                  <c:v>1368.8591019067758</c:v>
                </c:pt>
                <c:pt idx="509">
                  <c:v>1395.8365861496115</c:v>
                </c:pt>
                <c:pt idx="510">
                  <c:v>1422.3868026112341</c:v>
                </c:pt>
                <c:pt idx="511">
                  <c:v>1448.5209363116428</c:v>
                </c:pt>
                <c:pt idx="512">
                  <c:v>1474.2496750635746</c:v>
                </c:pt>
                <c:pt idx="513">
                  <c:v>1499.5832387259472</c:v>
                </c:pt>
                <c:pt idx="514">
                  <c:v>1524.5314063151184</c:v>
                </c:pt>
                <c:pt idx="515">
                  <c:v>1549.1035411605933</c:v>
                </c:pt>
                <c:pt idx="516">
                  <c:v>1573.3086142730256</c:v>
                </c:pt>
                <c:pt idx="517">
                  <c:v>1597.1552260757098</c:v>
                </c:pt>
                <c:pt idx="518">
                  <c:v>1620.6516266359888</c:v>
                </c:pt>
                <c:pt idx="519">
                  <c:v>1643.8057345198495</c:v>
                </c:pt>
                <c:pt idx="520">
                  <c:v>1666.6251543812725</c:v>
                </c:pt>
                <c:pt idx="521">
                  <c:v>1689.1171933874439</c:v>
                </c:pt>
                <c:pt idx="522">
                  <c:v>1711.2888765715952</c:v>
                </c:pt>
                <c:pt idx="523">
                  <c:v>1733.1469611968694</c:v>
                </c:pt>
                <c:pt idx="524">
                  <c:v>1754.6979502071074</c:v>
                </c:pt>
                <c:pt idx="525">
                  <c:v>1775.9481048337102</c:v>
                </c:pt>
                <c:pt idx="526">
                  <c:v>1796.9034564216686</c:v>
                </c:pt>
                <c:pt idx="527">
                  <c:v>1817.5698175323955</c:v>
                </c:pt>
                <c:pt idx="528">
                  <c:v>1837.95279237607</c:v>
                </c:pt>
                <c:pt idx="529">
                  <c:v>1858.0577866217511</c:v>
                </c:pt>
                <c:pt idx="530">
                  <c:v>1877.8900166295027</c:v>
                </c:pt>
                <c:pt idx="531">
                  <c:v>1897.4545181451226</c:v>
                </c:pt>
                <c:pt idx="532">
                  <c:v>1916.7561544947685</c:v>
                </c:pt>
                <c:pt idx="533">
                  <c:v>1935.7996243137759</c:v>
                </c:pt>
                <c:pt idx="534">
                  <c:v>1954.5894688412363</c:v>
                </c:pt>
                <c:pt idx="535">
                  <c:v>1973.1300788094265</c:v>
                </c:pt>
                <c:pt idx="536">
                  <c:v>1991.4257009549181</c:v>
                </c:pt>
                <c:pt idx="537">
                  <c:v>2009.4804441761401</c:v>
                </c:pt>
                <c:pt idx="538">
                  <c:v>2027.2982853602853</c:v>
                </c:pt>
                <c:pt idx="539">
                  <c:v>2044.8830749007318</c:v>
                </c:pt>
                <c:pt idx="540">
                  <c:v>2062.2385419245788</c:v>
                </c:pt>
                <c:pt idx="541">
                  <c:v>2079.3682992484605</c:v>
                </c:pt>
                <c:pt idx="542">
                  <c:v>2096.2758480794728</c:v>
                </c:pt>
                <c:pt idx="543">
                  <c:v>2112.9645824768481</c:v>
                </c:pt>
                <c:pt idx="544">
                  <c:v>2129.4377935888911</c:v>
                </c:pt>
                <c:pt idx="545">
                  <c:v>2145.6986736786735</c:v>
                </c:pt>
                <c:pt idx="546">
                  <c:v>2161.7503199510402</c:v>
                </c:pt>
                <c:pt idx="547">
                  <c:v>2177.5957381926164</c:v>
                </c:pt>
                <c:pt idx="548">
                  <c:v>2193.2378462357037</c:v>
                </c:pt>
                <c:pt idx="549">
                  <c:v>2208.6794772562225</c:v>
                </c:pt>
                <c:pt idx="550">
                  <c:v>2223.9233829151676</c:v>
                </c:pt>
                <c:pt idx="551">
                  <c:v>2238.9722363524293</c:v>
                </c:pt>
                <c:pt idx="552">
                  <c:v>2253.82863504124</c:v>
                </c:pt>
                <c:pt idx="553">
                  <c:v>2268.4951035109739</c:v>
                </c:pt>
                <c:pt idx="554">
                  <c:v>2282.9740959455289</c:v>
                </c:pt>
                <c:pt idx="555">
                  <c:v>2297.2679986640587</c:v>
                </c:pt>
                <c:pt idx="556">
                  <c:v>2311.3791324903946</c:v>
                </c:pt>
                <c:pt idx="557">
                  <c:v>2325.3097550170955</c:v>
                </c:pt>
                <c:pt idx="558">
                  <c:v>2339.0620627697062</c:v>
                </c:pt>
                <c:pt idx="559">
                  <c:v>2352.6381932764475</c:v>
                </c:pt>
                <c:pt idx="560">
                  <c:v>2366.0402270482532</c:v>
                </c:pt>
                <c:pt idx="561">
                  <c:v>2379.2701894737665</c:v>
                </c:pt>
                <c:pt idx="562">
                  <c:v>2392.3300526336361</c:v>
                </c:pt>
                <c:pt idx="563">
                  <c:v>2405.2217370381873</c:v>
                </c:pt>
                <c:pt idx="564">
                  <c:v>2417.9471132923145</c:v>
                </c:pt>
                <c:pt idx="565">
                  <c:v>2430.508003691205</c:v>
                </c:pt>
                <c:pt idx="566">
                  <c:v>2442.9061837503027</c:v>
                </c:pt>
                <c:pt idx="567">
                  <c:v>2455.1433836727247</c:v>
                </c:pt>
                <c:pt idx="568">
                  <c:v>2467.2212897571526</c:v>
                </c:pt>
                <c:pt idx="569">
                  <c:v>2479.1415457490634</c:v>
                </c:pt>
                <c:pt idx="570">
                  <c:v>2490.905754137988</c:v>
                </c:pt>
                <c:pt idx="571">
                  <c:v>2502.5154774033535</c:v>
                </c:pt>
                <c:pt idx="572">
                  <c:v>2513.9722392113072</c:v>
                </c:pt>
                <c:pt idx="573">
                  <c:v>2525.2775255648039</c:v>
                </c:pt>
                <c:pt idx="574">
                  <c:v>2536.4327859091059</c:v>
                </c:pt>
                <c:pt idx="575">
                  <c:v>2547.4394341947282</c:v>
                </c:pt>
                <c:pt idx="576">
                  <c:v>2558.2988498997615</c:v>
                </c:pt>
                <c:pt idx="577">
                  <c:v>2569.0123790133953</c:v>
                </c:pt>
                <c:pt idx="578">
                  <c:v>2579.5813349823666</c:v>
                </c:pt>
                <c:pt idx="579">
                  <c:v>2590.0069996219795</c:v>
                </c:pt>
                <c:pt idx="580">
                  <c:v>2600.2906239932436</c:v>
                </c:pt>
                <c:pt idx="581">
                  <c:v>2610.4334292476074</c:v>
                </c:pt>
                <c:pt idx="582">
                  <c:v>2620.4366074406857</c:v>
                </c:pt>
                <c:pt idx="583">
                  <c:v>2630.3013223163061</c:v>
                </c:pt>
                <c:pt idx="584">
                  <c:v>2640.0287100621381</c:v>
                </c:pt>
                <c:pt idx="585">
                  <c:v>2649.6198800381003</c:v>
                </c:pt>
                <c:pt idx="586">
                  <c:v>2659.0759154786851</c:v>
                </c:pt>
                <c:pt idx="587">
                  <c:v>2668.397874170284</c:v>
                </c:pt>
                <c:pt idx="588">
                  <c:v>2677.5867891045386</c:v>
                </c:pt>
                <c:pt idx="589">
                  <c:v>2686.6436691087033</c:v>
                </c:pt>
                <c:pt idx="590">
                  <c:v>2695.5694994539444</c:v>
                </c:pt>
                <c:pt idx="591">
                  <c:v>2704.3652424424686</c:v>
                </c:pt>
                <c:pt idx="592">
                  <c:v>2713.0318379743217</c:v>
                </c:pt>
                <c:pt idx="593">
                  <c:v>2721.5702040946653</c:v>
                </c:pt>
                <c:pt idx="594">
                  <c:v>2729.9812375222973</c:v>
                </c:pt>
                <c:pt idx="595">
                  <c:v>2738.2658141601491</c:v>
                </c:pt>
                <c:pt idx="596">
                  <c:v>2746.4247895884532</c:v>
                </c:pt>
                <c:pt idx="597">
                  <c:v>2754.4589995412525</c:v>
                </c:pt>
                <c:pt idx="598">
                  <c:v>2762.3692603668806</c:v>
                </c:pt>
                <c:pt idx="599">
                  <c:v>2770.1563694730216</c:v>
                </c:pt>
                <c:pt idx="600">
                  <c:v>2777.8211057569283</c:v>
                </c:pt>
                <c:pt idx="601">
                  <c:v>2785.3642300213514</c:v>
                </c:pt>
                <c:pt idx="602">
                  <c:v>2792.7864853767055</c:v>
                </c:pt>
                <c:pt idx="603">
                  <c:v>2800.0885976299805</c:v>
                </c:pt>
                <c:pt idx="604">
                  <c:v>2807.2712756608776</c:v>
                </c:pt>
                <c:pt idx="605">
                  <c:v>2814.3352117856307</c:v>
                </c:pt>
                <c:pt idx="606">
                  <c:v>2821.2810821089602</c:v>
                </c:pt>
                <c:pt idx="607">
                  <c:v>2828.1095468645722</c:v>
                </c:pt>
                <c:pt idx="608">
                  <c:v>2834.8212507446174</c:v>
                </c:pt>
                <c:pt idx="609">
                  <c:v>2841.4168232184888</c:v>
                </c:pt>
                <c:pt idx="610">
                  <c:v>2847.8968788413335</c:v>
                </c:pt>
                <c:pt idx="611">
                  <c:v>2854.2620175526322</c:v>
                </c:pt>
                <c:pt idx="612">
                  <c:v>2860.5128249651884</c:v>
                </c:pt>
                <c:pt idx="613">
                  <c:v>2866.6498726448513</c:v>
                </c:pt>
                <c:pt idx="614">
                  <c:v>2872.6737183812888</c:v>
                </c:pt>
                <c:pt idx="615">
                  <c:v>2878.5849064501108</c:v>
                </c:pt>
                <c:pt idx="616">
                  <c:v>2884.3839678666295</c:v>
                </c:pt>
                <c:pt idx="617">
                  <c:v>2890.0714206315383</c:v>
                </c:pt>
                <c:pt idx="618">
                  <c:v>2895.6477699687721</c:v>
                </c:pt>
                <c:pt idx="619">
                  <c:v>2901.1135085558099</c:v>
                </c:pt>
                <c:pt idx="620">
                  <c:v>2906.4691167466653</c:v>
                </c:pt>
                <c:pt idx="621">
                  <c:v>2911.7150627878032</c:v>
                </c:pt>
                <c:pt idx="622">
                  <c:v>2916.8518030272144</c:v>
                </c:pt>
                <c:pt idx="623">
                  <c:v>2921.87978211687</c:v>
                </c:pt>
                <c:pt idx="624">
                  <c:v>2926.7994332087719</c:v>
                </c:pt>
                <c:pt idx="625">
                  <c:v>2931.6111781448067</c:v>
                </c:pt>
                <c:pt idx="626">
                  <c:v>2936.3154276406085</c:v>
                </c:pt>
                <c:pt idx="627">
                  <c:v>2940.912581463625</c:v>
                </c:pt>
                <c:pt idx="628">
                  <c:v>2945.4030286055836</c:v>
                </c:pt>
                <c:pt idx="629">
                  <c:v>2949.7871474495437</c:v>
                </c:pt>
                <c:pt idx="630">
                  <c:v>2954.065305931721</c:v>
                </c:pt>
                <c:pt idx="631">
                  <c:v>2958.2378616982696</c:v>
                </c:pt>
                <c:pt idx="632">
                  <c:v>2962.305162257202</c:v>
                </c:pt>
                <c:pt idx="633">
                  <c:v>2966.2675451256268</c:v>
                </c:pt>
                <c:pt idx="634">
                  <c:v>2970.1253379724908</c:v>
                </c:pt>
                <c:pt idx="635">
                  <c:v>2973.8788587570029</c:v>
                </c:pt>
                <c:pt idx="636">
                  <c:v>2977.5284158629352</c:v>
                </c:pt>
                <c:pt idx="637">
                  <c:v>2981.0743082289832</c:v>
                </c:pt>
                <c:pt idx="638">
                  <c:v>2984.5168254753962</c:v>
                </c:pt>
                <c:pt idx="639">
                  <c:v>2987.8562480270753</c:v>
                </c:pt>
                <c:pt idx="640">
                  <c:v>2991.0928472333685</c:v>
                </c:pt>
                <c:pt idx="641">
                  <c:v>2994.226885484793</c:v>
                </c:pt>
                <c:pt idx="642">
                  <c:v>2997.2586163269411</c:v>
                </c:pt>
                <c:pt idx="643">
                  <c:v>3000.1882845718474</c:v>
                </c:pt>
                <c:pt idx="644">
                  <c:v>3003.0161264071226</c:v>
                </c:pt>
                <c:pt idx="645">
                  <c:v>3005.7423695031976</c:v>
                </c:pt>
                <c:pt idx="646">
                  <c:v>3008.3672331190573</c:v>
                </c:pt>
                <c:pt idx="647">
                  <c:v>3010.890928206903</c:v>
                </c:pt>
                <c:pt idx="648">
                  <c:v>3013.3136575162339</c:v>
                </c:pt>
                <c:pt idx="649">
                  <c:v>3015.6356156979273</c:v>
                </c:pt>
                <c:pt idx="650">
                  <c:v>3017.8569894089692</c:v>
                </c:pt>
                <c:pt idx="651">
                  <c:v>3019.9779574186091</c:v>
                </c:pt>
                <c:pt idx="652">
                  <c:v>3021.9986907168359</c:v>
                </c:pt>
                <c:pt idx="653">
                  <c:v>3023.9193526262193</c:v>
                </c:pt>
                <c:pt idx="654">
                  <c:v>3025.740098918352</c:v>
                </c:pt>
                <c:pt idx="655">
                  <c:v>3027.4610779363352</c:v>
                </c:pt>
                <c:pt idx="656">
                  <c:v>3029.0824307249941</c:v>
                </c:pt>
                <c:pt idx="657">
                  <c:v>3030.6042911708023</c:v>
                </c:pt>
                <c:pt idx="658">
                  <c:v>3032.0267861538114</c:v>
                </c:pt>
                <c:pt idx="659">
                  <c:v>3033.350035714242</c:v>
                </c:pt>
                <c:pt idx="660">
                  <c:v>3034.5741532367729</c:v>
                </c:pt>
                <c:pt idx="661">
                  <c:v>3035.6992456559633</c:v>
                </c:pt>
                <c:pt idx="662">
                  <c:v>3036.7254136866236</c:v>
                </c:pt>
                <c:pt idx="663">
                  <c:v>3037.6527520832678</c:v>
                </c:pt>
                <c:pt idx="664">
                  <c:v>3038.4813499330007</c:v>
                </c:pt>
                <c:pt idx="665">
                  <c:v>3039.2112909862185</c:v>
                </c:pt>
                <c:pt idx="666">
                  <c:v>3039.842654029248</c:v>
                </c:pt>
                <c:pt idx="667">
                  <c:v>3040.3755133024438</c:v>
                </c:pt>
                <c:pt idx="668">
                  <c:v>3040.8099389661788</c:v>
                </c:pt>
                <c:pt idx="669">
                  <c:v>3041.1459976155788</c:v>
                </c:pt>
                <c:pt idx="670">
                  <c:v>3041.3837528427566</c:v>
                </c:pt>
                <c:pt idx="671">
                  <c:v>3041.5232658427863</c:v>
                </c:pt>
                <c:pt idx="672">
                  <c:v>3041.5645960569277</c:v>
                </c:pt>
                <c:pt idx="673">
                  <c:v>3041.5078018439526</c:v>
                </c:pt>
                <c:pt idx="674">
                  <c:v>3041.3529411681816</c:v>
                </c:pt>
                <c:pt idx="675">
                  <c:v>3041.1000722913541</c:v>
                </c:pt>
                <c:pt idx="676">
                  <c:v>3040.7492544549605</c:v>
                </c:pt>
                <c:pt idx="677">
                  <c:v>3040.3005485402296</c:v>
                </c:pt>
                <c:pt idx="678">
                  <c:v>3039.7540176945431</c:v>
                </c:pt>
                <c:pt idx="679">
                  <c:v>3039.109727915315</c:v>
                </c:pt>
                <c:pt idx="680">
                  <c:v>3038.3677485850767</c:v>
                </c:pt>
                <c:pt idx="681">
                  <c:v>3037.5281529542294</c:v>
                </c:pt>
                <c:pt idx="682">
                  <c:v>3036.5910185704206</c:v>
                </c:pt>
                <c:pt idx="683">
                  <c:v>3035.5564276555742</c:v>
                </c:pt>
                <c:pt idx="684">
                  <c:v>3034.4244674331426</c:v>
                </c:pt>
                <c:pt idx="685">
                  <c:v>3033.1952304091938</c:v>
                </c:pt>
                <c:pt idx="686">
                  <c:v>3031.8688146115232</c:v>
                </c:pt>
                <c:pt idx="687">
                  <c:v>3030.4453237911957</c:v>
                </c:pt>
                <c:pt idx="688">
                  <c:v>3028.9248675908698</c:v>
                </c:pt>
                <c:pt idx="689">
                  <c:v>3027.3075616840315</c:v>
                </c:pt>
                <c:pt idx="690">
                  <c:v>3025.5935278889133</c:v>
                </c:pt>
                <c:pt idx="691">
                  <c:v>3023.7828942604965</c:v>
                </c:pt>
                <c:pt idx="692">
                  <c:v>3021.8757951635862</c:v>
                </c:pt>
                <c:pt idx="693">
                  <c:v>3019.8723713295626</c:v>
                </c:pt>
                <c:pt idx="694">
                  <c:v>3017.7727698990529</c:v>
                </c:pt>
                <c:pt idx="695">
                  <c:v>3015.5771444524394</c:v>
                </c:pt>
                <c:pt idx="696">
                  <c:v>3013.2856550298416</c:v>
                </c:pt>
                <c:pt idx="697">
                  <c:v>3010.8984681419538</c:v>
                </c:pt>
                <c:pt idx="698">
                  <c:v>3008.4157567729121</c:v>
                </c:pt>
                <c:pt idx="699">
                  <c:v>3005.8377003761821</c:v>
                </c:pt>
                <c:pt idx="700">
                  <c:v>3003.1644848643055</c:v>
                </c:pt>
                <c:pt idx="701">
                  <c:v>3000.3963025932112</c:v>
                </c:pt>
                <c:pt idx="702">
                  <c:v>2997.5333523416948</c:v>
                </c:pt>
                <c:pt idx="703">
                  <c:v>2994.575839286576</c:v>
                </c:pt>
                <c:pt idx="704">
                  <c:v>2991.5239749739626</c:v>
                </c:pt>
                <c:pt idx="705">
                  <c:v>2988.377977286998</c:v>
                </c:pt>
                <c:pt idx="706">
                  <c:v>2985.1380704104045</c:v>
                </c:pt>
                <c:pt idx="707">
                  <c:v>2981.8044847920946</c:v>
                </c:pt>
                <c:pt idx="708">
                  <c:v>2978.3774571020895</c:v>
                </c:pt>
                <c:pt idx="709">
                  <c:v>2974.8572301889435</c:v>
                </c:pt>
                <c:pt idx="710">
                  <c:v>2971.2440530338581</c:v>
                </c:pt>
                <c:pt idx="711">
                  <c:v>2967.5381807026356</c:v>
                </c:pt>
                <c:pt idx="712">
                  <c:v>2963.7398742956134</c:v>
                </c:pt>
                <c:pt idx="713">
                  <c:v>2959.8494008957014</c:v>
                </c:pt>
                <c:pt idx="714">
                  <c:v>2955.8670335146276</c:v>
                </c:pt>
                <c:pt idx="715">
                  <c:v>2951.7930510374927</c:v>
                </c:pt>
                <c:pt idx="716">
                  <c:v>2947.6277381657205</c:v>
                </c:pt>
                <c:pt idx="717">
                  <c:v>2943.3713853584841</c:v>
                </c:pt>
                <c:pt idx="718">
                  <c:v>2939.0242887726813</c:v>
                </c:pt>
                <c:pt idx="719">
                  <c:v>2934.586750201528</c:v>
                </c:pt>
                <c:pt idx="720">
                  <c:v>2930.0590770118306</c:v>
                </c:pt>
                <c:pt idx="721">
                  <c:v>2925.4415820799964</c:v>
                </c:pt>
                <c:pt idx="722">
                  <c:v>2920.7345837268376</c:v>
                </c:pt>
                <c:pt idx="723">
                  <c:v>2915.9384056512208</c:v>
                </c:pt>
                <c:pt idx="724">
                  <c:v>2911.0533768626078</c:v>
                </c:pt>
                <c:pt idx="725">
                  <c:v>2906.0798316125406</c:v>
                </c:pt>
                <c:pt idx="726">
                  <c:v>2901.0181093251094</c:v>
                </c:pt>
                <c:pt idx="727">
                  <c:v>2895.868554526452</c:v>
                </c:pt>
                <c:pt idx="728">
                  <c:v>2890.6315167733223</c:v>
                </c:pt>
                <c:pt idx="729">
                  <c:v>2885.3073505807706</c:v>
                </c:pt>
                <c:pt idx="730">
                  <c:v>2879.8964153489746</c:v>
                </c:pt>
                <c:pt idx="731">
                  <c:v>2874.3990752892591</c:v>
                </c:pt>
                <c:pt idx="732">
                  <c:v>2868.8156993493426</c:v>
                </c:pt>
                <c:pt idx="733">
                  <c:v>2863.1466611378455</c:v>
                </c:pt>
                <c:pt idx="734">
                  <c:v>2857.3923388481012</c:v>
                </c:pt>
                <c:pt idx="735">
                  <c:v>2851.5531151812984</c:v>
                </c:pt>
                <c:pt idx="736">
                  <c:v>2845.6293772689955</c:v>
                </c:pt>
                <c:pt idx="737">
                  <c:v>2839.621516595038</c:v>
                </c:pt>
                <c:pt idx="738">
                  <c:v>2833.5299289169143</c:v>
                </c:pt>
                <c:pt idx="739">
                  <c:v>2827.3550141865844</c:v>
                </c:pt>
                <c:pt idx="740">
                  <c:v>2821.0971764708129</c:v>
                </c:pt>
                <c:pt idx="741">
                  <c:v>2814.7568238710401</c:v>
                </c:pt>
                <c:pt idx="742">
                  <c:v>2808.3343684428223</c:v>
                </c:pt>
                <c:pt idx="743">
                  <c:v>2801.8302261148779</c:v>
                </c:pt>
                <c:pt idx="744">
                  <c:v>2795.2448166077638</c:v>
                </c:pt>
                <c:pt idx="745">
                  <c:v>2788.578563352221</c:v>
                </c:pt>
                <c:pt idx="746">
                  <c:v>2781.8318934072158</c:v>
                </c:pt>
                <c:pt idx="747">
                  <c:v>2775.0052373777103</c:v>
                </c:pt>
                <c:pt idx="748">
                  <c:v>2768.0990293321906</c:v>
                </c:pt>
                <c:pt idx="749">
                  <c:v>2761.1137067199838</c:v>
                </c:pt>
                <c:pt idx="750">
                  <c:v>2754.0497102883969</c:v>
                </c:pt>
                <c:pt idx="751">
                  <c:v>2746.9074839997006</c:v>
                </c:pt>
                <c:pt idx="752">
                  <c:v>2739.6874749479944</c:v>
                </c:pt>
                <c:pt idx="753">
                  <c:v>2732.3901332759788</c:v>
                </c:pt>
                <c:pt idx="754">
                  <c:v>2725.0159120916628</c:v>
                </c:pt>
                <c:pt idx="755">
                  <c:v>2717.5652673850359</c:v>
                </c:pt>
                <c:pt idx="756">
                  <c:v>2710.0386579447345</c:v>
                </c:pt>
                <c:pt idx="757">
                  <c:v>2702.4365452747275</c:v>
                </c:pt>
                <c:pt idx="758">
                  <c:v>2694.7593935110508</c:v>
                </c:pt>
                <c:pt idx="759">
                  <c:v>2687.0076693386177</c:v>
                </c:pt>
                <c:pt idx="760">
                  <c:v>2679.1818419081301</c:v>
                </c:pt>
                <c:pt idx="761">
                  <c:v>2671.2823827531188</c:v>
                </c:pt>
                <c:pt idx="762">
                  <c:v>2663.309765707138</c:v>
                </c:pt>
                <c:pt idx="763">
                  <c:v>2655.2644668211406</c:v>
                </c:pt>
                <c:pt idx="764">
                  <c:v>2647.1469642810589</c:v>
                </c:pt>
                <c:pt idx="765">
                  <c:v>2638.9577383256155</c:v>
                </c:pt>
                <c:pt idx="766">
                  <c:v>2630.6972711643875</c:v>
                </c:pt>
                <c:pt idx="767">
                  <c:v>2622.366046896153</c:v>
                </c:pt>
                <c:pt idx="768">
                  <c:v>2613.9645514275371</c:v>
                </c:pt>
                <c:pt idx="769">
                  <c:v>2605.4932723919851</c:v>
                </c:pt>
                <c:pt idx="770">
                  <c:v>2596.9526990690847</c:v>
                </c:pt>
                <c:pt idx="771">
                  <c:v>2588.343322304258</c:v>
                </c:pt>
                <c:pt idx="772">
                  <c:v>2579.6656344288476</c:v>
                </c:pt>
                <c:pt idx="773">
                  <c:v>2570.9201291806185</c:v>
                </c:pt>
                <c:pt idx="774">
                  <c:v>2562.1073016246914</c:v>
                </c:pt>
                <c:pt idx="775">
                  <c:v>2553.2276480749379</c:v>
                </c:pt>
                <c:pt idx="776">
                  <c:v>2544.2816660158473</c:v>
                </c:pt>
                <c:pt idx="777">
                  <c:v>2535.2698540248934</c:v>
                </c:pt>
                <c:pt idx="778">
                  <c:v>2526.192711695413</c:v>
                </c:pt>
                <c:pt idx="779">
                  <c:v>2517.0507395600225</c:v>
                </c:pt>
                <c:pt idx="780">
                  <c:v>2507.8444390145833</c:v>
                </c:pt>
                <c:pt idx="781">
                  <c:v>2498.5743122427407</c:v>
                </c:pt>
                <c:pt idx="782">
                  <c:v>2489.2408621410477</c:v>
                </c:pt>
                <c:pt idx="783">
                  <c:v>2479.8445922446967</c:v>
                </c:pt>
                <c:pt idx="784">
                  <c:v>2470.3860066538678</c:v>
                </c:pt>
                <c:pt idx="785">
                  <c:v>2460.8656099607183</c:v>
                </c:pt>
                <c:pt idx="786">
                  <c:v>2451.2839071770222</c:v>
                </c:pt>
                <c:pt idx="787">
                  <c:v>2441.6414036624765</c:v>
                </c:pt>
                <c:pt idx="788">
                  <c:v>2431.9386050536914</c:v>
                </c:pt>
                <c:pt idx="789">
                  <c:v>2422.1760171938731</c:v>
                </c:pt>
                <c:pt idx="790">
                  <c:v>2412.35414606322</c:v>
                </c:pt>
                <c:pt idx="791">
                  <c:v>2402.4734977100361</c:v>
                </c:pt>
                <c:pt idx="792">
                  <c:v>2392.5345781825831</c:v>
                </c:pt>
                <c:pt idx="793">
                  <c:v>2382.5378934616774</c:v>
                </c:pt>
                <c:pt idx="794">
                  <c:v>2372.4839493940453</c:v>
                </c:pt>
                <c:pt idx="795">
                  <c:v>2362.3732516264486</c:v>
                </c:pt>
                <c:pt idx="796">
                  <c:v>2352.2063055405883</c:v>
                </c:pt>
                <c:pt idx="797">
                  <c:v>2341.9836161888011</c:v>
                </c:pt>
                <c:pt idx="798">
                  <c:v>2331.7056882305515</c:v>
                </c:pt>
                <c:pt idx="799">
                  <c:v>2321.3730258697365</c:v>
                </c:pt>
                <c:pt idx="800">
                  <c:v>2310.9861327928056</c:v>
                </c:pt>
                <c:pt idx="801">
                  <c:v>2300.545512107708</c:v>
                </c:pt>
                <c:pt idx="802">
                  <c:v>2290.0516662836708</c:v>
                </c:pt>
                <c:pt idx="803">
                  <c:v>2279.505097091821</c:v>
                </c:pt>
                <c:pt idx="804">
                  <c:v>2268.9063055466522</c:v>
                </c:pt>
                <c:pt idx="805">
                  <c:v>2258.2557918483467</c:v>
                </c:pt>
                <c:pt idx="806">
                  <c:v>2247.5540553259575</c:v>
                </c:pt>
                <c:pt idx="807">
                  <c:v>2236.8015943814548</c:v>
                </c:pt>
                <c:pt idx="808">
                  <c:v>2225.9989064346441</c:v>
                </c:pt>
                <c:pt idx="809">
                  <c:v>2215.1464878689576</c:v>
                </c:pt>
                <c:pt idx="810">
                  <c:v>2204.2448339781263</c:v>
                </c:pt>
                <c:pt idx="811">
                  <c:v>2193.2944389137333</c:v>
                </c:pt>
                <c:pt idx="812">
                  <c:v>2182.2957956336559</c:v>
                </c:pt>
                <c:pt idx="813">
                  <c:v>2171.2493958513942</c:v>
                </c:pt>
                <c:pt idx="814">
                  <c:v>2160.155729986292</c:v>
                </c:pt>
                <c:pt idx="815">
                  <c:v>2149.0152871146538</c:v>
                </c:pt>
                <c:pt idx="816">
                  <c:v>2137.8285549217526</c:v>
                </c:pt>
                <c:pt idx="817">
                  <c:v>2126.5960196547403</c:v>
                </c:pt>
                <c:pt idx="818">
                  <c:v>2115.3181660764503</c:v>
                </c:pt>
                <c:pt idx="819">
                  <c:v>2103.9954774201024</c:v>
                </c:pt>
                <c:pt idx="820">
                  <c:v>2092.6284353449041</c:v>
                </c:pt>
                <c:pt idx="821">
                  <c:v>2081.2175198925515</c:v>
                </c:pt>
                <c:pt idx="822">
                  <c:v>2069.7632094446262</c:v>
                </c:pt>
                <c:pt idx="823">
                  <c:v>2058.265980680892</c:v>
                </c:pt>
                <c:pt idx="824">
                  <c:v>2046.7263085384843</c:v>
                </c:pt>
                <c:pt idx="825">
                  <c:v>2035.1446661719956</c:v>
                </c:pt>
                <c:pt idx="826">
                  <c:v>2023.5215249144524</c:v>
                </c:pt>
                <c:pt idx="827">
                  <c:v>2011.8573542391825</c:v>
                </c:pt>
                <c:pt idx="828">
                  <c:v>2000.1526217225701</c:v>
                </c:pt>
                <c:pt idx="829">
                  <c:v>1988.4077930076949</c:v>
                </c:pt>
                <c:pt idx="830">
                  <c:v>1976.6233317688534</c:v>
                </c:pt>
                <c:pt idx="831">
                  <c:v>1964.7996996769591</c:v>
                </c:pt>
                <c:pt idx="832">
                  <c:v>1952.9373563658148</c:v>
                </c:pt>
                <c:pt idx="833">
                  <c:v>1941.0367593992582</c:v>
                </c:pt>
                <c:pt idx="834">
                  <c:v>1929.0983642391723</c:v>
                </c:pt>
                <c:pt idx="835">
                  <c:v>1917.1226242143571</c:v>
                </c:pt>
                <c:pt idx="836">
                  <c:v>1905.1099904902599</c:v>
                </c:pt>
                <c:pt idx="837">
                  <c:v>1893.0609120395563</c:v>
                </c:pt>
                <c:pt idx="838">
                  <c:v>1880.9758356135783</c:v>
                </c:pt>
                <c:pt idx="839">
                  <c:v>1868.8552057145832</c:v>
                </c:pt>
                <c:pt idx="840">
                  <c:v>1856.6994645688596</c:v>
                </c:pt>
                <c:pt idx="841">
                  <c:v>1844.5090521006607</c:v>
                </c:pt>
                <c:pt idx="842">
                  <c:v>1832.284405906963</c:v>
                </c:pt>
                <c:pt idx="843">
                  <c:v>1820.0259612330412</c:v>
                </c:pt>
                <c:pt idx="844">
                  <c:v>1807.7341509488538</c:v>
                </c:pt>
                <c:pt idx="845">
                  <c:v>1795.4094055262324</c:v>
                </c:pt>
                <c:pt idx="846">
                  <c:v>1783.0521530168692</c:v>
                </c:pt>
                <c:pt idx="847">
                  <c:v>1770.6628190310921</c:v>
                </c:pt>
                <c:pt idx="848">
                  <c:v>1758.2418267174248</c:v>
                </c:pt>
                <c:pt idx="849">
                  <c:v>1745.7895967429204</c:v>
                </c:pt>
                <c:pt idx="850">
                  <c:v>1733.3065472742637</c:v>
                </c:pt>
                <c:pt idx="851">
                  <c:v>1720.7930939596333</c:v>
                </c:pt>
                <c:pt idx="852">
                  <c:v>1708.2496499113151</c:v>
                </c:pt>
                <c:pt idx="853">
                  <c:v>1695.676625689061</c:v>
                </c:pt>
                <c:pt idx="854">
                  <c:v>1683.074429284183</c:v>
                </c:pt>
                <c:pt idx="855">
                  <c:v>1670.4434661043751</c:v>
                </c:pt>
                <c:pt idx="856">
                  <c:v>1657.7841389592554</c:v>
                </c:pt>
                <c:pt idx="857">
                  <c:v>1645.0968480466179</c:v>
                </c:pt>
                <c:pt idx="858">
                  <c:v>1632.3819909393887</c:v>
                </c:pt>
                <c:pt idx="859">
                  <c:v>1619.6399625732745</c:v>
                </c:pt>
                <c:pt idx="860">
                  <c:v>1606.8711552350967</c:v>
                </c:pt>
                <c:pt idx="861">
                  <c:v>1594.0759585518024</c:v>
                </c:pt>
                <c:pt idx="862">
                  <c:v>1581.2547594801422</c:v>
                </c:pt>
                <c:pt idx="863">
                  <c:v>1568.4079422970074</c:v>
                </c:pt>
                <c:pt idx="864">
                  <c:v>1555.5358885904152</c:v>
                </c:pt>
                <c:pt idx="865">
                  <c:v>1542.6389772511368</c:v>
                </c:pt>
                <c:pt idx="866">
                  <c:v>1529.7175844649541</c:v>
                </c:pt>
                <c:pt idx="867">
                  <c:v>1516.7720837055413</c:v>
                </c:pt>
                <c:pt idx="868">
                  <c:v>1503.802845727957</c:v>
                </c:pt>
                <c:pt idx="869">
                  <c:v>1490.8102385627419</c:v>
                </c:pt>
                <c:pt idx="870">
                  <c:v>1477.7946275106103</c:v>
                </c:pt>
                <c:pt idx="871">
                  <c:v>1464.7563751377268</c:v>
                </c:pt>
                <c:pt idx="872">
                  <c:v>1451.6958412715587</c:v>
                </c:pt>
                <c:pt idx="873">
                  <c:v>1438.6133829972955</c:v>
                </c:pt>
                <c:pt idx="874">
                  <c:v>1425.5093546548251</c:v>
                </c:pt>
                <c:pt idx="875">
                  <c:v>1412.384107836258</c:v>
                </c:pt>
                <c:pt idx="876">
                  <c:v>1399.2379913839895</c:v>
                </c:pt>
                <c:pt idx="877">
                  <c:v>1386.0713513892929</c:v>
                </c:pt>
                <c:pt idx="878">
                  <c:v>1372.884531191429</c:v>
                </c:pt>
                <c:pt idx="879">
                  <c:v>1359.6778713772703</c:v>
                </c:pt>
                <c:pt idx="880">
                  <c:v>1346.451709781423</c:v>
                </c:pt>
                <c:pt idx="881">
                  <c:v>1333.2063814868418</c:v>
                </c:pt>
                <c:pt idx="882">
                  <c:v>1319.9422188259284</c:v>
                </c:pt>
                <c:pt idx="883">
                  <c:v>1306.6595513821019</c:v>
                </c:pt>
                <c:pt idx="884">
                  <c:v>1293.3587059918336</c:v>
                </c:pt>
                <c:pt idx="885">
                  <c:v>1280.0400067471369</c:v>
                </c:pt>
                <c:pt idx="886">
                  <c:v>1266.7037749985029</c:v>
                </c:pt>
                <c:pt idx="887">
                  <c:v>1253.3503293582728</c:v>
                </c:pt>
                <c:pt idx="888">
                  <c:v>1239.9799857044368</c:v>
                </c:pt>
                <c:pt idx="889">
                  <c:v>1226.5930571848533</c:v>
                </c:pt>
                <c:pt idx="890">
                  <c:v>1213.1898542218757</c:v>
                </c:pt>
                <c:pt idx="891">
                  <c:v>1199.7706845173814</c:v>
                </c:pt>
                <c:pt idx="892">
                  <c:v>1186.3358530581913</c:v>
                </c:pt>
                <c:pt idx="893">
                  <c:v>1172.8856621218731</c:v>
                </c:pt>
                <c:pt idx="894">
                  <c:v>1159.4204112829179</c:v>
                </c:pt>
                <c:pt idx="895">
                  <c:v>1145.9403974192837</c:v>
                </c:pt>
                <c:pt idx="896">
                  <c:v>1132.4459147192938</c:v>
                </c:pt>
                <c:pt idx="897">
                  <c:v>1118.9372546888851</c:v>
                </c:pt>
                <c:pt idx="898">
                  <c:v>1105.4147061591948</c:v>
                </c:pt>
                <c:pt idx="899">
                  <c:v>1091.8785552944801</c:v>
                </c:pt>
                <c:pt idx="900">
                  <c:v>1078.3290856003593</c:v>
                </c:pt>
                <c:pt idx="901">
                  <c:v>1064.7665779323686</c:v>
                </c:pt>
                <c:pt idx="902">
                  <c:v>1051.191310504825</c:v>
                </c:pt>
                <c:pt idx="903">
                  <c:v>1037.6035588999873</c:v>
                </c:pt>
                <c:pt idx="904">
                  <c:v>1024.003596077509</c:v>
                </c:pt>
                <c:pt idx="905">
                  <c:v>1010.3916923841712</c:v>
                </c:pt>
                <c:pt idx="906">
                  <c:v>996.76811556389191</c:v>
                </c:pt>
                <c:pt idx="907">
                  <c:v>983.13313076800137</c:v>
                </c:pt>
                <c:pt idx="908">
                  <c:v>969.48700056577627</c:v>
                </c:pt>
                <c:pt idx="909">
                  <c:v>955.82998495522577</c:v>
                </c:pt>
                <c:pt idx="910">
                  <c:v>942.16234137412084</c:v>
                </c:pt>
                <c:pt idx="911">
                  <c:v>928.48432471126057</c:v>
                </c:pt>
                <c:pt idx="912">
                  <c:v>914.79618731796688</c:v>
                </c:pt>
                <c:pt idx="913">
                  <c:v>901.09817901980171</c:v>
                </c:pt>
                <c:pt idx="914">
                  <c:v>887.39054712849804</c:v>
                </c:pt>
                <c:pt idx="915">
                  <c:v>873.67353645409912</c:v>
                </c:pt>
                <c:pt idx="916">
                  <c:v>859.94738931729773</c:v>
                </c:pt>
                <c:pt idx="917">
                  <c:v>846.21234556196941</c:v>
                </c:pt>
                <c:pt idx="918">
                  <c:v>832.46864256789195</c:v>
                </c:pt>
                <c:pt idx="919">
                  <c:v>818.71651526364565</c:v>
                </c:pt>
                <c:pt idx="920">
                  <c:v>804.95619613968643</c:v>
                </c:pt>
                <c:pt idx="921">
                  <c:v>791.18791526158645</c:v>
                </c:pt>
                <c:pt idx="922">
                  <c:v>777.41190028343476</c:v>
                </c:pt>
                <c:pt idx="923">
                  <c:v>763.62837646139224</c:v>
                </c:pt>
                <c:pt idx="924">
                  <c:v>749.83756666739487</c:v>
                </c:pt>
                <c:pt idx="925">
                  <c:v>736.03969140299807</c:v>
                </c:pt>
                <c:pt idx="926">
                  <c:v>722.2349688133578</c:v>
                </c:pt>
                <c:pt idx="927">
                  <c:v>708.42361470134017</c:v>
                </c:pt>
                <c:pt idx="928">
                  <c:v>694.60584254175626</c:v>
                </c:pt>
                <c:pt idx="929">
                  <c:v>680.78186349571422</c:v>
                </c:pt>
                <c:pt idx="930">
                  <c:v>666.95188642508435</c:v>
                </c:pt>
                <c:pt idx="931">
                  <c:v>653.11611790707082</c:v>
                </c:pt>
                <c:pt idx="932">
                  <c:v>639.27476224888517</c:v>
                </c:pt>
                <c:pt idx="933">
                  <c:v>625.42802150251566</c:v>
                </c:pt>
                <c:pt idx="934">
                  <c:v>611.57609547958759</c:v>
                </c:pt>
                <c:pt idx="935">
                  <c:v>597.71918176630891</c:v>
                </c:pt>
                <c:pt idx="936">
                  <c:v>583.85747573849665</c:v>
                </c:pt>
                <c:pt idx="937">
                  <c:v>569.99117057667877</c:v>
                </c:pt>
                <c:pt idx="938">
                  <c:v>556.12045728126668</c:v>
                </c:pt>
                <c:pt idx="939">
                  <c:v>542.24552468779314</c:v>
                </c:pt>
                <c:pt idx="940">
                  <c:v>528.36655948221164</c:v>
                </c:pt>
                <c:pt idx="941">
                  <c:v>514.48374621625203</c:v>
                </c:pt>
                <c:pt idx="942">
                  <c:v>500.59726732282786</c:v>
                </c:pt>
                <c:pt idx="943">
                  <c:v>486.70730313149136</c:v>
                </c:pt>
                <c:pt idx="944">
                  <c:v>472.81403188393119</c:v>
                </c:pt>
                <c:pt idx="945">
                  <c:v>458.91762974950922</c:v>
                </c:pt>
                <c:pt idx="946">
                  <c:v>445.01827084083158</c:v>
                </c:pt>
                <c:pt idx="947">
                  <c:v>431.1161272293503</c:v>
                </c:pt>
                <c:pt idx="948">
                  <c:v>417.21136896099148</c:v>
                </c:pt>
                <c:pt idx="949">
                  <c:v>403.30416407180576</c:v>
                </c:pt>
                <c:pt idx="950">
                  <c:v>389.39467860363777</c:v>
                </c:pt>
                <c:pt idx="951">
                  <c:v>375.48307661981005</c:v>
                </c:pt>
                <c:pt idx="952">
                  <c:v>361.56952022081867</c:v>
                </c:pt>
                <c:pt idx="953">
                  <c:v>347.654169560036</c:v>
                </c:pt>
                <c:pt idx="954">
                  <c:v>333.73718285941811</c:v>
                </c:pt>
                <c:pt idx="955">
                  <c:v>319.81871642521241</c:v>
                </c:pt>
                <c:pt idx="956">
                  <c:v>305.89892466366302</c:v>
                </c:pt>
                <c:pt idx="957">
                  <c:v>291.97796009670986</c:v>
                </c:pt>
                <c:pt idx="958">
                  <c:v>278.05597337767887</c:v>
                </c:pt>
                <c:pt idx="959">
                  <c:v>264.1331133069599</c:v>
                </c:pt>
                <c:pt idx="960">
                  <c:v>250.20952684766939</c:v>
                </c:pt>
                <c:pt idx="961">
                  <c:v>236.28535914129475</c:v>
                </c:pt>
                <c:pt idx="962">
                  <c:v>222.36075352331758</c:v>
                </c:pt>
                <c:pt idx="963">
                  <c:v>208.43585153881315</c:v>
                </c:pt>
                <c:pt idx="964">
                  <c:v>194.51079295802305</c:v>
                </c:pt>
                <c:pt idx="965">
                  <c:v>180.58571579189848</c:v>
                </c:pt>
                <c:pt idx="966">
                  <c:v>166.66075630761179</c:v>
                </c:pt>
                <c:pt idx="967">
                  <c:v>152.73604904403339</c:v>
                </c:pt>
                <c:pt idx="968">
                  <c:v>138.81172682717178</c:v>
                </c:pt>
                <c:pt idx="969">
                  <c:v>124.88792078557437</c:v>
                </c:pt>
                <c:pt idx="970">
                  <c:v>110.96476036568657</c:v>
                </c:pt>
                <c:pt idx="971">
                  <c:v>97.042373347167114</c:v>
                </c:pt>
                <c:pt idx="972">
                  <c:v>83.12088585815718</c:v>
                </c:pt>
                <c:pt idx="973">
                  <c:v>69.200422390501473</c:v>
                </c:pt>
                <c:pt idx="974">
                  <c:v>55.281105814918973</c:v>
                </c:pt>
                <c:pt idx="975">
                  <c:v>41.363057396121462</c:v>
                </c:pt>
                <c:pt idx="976">
                  <c:v>27.446396807877889</c:v>
                </c:pt>
                <c:pt idx="977">
                  <c:v>13.531242148022644</c:v>
                </c:pt>
                <c:pt idx="978">
                  <c:v>-0.38229004659402044</c:v>
                </c:pt>
                <c:pt idx="979">
                  <c:v>-0.39620273771871234</c:v>
                </c:pt>
                <c:pt idx="980">
                  <c:v>-0.41011542704878123</c:v>
                </c:pt>
                <c:pt idx="981">
                  <c:v>-0.42402811458411444</c:v>
                </c:pt>
                <c:pt idx="982">
                  <c:v>-0.43794080032459931</c:v>
                </c:pt>
                <c:pt idx="983">
                  <c:v>-0.45185348427012323</c:v>
                </c:pt>
                <c:pt idx="984">
                  <c:v>-0.46576616642057356</c:v>
                </c:pt>
                <c:pt idx="985">
                  <c:v>-0.47967884677583766</c:v>
                </c:pt>
                <c:pt idx="986">
                  <c:v>-0.49359152533580292</c:v>
                </c:pt>
                <c:pt idx="987">
                  <c:v>-0.50750420210035674</c:v>
                </c:pt>
                <c:pt idx="988">
                  <c:v>-0.52141687706938644</c:v>
                </c:pt>
                <c:pt idx="989">
                  <c:v>-0.53532955024277928</c:v>
                </c:pt>
                <c:pt idx="990">
                  <c:v>-0.5492422216204228</c:v>
                </c:pt>
                <c:pt idx="991">
                  <c:v>-0.5631548912022043</c:v>
                </c:pt>
                <c:pt idx="992">
                  <c:v>-0.57706755898801121</c:v>
                </c:pt>
                <c:pt idx="993">
                  <c:v>-0.59098022497773084</c:v>
                </c:pt>
                <c:pt idx="994">
                  <c:v>-0.60489288917125061</c:v>
                </c:pt>
                <c:pt idx="995">
                  <c:v>-0.61880555156845785</c:v>
                </c:pt>
                <c:pt idx="996">
                  <c:v>-0.63271821216923996</c:v>
                </c:pt>
                <c:pt idx="997">
                  <c:v>-0.64663087097348437</c:v>
                </c:pt>
                <c:pt idx="998">
                  <c:v>-0.6605435279810784</c:v>
                </c:pt>
                <c:pt idx="999">
                  <c:v>-0.67445618319190948</c:v>
                </c:pt>
                <c:pt idx="1000">
                  <c:v>-0.6883688366058649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02-4CA2-BA56-E0E46E48A268}"/>
            </c:ext>
          </c:extLst>
        </c:ser>
        <c:ser>
          <c:idx val="2"/>
          <c:order val="2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Calculs!$J$4:$J$1004</c:f>
              <c:numCache>
                <c:formatCode>0.00</c:formatCode>
                <c:ptCount val="1001"/>
                <c:pt idx="0">
                  <c:v>0</c:v>
                </c:pt>
                <c:pt idx="1">
                  <c:v>6.9592588447546909E-5</c:v>
                </c:pt>
                <c:pt idx="2">
                  <c:v>4.0215545034946119E-4</c:v>
                </c:pt>
                <c:pt idx="3">
                  <c:v>1.172879364978986E-3</c:v>
                </c:pt>
                <c:pt idx="4">
                  <c:v>2.48462852950594E-3</c:v>
                </c:pt>
                <c:pt idx="5">
                  <c:v>4.4403812879911337E-3</c:v>
                </c:pt>
                <c:pt idx="6">
                  <c:v>7.1432469867924141E-3</c:v>
                </c:pt>
                <c:pt idx="7">
                  <c:v>1.0696482611053213E-2</c:v>
                </c:pt>
                <c:pt idx="8">
                  <c:v>1.520350920987577E-2</c:v>
                </c:pt>
                <c:pt idx="9">
                  <c:v>2.0767928117394252E-2</c:v>
                </c:pt>
                <c:pt idx="10">
                  <c:v>2.7493536976588039E-2</c:v>
                </c:pt>
                <c:pt idx="11">
                  <c:v>3.5454727107106954E-2</c:v>
                </c:pt>
                <c:pt idx="12">
                  <c:v>4.4666784179443614E-2</c:v>
                </c:pt>
                <c:pt idx="13">
                  <c:v>5.5115147665367327E-2</c:v>
                </c:pt>
                <c:pt idx="14">
                  <c:v>6.6784758758921925E-2</c:v>
                </c:pt>
                <c:pt idx="15">
                  <c:v>7.9660285857115168E-2</c:v>
                </c:pt>
                <c:pt idx="16">
                  <c:v>9.3726350724150087E-2</c:v>
                </c:pt>
                <c:pt idx="17">
                  <c:v>0.10896752933945941</c:v>
                </c:pt>
                <c:pt idx="18">
                  <c:v>0.12536835274620342</c:v>
                </c:pt>
                <c:pt idx="19">
                  <c:v>0.14291330790003251</c:v>
                </c:pt>
                <c:pt idx="20">
                  <c:v>0.16158683851791722</c:v>
                </c:pt>
                <c:pt idx="21">
                  <c:v>0.18137334592684917</c:v>
                </c:pt>
                <c:pt idx="22">
                  <c:v>0.20225718991221789</c:v>
                </c:pt>
                <c:pt idx="23">
                  <c:v>0.22422268956566926</c:v>
                </c:pt>
                <c:pt idx="24">
                  <c:v>0.24725412413225328</c:v>
                </c:pt>
                <c:pt idx="25">
                  <c:v>0.27133573385666948</c:v>
                </c:pt>
                <c:pt idx="26">
                  <c:v>0.29645172082842031</c:v>
                </c:pt>
                <c:pt idx="27">
                  <c:v>0.32259024264908276</c:v>
                </c:pt>
                <c:pt idx="28">
                  <c:v>0.34974741509684504</c:v>
                </c:pt>
                <c:pt idx="29">
                  <c:v>0.37796594717522364</c:v>
                </c:pt>
                <c:pt idx="30">
                  <c:v>0.40729014882851039</c:v>
                </c:pt>
                <c:pt idx="31">
                  <c:v>0.4377232935016816</c:v>
                </c:pt>
                <c:pt idx="32">
                  <c:v>0.46926857357445217</c:v>
                </c:pt>
                <c:pt idx="33">
                  <c:v>0.50192907823296296</c:v>
                </c:pt>
                <c:pt idx="34">
                  <c:v>0.53570779902684318</c:v>
                </c:pt>
                <c:pt idx="35">
                  <c:v>0.57060763492669575</c:v>
                </c:pt>
                <c:pt idx="36">
                  <c:v>0.60663139694023893</c:v>
                </c:pt>
                <c:pt idx="37">
                  <c:v>0.64378181233707399</c:v>
                </c:pt>
                <c:pt idx="38">
                  <c:v>0.68206152852515933</c:v>
                </c:pt>
                <c:pt idx="39">
                  <c:v>0.72147311661629165</c:v>
                </c:pt>
                <c:pt idx="40">
                  <c:v>0.76201907471302455</c:v>
                </c:pt>
                <c:pt idx="41">
                  <c:v>0.80370183094532943</c:v>
                </c:pt>
                <c:pt idx="42">
                  <c:v>0.84652374628179472</c:v>
                </c:pt>
                <c:pt idx="43">
                  <c:v>0.89048711713715833</c:v>
                </c:pt>
                <c:pt idx="44">
                  <c:v>0.935594177795398</c:v>
                </c:pt>
                <c:pt idx="45">
                  <c:v>0.98184710266538588</c:v>
                </c:pt>
                <c:pt idx="46">
                  <c:v>1.0292480083841988</c:v>
                </c:pt>
                <c:pt idx="47">
                  <c:v>1.0777989557815135</c:v>
                </c:pt>
                <c:pt idx="48">
                  <c:v>1.1275019517170699</c:v>
                </c:pt>
                <c:pt idx="49">
                  <c:v>1.1783589508019219</c:v>
                </c:pt>
                <c:pt idx="50">
                  <c:v>1.2303718570130888</c:v>
                </c:pt>
                <c:pt idx="51">
                  <c:v>1.2835425252102501</c:v>
                </c:pt>
                <c:pt idx="52">
                  <c:v>1.3378727625622671</c:v>
                </c:pt>
                <c:pt idx="53">
                  <c:v>1.3933643298905627</c:v>
                </c:pt>
                <c:pt idx="54">
                  <c:v>1.4500189429357204</c:v>
                </c:pt>
                <c:pt idx="55">
                  <c:v>1.5078382735530662</c:v>
                </c:pt>
                <c:pt idx="56">
                  <c:v>1.5668239508424726</c:v>
                </c:pt>
                <c:pt idx="57">
                  <c:v>1.6269775622171505</c:v>
                </c:pt>
                <c:pt idx="58">
                  <c:v>1.6883006544157739</c:v>
                </c:pt>
                <c:pt idx="59">
                  <c:v>1.7507947344619046</c:v>
                </c:pt>
                <c:pt idx="60">
                  <c:v>1.8144612705743457</c:v>
                </c:pt>
                <c:pt idx="61">
                  <c:v>1.8793016930317497</c:v>
                </c:pt>
                <c:pt idx="62">
                  <c:v>1.9453173949945302</c:v>
                </c:pt>
                <c:pt idx="63">
                  <c:v>2.0125097332868811</c:v>
                </c:pt>
                <c:pt idx="64">
                  <c:v>2.0808800291414813</c:v>
                </c:pt>
                <c:pt idx="65">
                  <c:v>2.1504295689092645</c:v>
                </c:pt>
                <c:pt idx="66">
                  <c:v>2.2211596047364424</c:v>
                </c:pt>
                <c:pt idx="67">
                  <c:v>2.2930713552108126</c:v>
                </c:pt>
                <c:pt idx="68">
                  <c:v>2.3661660059792204</c:v>
                </c:pt>
                <c:pt idx="69">
                  <c:v>2.4404447103379141</c:v>
                </c:pt>
                <c:pt idx="70">
                  <c:v>2.5159085897974016</c:v>
                </c:pt>
                <c:pt idx="71">
                  <c:v>2.5925587346233026</c:v>
                </c:pt>
                <c:pt idx="72">
                  <c:v>2.6703961545319097</c:v>
                </c:pt>
                <c:pt idx="73">
                  <c:v>2.7494217290962908</c:v>
                </c:pt>
                <c:pt idx="74">
                  <c:v>2.8296362576969791</c:v>
                </c:pt>
                <c:pt idx="75">
                  <c:v>2.9110405097301584</c:v>
                </c:pt>
                <c:pt idx="76">
                  <c:v>2.9936352250639677</c:v>
                </c:pt>
                <c:pt idx="77">
                  <c:v>3.0774211144773687</c:v>
                </c:pt>
                <c:pt idx="78">
                  <c:v>3.1623988600825217</c:v>
                </c:pt>
                <c:pt idx="79">
                  <c:v>3.2485691157315499</c:v>
                </c:pt>
                <c:pt idx="80">
                  <c:v>3.3359325074085171</c:v>
                </c:pt>
                <c:pt idx="81">
                  <c:v>3.424489633607394</c:v>
                </c:pt>
                <c:pt idx="82">
                  <c:v>3.5142410656967424</c:v>
                </c:pt>
                <c:pt idx="83">
                  <c:v>3.6051873482717895</c:v>
                </c:pt>
                <c:pt idx="84">
                  <c:v>3.6973289994945433</c:v>
                </c:pt>
                <c:pt idx="85">
                  <c:v>3.7906665114225402</c:v>
                </c:pt>
                <c:pt idx="86">
                  <c:v>3.8852003503267976</c:v>
                </c:pt>
                <c:pt idx="87">
                  <c:v>3.9809309569995008</c:v>
                </c:pt>
                <c:pt idx="88">
                  <c:v>4.0778587470519261</c:v>
                </c:pt>
                <c:pt idx="89">
                  <c:v>4.175984111203074</c:v>
                </c:pt>
                <c:pt idx="90">
                  <c:v>4.2753074155594586</c:v>
                </c:pt>
                <c:pt idx="91">
                  <c:v>4.3758290018864727</c:v>
                </c:pt>
                <c:pt idx="92">
                  <c:v>4.4775491878717277</c:v>
                </c:pt>
                <c:pt idx="93">
                  <c:v>4.580468267380744</c:v>
                </c:pt>
                <c:pt idx="94">
                  <c:v>4.6845865107053486</c:v>
                </c:pt>
                <c:pt idx="95">
                  <c:v>4.7899041648051126</c:v>
                </c:pt>
                <c:pt idx="96">
                  <c:v>4.8964214535421533</c:v>
                </c:pt>
                <c:pt idx="97">
                  <c:v>5.0041385779095942</c:v>
                </c:pt>
                <c:pt idx="98">
                  <c:v>5.113055716253978</c:v>
                </c:pt>
                <c:pt idx="99">
                  <c:v>5.2231730244918975</c:v>
                </c:pt>
                <c:pt idx="100">
                  <c:v>5.3344906363211049</c:v>
                </c:pt>
                <c:pt idx="101">
                  <c:v>5.4470086634263417</c:v>
                </c:pt>
                <c:pt idx="102">
                  <c:v>5.5607271956801236</c:v>
                </c:pt>
                <c:pt idx="103">
                  <c:v>5.6756463013386975</c:v>
                </c:pt>
                <c:pt idx="104">
                  <c:v>5.7917660272333862</c:v>
                </c:pt>
                <c:pt idx="105">
                  <c:v>5.9090863989575135</c:v>
                </c:pt>
                <c:pt idx="106">
                  <c:v>6.0276074210491046</c:v>
                </c:pt>
                <c:pt idx="107">
                  <c:v>6.1473290771695392</c:v>
                </c:pt>
                <c:pt idx="108">
                  <c:v>6.2682513302783303</c:v>
                </c:pt>
                <c:pt idx="109">
                  <c:v>6.3903741228041948</c:v>
                </c:pt>
                <c:pt idx="110">
                  <c:v>6.5136973768125692</c:v>
                </c:pt>
                <c:pt idx="111">
                  <c:v>6.6382209941697186</c:v>
                </c:pt>
                <c:pt idx="112">
                  <c:v>6.7639448567035885</c:v>
                </c:pt>
                <c:pt idx="113">
                  <c:v>6.8908688263615234</c:v>
                </c:pt>
                <c:pt idx="114">
                  <c:v>7.0189927453649918</c:v>
                </c:pt>
                <c:pt idx="115">
                  <c:v>7.148316436361438</c:v>
                </c:pt>
                <c:pt idx="116">
                  <c:v>7.2788397025733733</c:v>
                </c:pt>
                <c:pt idx="117">
                  <c:v>7.4105623279448301</c:v>
                </c:pt>
                <c:pt idx="118">
                  <c:v>7.543484077285278</c:v>
                </c:pt>
                <c:pt idx="119">
                  <c:v>7.6776046964111089</c:v>
                </c:pt>
                <c:pt idx="120">
                  <c:v>7.8129239122847869</c:v>
                </c:pt>
                <c:pt idx="121">
                  <c:v>7.9494414331517635</c:v>
                </c:pt>
                <c:pt idx="122">
                  <c:v>8.0871569486752399</c:v>
                </c:pt>
                <c:pt idx="123">
                  <c:v>8.2260701300688712</c:v>
                </c:pt>
                <c:pt idx="124">
                  <c:v>8.3661806302274897</c:v>
                </c:pt>
                <c:pt idx="125">
                  <c:v>8.5074880838559253</c:v>
                </c:pt>
                <c:pt idx="126">
                  <c:v>8.6499921075960096</c:v>
                </c:pt>
                <c:pt idx="127">
                  <c:v>8.7936923001518181</c:v>
                </c:pt>
                <c:pt idx="128">
                  <c:v>8.9385882424132426</c:v>
                </c:pt>
                <c:pt idx="129">
                  <c:v>9.0846792530837046</c:v>
                </c:pt>
                <c:pt idx="130">
                  <c:v>9.2319641435110977</c:v>
                </c:pt>
                <c:pt idx="131">
                  <c:v>9.380441461367548</c:v>
                </c:pt>
                <c:pt idx="132">
                  <c:v>9.5301097351468904</c:v>
                </c:pt>
                <c:pt idx="133">
                  <c:v>9.680967474328412</c:v>
                </c:pt>
                <c:pt idx="134">
                  <c:v>9.8330131695388623</c:v>
                </c:pt>
                <c:pt idx="135">
                  <c:v>9.9862452927127787</c:v>
                </c:pt>
                <c:pt idx="136">
                  <c:v>10.140662297251204</c:v>
                </c:pt>
                <c:pt idx="137">
                  <c:v>10.296262618178851</c:v>
                </c:pt>
                <c:pt idx="138">
                  <c:v>10.453044672299761</c:v>
                </c:pt>
                <c:pt idx="139">
                  <c:v>10.611006858351525</c:v>
                </c:pt>
                <c:pt idx="140">
                  <c:v>10.770147557158101</c:v>
                </c:pt>
                <c:pt idx="141">
                  <c:v>10.930465131781297</c:v>
                </c:pt>
                <c:pt idx="142">
                  <c:v>11.091957927670951</c:v>
                </c:pt>
                <c:pt idx="143">
                  <c:v>11.254624272813855</c:v>
                </c:pt>
                <c:pt idx="144">
                  <c:v>11.41846247788148</c:v>
                </c:pt>
                <c:pt idx="145">
                  <c:v>11.58347083637652</c:v>
                </c:pt>
                <c:pt idx="146">
                  <c:v>11.749647624778321</c:v>
                </c:pt>
                <c:pt idx="147">
                  <c:v>11.916991102687208</c:v>
                </c:pt>
                <c:pt idx="148">
                  <c:v>12.085499512967761</c:v>
                </c:pt>
                <c:pt idx="149">
                  <c:v>12.25517108189108</c:v>
                </c:pt>
                <c:pt idx="150">
                  <c:v>12.426004019276046</c:v>
                </c:pt>
                <c:pt idx="151">
                  <c:v>12.59799651862965</c:v>
                </c:pt>
                <c:pt idx="152">
                  <c:v>12.771146757286374</c:v>
                </c:pt>
                <c:pt idx="153">
                  <c:v>12.945452896546692</c:v>
                </c:pt>
                <c:pt idx="154">
                  <c:v>13.120913081814706</c:v>
                </c:pt>
                <c:pt idx="155">
                  <c:v>13.297525442734928</c:v>
                </c:pt>
                <c:pt idx="156">
                  <c:v>13.47528809332826</c:v>
                </c:pt>
                <c:pt idx="157">
                  <c:v>13.654199132127173</c:v>
                </c:pt>
                <c:pt idx="158">
                  <c:v>13.834256642310132</c:v>
                </c:pt>
                <c:pt idx="159">
                  <c:v>14.015458691835258</c:v>
                </c:pt>
                <c:pt idx="160">
                  <c:v>14.197803333573288</c:v>
                </c:pt>
                <c:pt idx="161">
                  <c:v>14.38128860543981</c:v>
                </c:pt>
                <c:pt idx="162">
                  <c:v>14.565912530526832</c:v>
                </c:pt>
                <c:pt idx="163">
                  <c:v>14.751673117233675</c:v>
                </c:pt>
                <c:pt idx="164">
                  <c:v>14.938568359397225</c:v>
                </c:pt>
                <c:pt idx="165">
                  <c:v>15.12659623642155</c:v>
                </c:pt>
                <c:pt idx="166">
                  <c:v>15.315754713406909</c:v>
                </c:pt>
                <c:pt idx="167">
                  <c:v>15.506041741278155</c:v>
                </c:pt>
                <c:pt idx="168">
                  <c:v>15.69745525691256</c:v>
                </c:pt>
                <c:pt idx="169">
                  <c:v>15.889993183267071</c:v>
                </c:pt>
                <c:pt idx="170">
                  <c:v>16.083653429505006</c:v>
                </c:pt>
                <c:pt idx="171">
                  <c:v>16.278433891122202</c:v>
                </c:pt>
                <c:pt idx="172">
                  <c:v>16.474332450072644</c:v>
                </c:pt>
                <c:pt idx="173">
                  <c:v>16.671346974893574</c:v>
                </c:pt>
                <c:pt idx="174">
                  <c:v>16.86947532083007</c:v>
                </c:pt>
                <c:pt idx="175">
                  <c:v>17.068715329959151</c:v>
                </c:pt>
                <c:pt idx="176">
                  <c:v>17.269064831313393</c:v>
                </c:pt>
                <c:pt idx="177">
                  <c:v>17.470521641004044</c:v>
                </c:pt>
                <c:pt idx="178">
                  <c:v>17.673083562343688</c:v>
                </c:pt>
                <c:pt idx="179">
                  <c:v>17.876748385968448</c:v>
                </c:pt>
                <c:pt idx="180">
                  <c:v>18.081513889959727</c:v>
                </c:pt>
                <c:pt idx="181">
                  <c:v>18.287377839965512</c:v>
                </c:pt>
                <c:pt idx="182">
                  <c:v>18.494337989321224</c:v>
                </c:pt>
                <c:pt idx="183">
                  <c:v>18.70239207917016</c:v>
                </c:pt>
                <c:pt idx="184">
                  <c:v>18.911537838583495</c:v>
                </c:pt>
                <c:pt idx="185">
                  <c:v>19.121772984679858</c:v>
                </c:pt>
                <c:pt idx="186">
                  <c:v>19.333095222744515</c:v>
                </c:pt>
                <c:pt idx="187">
                  <c:v>19.545502246348125</c:v>
                </c:pt>
                <c:pt idx="188">
                  <c:v>19.758991737465106</c:v>
                </c:pt>
                <c:pt idx="189">
                  <c:v>19.973561366591593</c:v>
                </c:pt>
                <c:pt idx="190">
                  <c:v>20.18920879286301</c:v>
                </c:pt>
                <c:pt idx="191">
                  <c:v>20.405931664171241</c:v>
                </c:pt>
                <c:pt idx="192">
                  <c:v>20.623727617281432</c:v>
                </c:pt>
                <c:pt idx="193">
                  <c:v>20.84259427794839</c:v>
                </c:pt>
                <c:pt idx="194">
                  <c:v>21.062529261032623</c:v>
                </c:pt>
                <c:pt idx="195">
                  <c:v>21.283530170615986</c:v>
                </c:pt>
                <c:pt idx="196">
                  <c:v>21.505594600116972</c:v>
                </c:pt>
                <c:pt idx="197">
                  <c:v>21.728720132405602</c:v>
                </c:pt>
                <c:pt idx="198">
                  <c:v>21.952904339917989</c:v>
                </c:pt>
                <c:pt idx="199">
                  <c:v>22.178144784770492</c:v>
                </c:pt>
                <c:pt idx="200">
                  <c:v>22.404439018873539</c:v>
                </c:pt>
                <c:pt idx="201">
                  <c:v>22.631784584045068</c:v>
                </c:pt>
                <c:pt idx="202">
                  <c:v>22.860179012123609</c:v>
                </c:pt>
                <c:pt idx="203">
                  <c:v>23.089619825081016</c:v>
                </c:pt>
                <c:pt idx="204">
                  <c:v>23.320104535134824</c:v>
                </c:pt>
                <c:pt idx="205">
                  <c:v>23.551630644860264</c:v>
                </c:pt>
                <c:pt idx="206">
                  <c:v>23.784195584116681</c:v>
                </c:pt>
                <c:pt idx="207">
                  <c:v>24.017796646870739</c:v>
                </c:pt>
                <c:pt idx="208">
                  <c:v>24.252431054422377</c:v>
                </c:pt>
                <c:pt idx="209">
                  <c:v>24.488096018737899</c:v>
                </c:pt>
                <c:pt idx="210">
                  <c:v>24.724788742569402</c:v>
                </c:pt>
                <c:pt idx="211">
                  <c:v>24.962506419573788</c:v>
                </c:pt>
                <c:pt idx="212">
                  <c:v>25.201246234431348</c:v>
                </c:pt>
                <c:pt idx="213">
                  <c:v>25.441005362963917</c:v>
                </c:pt>
                <c:pt idx="214">
                  <c:v>25.681780972252614</c:v>
                </c:pt>
                <c:pt idx="215">
                  <c:v>25.923570220755156</c:v>
                </c:pt>
                <c:pt idx="216">
                  <c:v>26.166370258422738</c:v>
                </c:pt>
                <c:pt idx="217">
                  <c:v>26.410178226816502</c:v>
                </c:pt>
                <c:pt idx="218">
                  <c:v>26.654991259223564</c:v>
                </c:pt>
                <c:pt idx="219">
                  <c:v>26.90080648077263</c:v>
                </c:pt>
                <c:pt idx="220">
                  <c:v>27.147621008549173</c:v>
                </c:pt>
                <c:pt idx="221">
                  <c:v>27.395431951710176</c:v>
                </c:pt>
                <c:pt idx="222">
                  <c:v>27.644236411598456</c:v>
                </c:pt>
                <c:pt idx="223">
                  <c:v>27.894031481856558</c:v>
                </c:pt>
                <c:pt idx="224">
                  <c:v>28.144814248540204</c:v>
                </c:pt>
                <c:pt idx="225">
                  <c:v>28.396581790231306</c:v>
                </c:pt>
                <c:pt idx="226">
                  <c:v>28.649331178150565</c:v>
                </c:pt>
                <c:pt idx="227">
                  <c:v>28.903059476269611</c:v>
                </c:pt>
                <c:pt idx="228">
                  <c:v>29.157763741422716</c:v>
                </c:pt>
                <c:pt idx="229">
                  <c:v>29.413441023418052</c:v>
                </c:pt>
                <c:pt idx="230">
                  <c:v>29.67008836514853</c:v>
                </c:pt>
                <c:pt idx="231">
                  <c:v>29.927702802702171</c:v>
                </c:pt>
                <c:pt idx="232">
                  <c:v>30.186281365472063</c:v>
                </c:pt>
                <c:pt idx="233">
                  <c:v>30.445821076265826</c:v>
                </c:pt>
                <c:pt idx="234">
                  <c:v>30.706318951414669</c:v>
                </c:pt>
                <c:pt idx="235">
                  <c:v>30.967772000881983</c:v>
                </c:pt>
                <c:pt idx="236">
                  <c:v>31.230177228371463</c:v>
                </c:pt>
                <c:pt idx="237">
                  <c:v>31.493531631434813</c:v>
                </c:pt>
                <c:pt idx="238">
                  <c:v>31.75783220157895</c:v>
                </c:pt>
                <c:pt idx="239">
                  <c:v>32.02307592437279</c:v>
                </c:pt>
                <c:pt idx="240">
                  <c:v>32.289259779553554</c:v>
                </c:pt>
                <c:pt idx="241">
                  <c:v>32.5563807411326</c:v>
                </c:pt>
                <c:pt idx="242">
                  <c:v>32.824435553993276</c:v>
                </c:pt>
                <c:pt idx="243">
                  <c:v>33.093420510255243</c:v>
                </c:pt>
                <c:pt idx="244">
                  <c:v>33.363331672865371</c:v>
                </c:pt>
                <c:pt idx="245">
                  <c:v>33.634165099435975</c:v>
                </c:pt>
                <c:pt idx="246">
                  <c:v>33.905916842377763</c:v>
                </c:pt>
                <c:pt idx="247">
                  <c:v>34.17858294903202</c:v>
                </c:pt>
                <c:pt idx="248">
                  <c:v>34.452159461802019</c:v>
                </c:pt>
                <c:pt idx="249">
                  <c:v>34.726642418283717</c:v>
                </c:pt>
                <c:pt idx="250">
                  <c:v>35.002027851395674</c:v>
                </c:pt>
                <c:pt idx="251">
                  <c:v>35.278311789508209</c:v>
                </c:pt>
                <c:pt idx="252">
                  <c:v>35.555490256571801</c:v>
                </c:pt>
                <c:pt idx="253">
                  <c:v>35.833559272244749</c:v>
                </c:pt>
                <c:pt idx="254">
                  <c:v>36.112514852020006</c:v>
                </c:pt>
                <c:pt idx="255">
                  <c:v>36.392353007351311</c:v>
                </c:pt>
                <c:pt idx="256">
                  <c:v>36.673069745778527</c:v>
                </c:pt>
                <c:pt idx="257">
                  <c:v>36.954661071052179</c:v>
                </c:pt>
                <c:pt idx="258">
                  <c:v>37.237122983257258</c:v>
                </c:pt>
                <c:pt idx="259">
                  <c:v>37.520451478936238</c:v>
                </c:pt>
                <c:pt idx="260">
                  <c:v>37.804642551211295</c:v>
                </c:pt>
                <c:pt idx="261">
                  <c:v>38.089692189905762</c:v>
                </c:pt>
                <c:pt idx="262">
                  <c:v>38.375596381664799</c:v>
                </c:pt>
                <c:pt idx="263">
                  <c:v>38.662351110075278</c:v>
                </c:pt>
                <c:pt idx="264">
                  <c:v>38.94995235578488</c:v>
                </c:pt>
                <c:pt idx="265">
                  <c:v>39.238396096620406</c:v>
                </c:pt>
                <c:pt idx="266">
                  <c:v>39.527678307705294</c:v>
                </c:pt>
                <c:pt idx="267">
                  <c:v>39.817794961576332</c:v>
                </c:pt>
                <c:pt idx="268">
                  <c:v>40.108742028299623</c:v>
                </c:pt>
                <c:pt idx="269">
                  <c:v>40.400515475585692</c:v>
                </c:pt>
                <c:pt idx="270">
                  <c:v>40.693111268903834</c:v>
                </c:pt>
                <c:pt idx="271">
                  <c:v>40.986525371595668</c:v>
                </c:pt>
                <c:pt idx="272">
                  <c:v>41.280753744987869</c:v>
                </c:pt>
                <c:pt idx="273">
                  <c:v>41.575792348504102</c:v>
                </c:pt>
                <c:pt idx="274">
                  <c:v>41.871637139776169</c:v>
                </c:pt>
                <c:pt idx="275">
                  <c:v>42.168284074754339</c:v>
                </c:pt>
                <c:pt idx="276">
                  <c:v>42.465729107816877</c:v>
                </c:pt>
                <c:pt idx="277">
                  <c:v>42.76396819187876</c:v>
                </c:pt>
                <c:pt idx="278">
                  <c:v>43.062997278499587</c:v>
                </c:pt>
                <c:pt idx="279">
                  <c:v>43.362812317990695</c:v>
                </c:pt>
                <c:pt idx="280">
                  <c:v>43.663409259521437</c:v>
                </c:pt>
                <c:pt idx="281">
                  <c:v>43.964784051224676</c:v>
                </c:pt>
                <c:pt idx="282">
                  <c:v>44.266932640301455</c:v>
                </c:pt>
                <c:pt idx="283">
                  <c:v>44.569850973124836</c:v>
                </c:pt>
                <c:pt idx="284">
                  <c:v>44.87353526424522</c:v>
                </c:pt>
                <c:pt idx="285">
                  <c:v>45.177982265501512</c:v>
                </c:pt>
                <c:pt idx="286">
                  <c:v>45.483188996947497</c:v>
                </c:pt>
                <c:pt idx="287">
                  <c:v>45.789152477656756</c:v>
                </c:pt>
                <c:pt idx="288">
                  <c:v>46.095869725794813</c:v>
                </c:pt>
                <c:pt idx="289">
                  <c:v>46.403337758690789</c:v>
                </c:pt>
                <c:pt idx="290">
                  <c:v>46.711553592908544</c:v>
                </c:pt>
                <c:pt idx="291">
                  <c:v>47.020514244317354</c:v>
                </c:pt>
                <c:pt idx="292">
                  <c:v>47.330216728162085</c:v>
                </c:pt>
                <c:pt idx="293">
                  <c:v>47.640658059132882</c:v>
                </c:pt>
                <c:pt idx="294">
                  <c:v>47.951835251434353</c:v>
                </c:pt>
                <c:pt idx="295">
                  <c:v>48.263745318854291</c:v>
                </c:pt>
                <c:pt idx="296">
                  <c:v>48.576385274831857</c:v>
                </c:pt>
                <c:pt idx="297">
                  <c:v>48.889752132525317</c:v>
                </c:pt>
                <c:pt idx="298">
                  <c:v>49.203842904879252</c:v>
                </c:pt>
                <c:pt idx="299">
                  <c:v>49.518654604691299</c:v>
                </c:pt>
                <c:pt idx="300">
                  <c:v>49.834184244678383</c:v>
                </c:pt>
                <c:pt idx="301">
                  <c:v>50.150428837542442</c:v>
                </c:pt>
                <c:pt idx="302">
                  <c:v>50.467385396035695</c:v>
                </c:pt>
                <c:pt idx="303">
                  <c:v>50.785050933025381</c:v>
                </c:pt>
                <c:pt idx="304">
                  <c:v>51.103422461558011</c:v>
                </c:pt>
                <c:pt idx="305">
                  <c:v>51.422496994923151</c:v>
                </c:pt>
                <c:pt idx="306">
                  <c:v>51.742271546716673</c:v>
                </c:pt>
                <c:pt idx="307">
                  <c:v>52.06274313090352</c:v>
                </c:pt>
                <c:pt idx="308">
                  <c:v>52.383908761879994</c:v>
                </c:pt>
                <c:pt idx="309">
                  <c:v>52.705765454535538</c:v>
                </c:pt>
                <c:pt idx="310">
                  <c:v>53.028310224314026</c:v>
                </c:pt>
                <c:pt idx="311">
                  <c:v>53.351540087274536</c:v>
                </c:pt>
                <c:pt idx="312">
                  <c:v>53.675452060151663</c:v>
                </c:pt>
                <c:pt idx="313">
                  <c:v>54.000043160415323</c:v>
                </c:pt>
                <c:pt idx="314">
                  <c:v>54.325310406330047</c:v>
                </c:pt>
                <c:pt idx="315">
                  <c:v>54.651250817013803</c:v>
                </c:pt>
                <c:pt idx="316">
                  <c:v>54.977861412496324</c:v>
                </c:pt>
                <c:pt idx="317">
                  <c:v>55.305139213776911</c:v>
                </c:pt>
                <c:pt idx="318">
                  <c:v>55.633081242881794</c:v>
                </c:pt>
                <c:pt idx="319">
                  <c:v>55.961684522920947</c:v>
                </c:pt>
                <c:pt idx="320">
                  <c:v>56.290946078144458</c:v>
                </c:pt>
                <c:pt idx="321">
                  <c:v>56.620862933998353</c:v>
                </c:pt>
                <c:pt idx="322">
                  <c:v>56.951432117179998</c:v>
                </c:pt>
                <c:pt idx="323">
                  <c:v>57.282650655692933</c:v>
                </c:pt>
                <c:pt idx="324">
                  <c:v>57.614515578901283</c:v>
                </c:pt>
                <c:pt idx="325">
                  <c:v>57.947023917583635</c:v>
                </c:pt>
                <c:pt idx="326">
                  <c:v>58.280172720881552</c:v>
                </c:pt>
                <c:pt idx="327">
                  <c:v>58.613959073246448</c:v>
                </c:pt>
                <c:pt idx="328">
                  <c:v>58.948380077565936</c:v>
                </c:pt>
                <c:pt idx="329">
                  <c:v>59.283432838290281</c:v>
                </c:pt>
                <c:pt idx="330">
                  <c:v>59.619114461482582</c:v>
                </c:pt>
                <c:pt idx="331">
                  <c:v>59.955422054868478</c:v>
                </c:pt>
                <c:pt idx="332">
                  <c:v>60.292352727885401</c:v>
                </c:pt>
                <c:pt idx="333">
                  <c:v>60.629903591731342</c:v>
                </c:pt>
                <c:pt idx="334">
                  <c:v>60.968071759413192</c:v>
                </c:pt>
                <c:pt idx="335">
                  <c:v>61.306854345794562</c:v>
                </c:pt>
                <c:pt idx="336">
                  <c:v>61.646248467643176</c:v>
                </c:pt>
                <c:pt idx="337">
                  <c:v>61.986251243677799</c:v>
                </c:pt>
                <c:pt idx="338">
                  <c:v>62.326859794614677</c:v>
                </c:pt>
                <c:pt idx="339">
                  <c:v>62.668071243213546</c:v>
                </c:pt>
                <c:pt idx="340">
                  <c:v>63.009882714323162</c:v>
                </c:pt>
                <c:pt idx="341">
                  <c:v>63.35229133492637</c:v>
                </c:pt>
                <c:pt idx="342">
                  <c:v>63.695294234184722</c:v>
                </c:pt>
                <c:pt idx="343">
                  <c:v>64.038888543482628</c:v>
                </c:pt>
                <c:pt idx="344">
                  <c:v>64.383071396471081</c:v>
                </c:pt>
                <c:pt idx="345">
                  <c:v>64.727839929110857</c:v>
                </c:pt>
                <c:pt idx="346">
                  <c:v>65.07319127971536</c:v>
                </c:pt>
                <c:pt idx="347">
                  <c:v>65.419122588992906</c:v>
                </c:pt>
                <c:pt idx="348">
                  <c:v>65.765631000088632</c:v>
                </c:pt>
                <c:pt idx="349">
                  <c:v>66.112713658625935</c:v>
                </c:pt>
                <c:pt idx="350">
                  <c:v>66.460367712747427</c:v>
                </c:pt>
                <c:pt idx="351">
                  <c:v>66.808590313155506</c:v>
                </c:pt>
                <c:pt idx="352">
                  <c:v>67.157378613152417</c:v>
                </c:pt>
                <c:pt idx="353">
                  <c:v>67.50672976867989</c:v>
                </c:pt>
                <c:pt idx="354">
                  <c:v>67.856640938358353</c:v>
                </c:pt>
                <c:pt idx="355">
                  <c:v>68.207109283525668</c:v>
                </c:pt>
                <c:pt idx="356">
                  <c:v>68.558131968275433</c:v>
                </c:pt>
                <c:pt idx="357">
                  <c:v>68.90970615949486</c:v>
                </c:pt>
                <c:pt idx="358">
                  <c:v>69.26182902690222</c:v>
                </c:pt>
                <c:pt idx="359">
                  <c:v>69.614497743083817</c:v>
                </c:pt>
                <c:pt idx="360">
                  <c:v>69.967709483530527</c:v>
                </c:pt>
                <c:pt idx="361">
                  <c:v>70.321461426673935</c:v>
                </c:pt>
                <c:pt idx="362">
                  <c:v>70.675750753922017</c:v>
                </c:pt>
                <c:pt idx="363">
                  <c:v>71.030574649694387</c:v>
                </c:pt>
                <c:pt idx="364">
                  <c:v>71.385930301457122</c:v>
                </c:pt>
                <c:pt idx="365">
                  <c:v>71.741814899757145</c:v>
                </c:pt>
                <c:pt idx="366">
                  <c:v>72.098226075289318</c:v>
                </c:pt>
                <c:pt idx="367">
                  <c:v>72.45516233576997</c:v>
                </c:pt>
                <c:pt idx="368">
                  <c:v>72.812622627854566</c:v>
                </c:pt>
                <c:pt idx="369">
                  <c:v>73.170605899237927</c:v>
                </c:pt>
                <c:pt idx="370">
                  <c:v>73.529111098666391</c:v>
                </c:pt>
                <c:pt idx="371">
                  <c:v>73.888137175949836</c:v>
                </c:pt>
                <c:pt idx="372">
                  <c:v>74.247683081973619</c:v>
                </c:pt>
                <c:pt idx="373">
                  <c:v>74.607747768710425</c:v>
                </c:pt>
                <c:pt idx="374">
                  <c:v>74.968330189231978</c:v>
                </c:pt>
                <c:pt idx="375">
                  <c:v>75.329429297720736</c:v>
                </c:pt>
                <c:pt idx="376">
                  <c:v>75.691044049481391</c:v>
                </c:pt>
                <c:pt idx="377">
                  <c:v>76.053173400952318</c:v>
                </c:pt>
                <c:pt idx="378">
                  <c:v>76.415816309716959</c:v>
                </c:pt>
                <c:pt idx="379">
                  <c:v>76.778971734515039</c:v>
                </c:pt>
                <c:pt idx="380">
                  <c:v>77.142638635253732</c:v>
                </c:pt>
                <c:pt idx="381">
                  <c:v>77.506815497845281</c:v>
                </c:pt>
                <c:pt idx="382">
                  <c:v>77.871499859292712</c:v>
                </c:pt>
                <c:pt idx="383">
                  <c:v>78.23668878412316</c:v>
                </c:pt>
                <c:pt idx="384">
                  <c:v>78.602379340583241</c:v>
                </c:pt>
                <c:pt idx="385">
                  <c:v>78.968568600670309</c:v>
                </c:pt>
                <c:pt idx="386">
                  <c:v>79.335253640163273</c:v>
                </c:pt>
                <c:pt idx="387">
                  <c:v>79.702431538652959</c:v>
                </c:pt>
                <c:pt idx="388">
                  <c:v>80.070099379572014</c:v>
                </c:pt>
                <c:pt idx="389">
                  <c:v>80.438254250224389</c:v>
                </c:pt>
                <c:pt idx="390">
                  <c:v>80.806893241814379</c:v>
                </c:pt>
                <c:pt idx="391">
                  <c:v>81.176013449475207</c:v>
                </c:pt>
                <c:pt idx="392">
                  <c:v>81.545611972297209</c:v>
                </c:pt>
                <c:pt idx="393">
                  <c:v>81.915685913355532</c:v>
                </c:pt>
                <c:pt idx="394">
                  <c:v>82.286232379737484</c:v>
                </c:pt>
                <c:pt idx="395">
                  <c:v>82.657248482569329</c:v>
                </c:pt>
                <c:pt idx="396">
                  <c:v>83.0287313370428</c:v>
                </c:pt>
                <c:pt idx="397">
                  <c:v>83.400678062441074</c:v>
                </c:pt>
                <c:pt idx="398">
                  <c:v>83.773085782164372</c:v>
                </c:pt>
                <c:pt idx="399">
                  <c:v>84.145951623755124</c:v>
                </c:pt>
                <c:pt idx="400">
                  <c:v>84.519272718922736</c:v>
                </c:pt>
                <c:pt idx="401">
                  <c:v>84.893045827007811</c:v>
                </c:pt>
                <c:pt idx="402">
                  <c:v>85.26726695870785</c:v>
                </c:pt>
                <c:pt idx="403">
                  <c:v>85.641931753764439</c:v>
                </c:pt>
                <c:pt idx="404">
                  <c:v>86.01703585839789</c:v>
                </c:pt>
                <c:pt idx="405">
                  <c:v>86.392574925349251</c:v>
                </c:pt>
                <c:pt idx="406">
                  <c:v>86.768544613921534</c:v>
                </c:pt>
                <c:pt idx="407">
                  <c:v>87.144940590020042</c:v>
                </c:pt>
                <c:pt idx="408">
                  <c:v>87.521758526191945</c:v>
                </c:pt>
                <c:pt idx="409">
                  <c:v>87.898994101664968</c:v>
                </c:pt>
                <c:pt idx="410">
                  <c:v>88.276643002385256</c:v>
                </c:pt>
                <c:pt idx="411">
                  <c:v>88.654698832990491</c:v>
                </c:pt>
                <c:pt idx="412">
                  <c:v>89.033151030493684</c:v>
                </c:pt>
                <c:pt idx="413">
                  <c:v>89.411986958960128</c:v>
                </c:pt>
                <c:pt idx="414">
                  <c:v>89.791194002572951</c:v>
                </c:pt>
                <c:pt idx="415">
                  <c:v>90.170759565866277</c:v>
                </c:pt>
                <c:pt idx="416">
                  <c:v>90.550671073952486</c:v>
                </c:pt>
                <c:pt idx="417">
                  <c:v>90.930915972743534</c:v>
                </c:pt>
                <c:pt idx="418">
                  <c:v>91.311481729166488</c:v>
                </c:pt>
                <c:pt idx="419">
                  <c:v>91.692355831373149</c:v>
                </c:pt>
                <c:pt idx="420">
                  <c:v>92.073524597531019</c:v>
                </c:pt>
                <c:pt idx="421">
                  <c:v>92.454971985879723</c:v>
                </c:pt>
                <c:pt idx="422">
                  <c:v>92.836680790567286</c:v>
                </c:pt>
                <c:pt idx="423">
                  <c:v>93.21863383629811</c:v>
                </c:pt>
                <c:pt idx="424">
                  <c:v>93.600813978688564</c:v>
                </c:pt>
                <c:pt idx="425">
                  <c:v>93.983204104612028</c:v>
                </c:pt>
                <c:pt idx="426">
                  <c:v>94.365787132533342</c:v>
                </c:pt>
                <c:pt idx="427">
                  <c:v>94.748546012832804</c:v>
                </c:pt>
                <c:pt idx="428">
                  <c:v>95.131463728119712</c:v>
                </c:pt>
                <c:pt idx="429">
                  <c:v>95.514523293535589</c:v>
                </c:pt>
                <c:pt idx="430">
                  <c:v>95.897707757047129</c:v>
                </c:pt>
                <c:pt idx="431">
                  <c:v>96.281000199728922</c:v>
                </c:pt>
                <c:pt idx="432">
                  <c:v>96.66438180882497</c:v>
                </c:pt>
                <c:pt idx="433">
                  <c:v>97.047829953626476</c:v>
                </c:pt>
                <c:pt idx="434">
                  <c:v>97.431320120968266</c:v>
                </c:pt>
                <c:pt idx="435">
                  <c:v>97.814827848065576</c:v>
                </c:pt>
                <c:pt idx="436">
                  <c:v>98.198328723094761</c:v>
                </c:pt>
                <c:pt idx="437">
                  <c:v>98.581798385752862</c:v>
                </c:pt>
                <c:pt idx="438">
                  <c:v>98.965212527796282</c:v>
                </c:pt>
                <c:pt idx="439">
                  <c:v>99.348546893558677</c:v>
                </c:pt>
                <c:pt idx="440">
                  <c:v>99.731777280448185</c:v>
                </c:pt>
                <c:pt idx="441">
                  <c:v>100.11487953942422</c:v>
                </c:pt>
                <c:pt idx="442">
                  <c:v>100.49783074939688</c:v>
                </c:pt>
                <c:pt idx="443">
                  <c:v>100.88061038938136</c:v>
                </c:pt>
                <c:pt idx="444">
                  <c:v>101.26319915934153</c:v>
                </c:pt>
                <c:pt idx="445">
                  <c:v>101.64557780314284</c:v>
                </c:pt>
                <c:pt idx="446">
                  <c:v>102.02772710874127</c:v>
                </c:pt>
                <c:pt idx="447">
                  <c:v>102.40962790835982</c:v>
                </c:pt>
                <c:pt idx="448">
                  <c:v>102.79126107865292</c:v>
                </c:pt>
                <c:pt idx="449">
                  <c:v>103.17260754085876</c:v>
                </c:pt>
                <c:pt idx="450">
                  <c:v>103.5536482609396</c:v>
                </c:pt>
                <c:pt idx="451">
                  <c:v>103.93436424971023</c:v>
                </c:pt>
                <c:pt idx="452">
                  <c:v>104.31473656295478</c:v>
                </c:pt>
                <c:pt idx="453">
                  <c:v>104.69474798780902</c:v>
                </c:pt>
                <c:pt idx="454">
                  <c:v>105.07438472539816</c:v>
                </c:pt>
                <c:pt idx="455">
                  <c:v>105.45363469584179</c:v>
                </c:pt>
                <c:pt idx="456">
                  <c:v>105.83248584691881</c:v>
                </c:pt>
                <c:pt idx="457">
                  <c:v>106.21092615400725</c:v>
                </c:pt>
                <c:pt idx="458">
                  <c:v>106.58894362001992</c:v>
                </c:pt>
                <c:pt idx="459">
                  <c:v>106.96652627533621</c:v>
                </c:pt>
                <c:pt idx="460">
                  <c:v>107.34366217772991</c:v>
                </c:pt>
                <c:pt idx="461">
                  <c:v>107.72034093320448</c:v>
                </c:pt>
                <c:pt idx="462">
                  <c:v>108.09655521328821</c:v>
                </c:pt>
                <c:pt idx="463">
                  <c:v>108.47229922592631</c:v>
                </c:pt>
                <c:pt idx="464">
                  <c:v>108.8475671899099</c:v>
                </c:pt>
                <c:pt idx="465">
                  <c:v>109.22235333479566</c:v>
                </c:pt>
                <c:pt idx="466">
                  <c:v>109.59665062132612</c:v>
                </c:pt>
                <c:pt idx="467">
                  <c:v>109.97044946485741</c:v>
                </c:pt>
                <c:pt idx="468">
                  <c:v>110.3437247647491</c:v>
                </c:pt>
                <c:pt idx="469">
                  <c:v>110.71644041757989</c:v>
                </c:pt>
                <c:pt idx="470">
                  <c:v>111.08858106096145</c:v>
                </c:pt>
                <c:pt idx="471">
                  <c:v>111.46014882563458</c:v>
                </c:pt>
                <c:pt idx="472">
                  <c:v>111.83114583058841</c:v>
                </c:pt>
                <c:pt idx="473">
                  <c:v>112.20157418314793</c:v>
                </c:pt>
                <c:pt idx="474">
                  <c:v>112.57143597906058</c:v>
                </c:pt>
                <c:pt idx="475">
                  <c:v>112.94073330258227</c:v>
                </c:pt>
                <c:pt idx="476">
                  <c:v>113.30946822656237</c:v>
                </c:pt>
                <c:pt idx="477">
                  <c:v>113.67764281252802</c:v>
                </c:pt>
                <c:pt idx="478">
                  <c:v>114.04525911076766</c:v>
                </c:pt>
                <c:pt idx="479">
                  <c:v>114.41231916041376</c:v>
                </c:pt>
                <c:pt idx="480">
                  <c:v>114.77882498952478</c:v>
                </c:pt>
                <c:pt idx="481">
                  <c:v>115.1447786151664</c:v>
                </c:pt>
                <c:pt idx="482">
                  <c:v>115.51018204349199</c:v>
                </c:pt>
                <c:pt idx="483">
                  <c:v>115.87503726982231</c:v>
                </c:pt>
                <c:pt idx="484">
                  <c:v>116.23934627872454</c:v>
                </c:pt>
                <c:pt idx="485">
                  <c:v>116.60311104409053</c:v>
                </c:pt>
                <c:pt idx="486">
                  <c:v>116.96633352921435</c:v>
                </c:pt>
                <c:pt idx="487">
                  <c:v>117.3290156868692</c:v>
                </c:pt>
                <c:pt idx="488">
                  <c:v>117.69115945938347</c:v>
                </c:pt>
                <c:pt idx="489">
                  <c:v>118.05276677871628</c:v>
                </c:pt>
                <c:pt idx="490">
                  <c:v>118.41383956653216</c:v>
                </c:pt>
                <c:pt idx="491">
                  <c:v>118.77437973427526</c:v>
                </c:pt>
                <c:pt idx="492">
                  <c:v>119.13438918324269</c:v>
                </c:pt>
                <c:pt idx="493">
                  <c:v>119.49386980465731</c:v>
                </c:pt>
                <c:pt idx="494">
                  <c:v>119.85282347973984</c:v>
                </c:pt>
                <c:pt idx="495">
                  <c:v>120.21125207978032</c:v>
                </c:pt>
                <c:pt idx="496">
                  <c:v>120.56915746620894</c:v>
                </c:pt>
                <c:pt idx="497">
                  <c:v>120.9265414906662</c:v>
                </c:pt>
                <c:pt idx="498">
                  <c:v>121.28340599507248</c:v>
                </c:pt>
                <c:pt idx="499">
                  <c:v>121.63975281169701</c:v>
                </c:pt>
                <c:pt idx="500">
                  <c:v>121.99558376322612</c:v>
                </c:pt>
                <c:pt idx="501">
                  <c:v>125.52566111237144</c:v>
                </c:pt>
                <c:pt idx="502">
                  <c:v>129.00531435236806</c:v>
                </c:pt>
                <c:pt idx="503">
                  <c:v>132.43627952284609</c:v>
                </c:pt>
                <c:pt idx="504">
                  <c:v>135.82020516783027</c:v>
                </c:pt>
                <c:pt idx="505">
                  <c:v>139.15865822168067</c:v>
                </c:pt>
                <c:pt idx="506">
                  <c:v>142.45312940419817</c:v>
                </c:pt>
                <c:pt idx="507">
                  <c:v>145.70503817351332</c:v>
                </c:pt>
                <c:pt idx="508">
                  <c:v>148.91573727982447</c:v>
                </c:pt>
                <c:pt idx="509">
                  <c:v>152.08651695821382</c:v>
                </c:pt>
                <c:pt idx="510">
                  <c:v>155.21860879454582</c:v>
                </c:pt>
                <c:pt idx="511">
                  <c:v>158.31318929475603</c:v>
                </c:pt>
                <c:pt idx="512">
                  <c:v>161.37138318459515</c:v>
                </c:pt>
                <c:pt idx="513">
                  <c:v>164.39426646404206</c:v>
                </c:pt>
                <c:pt idx="514">
                  <c:v>167.3828692380884</c:v>
                </c:pt>
                <c:pt idx="515">
                  <c:v>170.33817834337938</c:v>
                </c:pt>
                <c:pt idx="516">
                  <c:v>173.2611397882352</c:v>
                </c:pt>
                <c:pt idx="517">
                  <c:v>176.15266102183861</c:v>
                </c:pt>
                <c:pt idx="518">
                  <c:v>179.01361304683192</c:v>
                </c:pt>
                <c:pt idx="519">
                  <c:v>181.84483238819362</c:v>
                </c:pt>
                <c:pt idx="520">
                  <c:v>184.64712293004231</c:v>
                </c:pt>
                <c:pt idx="521">
                  <c:v>187.42125763092417</c:v>
                </c:pt>
                <c:pt idx="522">
                  <c:v>190.1679801271645</c:v>
                </c:pt>
                <c:pt idx="523">
                  <c:v>192.88800623299016</c:v>
                </c:pt>
                <c:pt idx="524">
                  <c:v>195.58202534534678</c:v>
                </c:pt>
                <c:pt idx="525">
                  <c:v>198.25070176063011</c:v>
                </c:pt>
                <c:pt idx="526">
                  <c:v>200.89467590991907</c:v>
                </c:pt>
                <c:pt idx="527">
                  <c:v>203.51456551872712</c:v>
                </c:pt>
                <c:pt idx="528">
                  <c:v>206.11096669677511</c:v>
                </c:pt>
                <c:pt idx="529">
                  <c:v>208.68445496282368</c:v>
                </c:pt>
                <c:pt idx="530">
                  <c:v>211.23558620918413</c:v>
                </c:pt>
                <c:pt idx="531">
                  <c:v>213.76489761014562</c:v>
                </c:pt>
                <c:pt idx="532">
                  <c:v>216.27290847821212</c:v>
                </c:pt>
                <c:pt idx="533">
                  <c:v>218.76012107172929</c:v>
                </c:pt>
                <c:pt idx="534">
                  <c:v>221.22702135719754</c:v>
                </c:pt>
                <c:pt idx="535">
                  <c:v>223.67407972930769</c:v>
                </c:pt>
                <c:pt idx="536">
                  <c:v>226.10175169150071</c:v>
                </c:pt>
                <c:pt idx="537">
                  <c:v>228.51047849963757</c:v>
                </c:pt>
                <c:pt idx="538">
                  <c:v>230.90068777116909</c:v>
                </c:pt>
                <c:pt idx="539">
                  <c:v>233.27279406201578</c:v>
                </c:pt>
                <c:pt idx="540">
                  <c:v>235.62719941320441</c:v>
                </c:pt>
                <c:pt idx="541">
                  <c:v>237.96429386915696</c:v>
                </c:pt>
                <c:pt idx="542">
                  <c:v>240.28445596938997</c:v>
                </c:pt>
                <c:pt idx="543">
                  <c:v>242.58805321525625</c:v>
                </c:pt>
                <c:pt idx="544">
                  <c:v>244.87544251324445</c:v>
                </c:pt>
                <c:pt idx="545">
                  <c:v>247.14697059624535</c:v>
                </c:pt>
                <c:pt idx="546">
                  <c:v>249.40297442409556</c:v>
                </c:pt>
                <c:pt idx="547">
                  <c:v>251.64378156461896</c:v>
                </c:pt>
                <c:pt idx="548">
                  <c:v>253.86971055630266</c:v>
                </c:pt>
                <c:pt idx="549">
                  <c:v>256.08107125366763</c:v>
                </c:pt>
                <c:pt idx="550">
                  <c:v>258.27816515632287</c:v>
                </c:pt>
                <c:pt idx="551">
                  <c:v>260.46128572262677</c:v>
                </c:pt>
                <c:pt idx="552">
                  <c:v>262.63071866881825</c:v>
                </c:pt>
                <c:pt idx="553">
                  <c:v>264.78674225442461</c:v>
                </c:pt>
                <c:pt idx="554">
                  <c:v>266.92962755470052</c:v>
                </c:pt>
                <c:pt idx="555">
                  <c:v>269.05963872080486</c:v>
                </c:pt>
                <c:pt idx="556">
                  <c:v>271.17703322837713</c:v>
                </c:pt>
                <c:pt idx="557">
                  <c:v>273.2820621151339</c:v>
                </c:pt>
                <c:pt idx="558">
                  <c:v>275.37497020806688</c:v>
                </c:pt>
                <c:pt idx="559">
                  <c:v>277.45599634078911</c:v>
                </c:pt>
                <c:pt idx="560">
                  <c:v>279.52537356154147</c:v>
                </c:pt>
                <c:pt idx="561">
                  <c:v>281.58332933234146</c:v>
                </c:pt>
                <c:pt idx="562">
                  <c:v>283.63008571972716</c:v>
                </c:pt>
                <c:pt idx="563">
                  <c:v>285.66585957752204</c:v>
                </c:pt>
                <c:pt idx="564">
                  <c:v>287.69086272202179</c:v>
                </c:pt>
                <c:pt idx="565">
                  <c:v>289.70530209998037</c:v>
                </c:pt>
                <c:pt idx="566">
                  <c:v>291.70937994975077</c:v>
                </c:pt>
                <c:pt idx="567">
                  <c:v>293.7032939559158</c:v>
                </c:pt>
                <c:pt idx="568">
                  <c:v>295.68723739772463</c:v>
                </c:pt>
                <c:pt idx="569">
                  <c:v>297.66139929163364</c:v>
                </c:pt>
                <c:pt idx="570">
                  <c:v>299.62596452823254</c:v>
                </c:pt>
                <c:pt idx="571">
                  <c:v>301.58111400382182</c:v>
                </c:pt>
                <c:pt idx="572">
                  <c:v>303.52702474689261</c:v>
                </c:pt>
                <c:pt idx="573">
                  <c:v>305.46387003974587</c:v>
                </c:pt>
                <c:pt idx="574">
                  <c:v>307.39181953547603</c:v>
                </c:pt>
                <c:pt idx="575">
                  <c:v>309.31103937053047</c:v>
                </c:pt>
                <c:pt idx="576">
                  <c:v>311.22169227304653</c:v>
                </c:pt>
                <c:pt idx="577">
                  <c:v>313.12393766715581</c:v>
                </c:pt>
                <c:pt idx="578">
                  <c:v>315.01793177343592</c:v>
                </c:pt>
                <c:pt idx="579">
                  <c:v>316.90382770568056</c:v>
                </c:pt>
                <c:pt idx="580">
                  <c:v>318.78177556414937</c:v>
                </c:pt>
                <c:pt idx="581">
                  <c:v>320.65192252545131</c:v>
                </c:pt>
                <c:pt idx="582">
                  <c:v>322.51441292920663</c:v>
                </c:pt>
                <c:pt idx="583">
                  <c:v>324.36938836162574</c:v>
                </c:pt>
                <c:pt idx="584">
                  <c:v>326.21698773613582</c:v>
                </c:pt>
                <c:pt idx="585">
                  <c:v>328.05734737117933</c:v>
                </c:pt>
                <c:pt idx="586">
                  <c:v>329.89060106530286</c:v>
                </c:pt>
                <c:pt idx="587">
                  <c:v>331.71688016964788</c:v>
                </c:pt>
                <c:pt idx="588">
                  <c:v>333.53631365795047</c:v>
                </c:pt>
                <c:pt idx="589">
                  <c:v>335.34902819415061</c:v>
                </c:pt>
                <c:pt idx="590">
                  <c:v>337.1551481977076</c:v>
                </c:pt>
                <c:pt idx="591">
                  <c:v>338.95479590671289</c:v>
                </c:pt>
                <c:pt idx="592">
                  <c:v>340.74809143888683</c:v>
                </c:pt>
                <c:pt idx="593">
                  <c:v>342.5351528505422</c:v>
                </c:pt>
                <c:pt idx="594">
                  <c:v>344.31609619359295</c:v>
                </c:pt>
                <c:pt idx="595">
                  <c:v>346.09103557068238</c:v>
                </c:pt>
                <c:pt idx="596">
                  <c:v>347.86008318850179</c:v>
                </c:pt>
                <c:pt idx="597">
                  <c:v>349.62334940936694</c:v>
                </c:pt>
                <c:pt idx="598">
                  <c:v>351.38094280111591</c:v>
                </c:pt>
                <c:pt idx="599">
                  <c:v>353.13297018538924</c:v>
                </c:pt>
                <c:pt idx="600">
                  <c:v>354.87953668435006</c:v>
                </c:pt>
                <c:pt idx="601">
                  <c:v>356.62074576589811</c:v>
                </c:pt>
                <c:pt idx="602">
                  <c:v>358.35669928743027</c:v>
                </c:pt>
                <c:pt idx="603">
                  <c:v>360.08749753819563</c:v>
                </c:pt>
                <c:pt idx="604">
                  <c:v>361.81323928029207</c:v>
                </c:pt>
                <c:pt idx="605">
                  <c:v>363.53402178834756</c:v>
                </c:pt>
                <c:pt idx="606">
                  <c:v>365.24994088792761</c:v>
                </c:pt>
                <c:pt idx="607">
                  <c:v>366.9610909927074</c:v>
                </c:pt>
                <c:pt idx="608">
                  <c:v>368.66756514044505</c:v>
                </c:pt>
                <c:pt idx="609">
                  <c:v>370.36945502778968</c:v>
                </c:pt>
                <c:pt idx="610">
                  <c:v>372.06685104395632</c:v>
                </c:pt>
                <c:pt idx="611">
                  <c:v>373.75984230329675</c:v>
                </c:pt>
                <c:pt idx="612">
                  <c:v>375.44851667679313</c:v>
                </c:pt>
                <c:pt idx="613">
                  <c:v>377.1329608224994</c:v>
                </c:pt>
                <c:pt idx="614">
                  <c:v>378.81326021495283</c:v>
                </c:pt>
                <c:pt idx="615">
                  <c:v>380.48949917357578</c:v>
                </c:pt>
                <c:pt idx="616">
                  <c:v>382.16176089008525</c:v>
                </c:pt>
                <c:pt idx="617">
                  <c:v>383.83012745492556</c:v>
                </c:pt>
                <c:pt idx="618">
                  <c:v>385.49467988273716</c:v>
                </c:pt>
                <c:pt idx="619">
                  <c:v>387.15549813687113</c:v>
                </c:pt>
                <c:pt idx="620">
                  <c:v>388.8126611529575</c:v>
                </c:pt>
                <c:pt idx="621">
                  <c:v>390.46624686153126</c:v>
                </c:pt>
                <c:pt idx="622">
                  <c:v>392.11633220971828</c:v>
                </c:pt>
                <c:pt idx="623">
                  <c:v>393.76299318197874</c:v>
                </c:pt>
                <c:pt idx="624">
                  <c:v>395.40630481990348</c:v>
                </c:pt>
                <c:pt idx="625">
                  <c:v>397.04634124105439</c:v>
                </c:pt>
                <c:pt idx="626">
                  <c:v>398.6831756568356</c:v>
                </c:pt>
                <c:pt idx="627">
                  <c:v>400.31688038937904</c:v>
                </c:pt>
                <c:pt idx="628">
                  <c:v>401.9475268874213</c:v>
                </c:pt>
                <c:pt idx="629">
                  <c:v>403.57518574114619</c:v>
                </c:pt>
                <c:pt idx="630">
                  <c:v>405.19992669595848</c:v>
                </c:pt>
                <c:pt idx="631">
                  <c:v>406.82181866515077</c:v>
                </c:pt>
                <c:pt idx="632">
                  <c:v>408.44092974141682</c:v>
                </c:pt>
                <c:pt idx="633">
                  <c:v>410.05732720715713</c:v>
                </c:pt>
                <c:pt idx="634">
                  <c:v>411.67107754351423</c:v>
                </c:pt>
                <c:pt idx="635">
                  <c:v>413.28224643806482</c:v>
                </c:pt>
                <c:pt idx="636">
                  <c:v>414.89089879108559</c:v>
                </c:pt>
                <c:pt idx="637">
                  <c:v>416.49709872029655</c:v>
                </c:pt>
                <c:pt idx="638">
                  <c:v>418.10090956397278</c:v>
                </c:pt>
                <c:pt idx="639">
                  <c:v>419.70239388229925</c:v>
                </c:pt>
                <c:pt idx="640">
                  <c:v>421.30161345682609</c:v>
                </c:pt>
                <c:pt idx="641">
                  <c:v>422.89862928786249</c:v>
                </c:pt>
                <c:pt idx="642">
                  <c:v>424.49350158962443</c:v>
                </c:pt>
                <c:pt idx="643">
                  <c:v>426.08628978292739</c:v>
                </c:pt>
                <c:pt idx="644">
                  <c:v>427.67705248518672</c:v>
                </c:pt>
                <c:pt idx="645">
                  <c:v>429.26584749745689</c:v>
                </c:pt>
                <c:pt idx="646">
                  <c:v>430.85273178820654</c:v>
                </c:pt>
                <c:pt idx="647">
                  <c:v>432.43776147348655</c:v>
                </c:pt>
                <c:pt idx="648">
                  <c:v>434.02099179310608</c:v>
                </c:pt>
                <c:pt idx="649">
                  <c:v>435.60247708238398</c:v>
                </c:pt>
                <c:pt idx="650">
                  <c:v>437.18227073899283</c:v>
                </c:pt>
                <c:pt idx="651">
                  <c:v>438.76042518435798</c:v>
                </c:pt>
                <c:pt idx="652">
                  <c:v>440.33699181901881</c:v>
                </c:pt>
                <c:pt idx="653">
                  <c:v>441.91202097130127</c:v>
                </c:pt>
                <c:pt idx="654">
                  <c:v>443.4855618385983</c:v>
                </c:pt>
                <c:pt idx="655">
                  <c:v>445.05766242050544</c:v>
                </c:pt>
                <c:pt idx="656">
                  <c:v>446.62836944302546</c:v>
                </c:pt>
                <c:pt idx="657">
                  <c:v>448.19772827304064</c:v>
                </c:pt>
                <c:pt idx="658">
                  <c:v>449.76578282227058</c:v>
                </c:pt>
                <c:pt idx="659">
                  <c:v>451.33257543999764</c:v>
                </c:pt>
                <c:pt idx="660">
                  <c:v>452.89814679397318</c:v>
                </c:pt>
                <c:pt idx="661">
                  <c:v>454.46253573913475</c:v>
                </c:pt>
                <c:pt idx="662">
                  <c:v>456.0257791740936</c:v>
                </c:pt>
                <c:pt idx="663">
                  <c:v>457.58791188581756</c:v>
                </c:pt>
                <c:pt idx="664">
                  <c:v>459.14896638355714</c:v>
                </c:pt>
                <c:pt idx="665">
                  <c:v>460.70897272385315</c:v>
                </c:pt>
                <c:pt idx="666">
                  <c:v>462.26795832941536</c:v>
                </c:pt>
                <c:pt idx="667">
                  <c:v>463.82594780573095</c:v>
                </c:pt>
                <c:pt idx="668">
                  <c:v>465.38296276037624</c:v>
                </c:pt>
                <c:pt idx="669">
                  <c:v>466.9390216310394</c:v>
                </c:pt>
                <c:pt idx="670">
                  <c:v>468.49413952905536</c:v>
                </c:pt>
                <c:pt idx="671">
                  <c:v>470.04832810562738</c:v>
                </c:pt>
                <c:pt idx="672">
                  <c:v>471.60159544769635</c:v>
                </c:pt>
                <c:pt idx="673">
                  <c:v>473.15394600951606</c:v>
                </c:pt>
                <c:pt idx="674">
                  <c:v>474.70538058440468</c:v>
                </c:pt>
                <c:pt idx="675">
                  <c:v>476.25589631899953</c:v>
                </c:pt>
                <c:pt idx="676">
                  <c:v>477.80548676989218</c:v>
                </c:pt>
                <c:pt idx="677">
                  <c:v>479.35414200008643</c:v>
                </c:pt>
                <c:pt idx="678">
                  <c:v>480.9018487106124</c:v>
                </c:pt>
                <c:pt idx="679">
                  <c:v>482.44859040109537</c:v>
                </c:pt>
                <c:pt idx="680">
                  <c:v>483.99434755223444</c:v>
                </c:pt>
                <c:pt idx="681">
                  <c:v>485.53909782299098</c:v>
                </c:pt>
                <c:pt idx="682">
                  <c:v>487.08281625571004</c:v>
                </c:pt>
                <c:pt idx="683">
                  <c:v>488.62547548322874</c:v>
                </c:pt>
                <c:pt idx="684">
                  <c:v>490.16704593308594</c:v>
                </c:pt>
                <c:pt idx="685">
                  <c:v>491.70749602507209</c:v>
                </c:pt>
                <c:pt idx="686">
                  <c:v>493.24679235943273</c:v>
                </c:pt>
                <c:pt idx="687">
                  <c:v>494.7848998939848</c:v>
                </c:pt>
                <c:pt idx="688">
                  <c:v>496.3217821091871</c:v>
                </c:pt>
                <c:pt idx="689">
                  <c:v>497.85740116081854</c:v>
                </c:pt>
                <c:pt idx="690">
                  <c:v>499.39171802037254</c:v>
                </c:pt>
                <c:pt idx="691">
                  <c:v>500.92469260359354</c:v>
                </c:pt>
                <c:pt idx="692">
                  <c:v>502.45628388779005</c:v>
                </c:pt>
                <c:pt idx="693">
                  <c:v>503.98645001867959</c:v>
                </c:pt>
                <c:pt idx="694">
                  <c:v>505.51514840757937</c:v>
                </c:pt>
                <c:pt idx="695">
                  <c:v>507.04233581976871</c:v>
                </c:pt>
                <c:pt idx="696">
                  <c:v>508.56796845483018</c:v>
                </c:pt>
                <c:pt idx="697">
                  <c:v>510.09200201973852</c:v>
                </c:pt>
                <c:pt idx="698">
                  <c:v>511.61439179541492</c:v>
                </c:pt>
                <c:pt idx="699">
                  <c:v>513.13509269740871</c:v>
                </c:pt>
                <c:pt idx="700">
                  <c:v>514.65405933131012</c:v>
                </c:pt>
                <c:pt idx="701">
                  <c:v>516.17124604343894</c:v>
                </c:pt>
                <c:pt idx="702">
                  <c:v>517.6866069673024</c:v>
                </c:pt>
                <c:pt idx="703">
                  <c:v>519.20009606626013</c:v>
                </c:pt>
                <c:pt idx="704">
                  <c:v>520.71166717278993</c:v>
                </c:pt>
                <c:pt idx="705">
                  <c:v>522.22127402470426</c:v>
                </c:pt>
                <c:pt idx="706">
                  <c:v>523.7288702986275</c:v>
                </c:pt>
                <c:pt idx="707">
                  <c:v>525.23440964101064</c:v>
                </c:pt>
                <c:pt idx="708">
                  <c:v>526.73784569692873</c:v>
                </c:pt>
                <c:pt idx="709">
                  <c:v>528.23913213687786</c:v>
                </c:pt>
                <c:pt idx="710">
                  <c:v>529.73822268176457</c:v>
                </c:pt>
                <c:pt idx="711">
                  <c:v>531.2350711262601</c:v>
                </c:pt>
                <c:pt idx="712">
                  <c:v>532.72963136066983</c:v>
                </c:pt>
                <c:pt idx="713">
                  <c:v>534.22185739145459</c:v>
                </c:pt>
                <c:pt idx="714">
                  <c:v>535.71170336052273</c:v>
                </c:pt>
                <c:pt idx="715">
                  <c:v>537.19912356340103</c:v>
                </c:pt>
                <c:pt idx="716">
                  <c:v>538.68407246637889</c:v>
                </c:pt>
                <c:pt idx="717">
                  <c:v>540.16650472271135</c:v>
                </c:pt>
                <c:pt idx="718">
                  <c:v>541.64637518795678</c:v>
                </c:pt>
                <c:pt idx="719">
                  <c:v>543.12363893451641</c:v>
                </c:pt>
                <c:pt idx="720">
                  <c:v>544.59825126543728</c:v>
                </c:pt>
                <c:pt idx="721">
                  <c:v>546.07016772753298</c:v>
                </c:pt>
                <c:pt idx="722">
                  <c:v>547.53934412387014</c:v>
                </c:pt>
                <c:pt idx="723">
                  <c:v>549.00573652566538</c:v>
                </c:pt>
                <c:pt idx="724">
                  <c:v>550.46930128363181</c:v>
                </c:pt>
                <c:pt idx="725">
                  <c:v>551.92999503881072</c:v>
                </c:pt>
                <c:pt idx="726">
                  <c:v>553.38777473292021</c:v>
                </c:pt>
                <c:pt idx="727">
                  <c:v>554.84259761825001</c:v>
                </c:pt>
                <c:pt idx="728">
                  <c:v>556.29442126712831</c:v>
                </c:pt>
                <c:pt idx="729">
                  <c:v>557.74320358098498</c:v>
                </c:pt>
                <c:pt idx="730">
                  <c:v>559.18890279903144</c:v>
                </c:pt>
                <c:pt idx="731">
                  <c:v>560.63147750657799</c:v>
                </c:pt>
                <c:pt idx="732">
                  <c:v>562.07088664300511</c:v>
                </c:pt>
                <c:pt idx="733">
                  <c:v>563.507089509406</c:v>
                </c:pt>
                <c:pt idx="734">
                  <c:v>564.94004577591409</c:v>
                </c:pt>
                <c:pt idx="735">
                  <c:v>566.36971548872953</c:v>
                </c:pt>
                <c:pt idx="736">
                  <c:v>567.79605907685698</c:v>
                </c:pt>
                <c:pt idx="737">
                  <c:v>569.2190373585654</c:v>
                </c:pt>
                <c:pt idx="738">
                  <c:v>570.63861154758092</c:v>
                </c:pt>
                <c:pt idx="739">
                  <c:v>572.05474325902173</c:v>
                </c:pt>
                <c:pt idx="740">
                  <c:v>573.46739451508415</c:v>
                </c:pt>
                <c:pt idx="741">
                  <c:v>574.87652775048741</c:v>
                </c:pt>
                <c:pt idx="742">
                  <c:v>576.28210581768531</c:v>
                </c:pt>
                <c:pt idx="743">
                  <c:v>577.68409199185101</c:v>
                </c:pt>
                <c:pt idx="744">
                  <c:v>579.08244997564213</c:v>
                </c:pt>
                <c:pt idx="745">
                  <c:v>580.4771439037512</c:v>
                </c:pt>
                <c:pt idx="746">
                  <c:v>581.86813834724796</c:v>
                </c:pt>
                <c:pt idx="747">
                  <c:v>583.25539831771778</c:v>
                </c:pt>
                <c:pt idx="748">
                  <c:v>584.63888927120206</c:v>
                </c:pt>
                <c:pt idx="749">
                  <c:v>586.01857711194464</c:v>
                </c:pt>
                <c:pt idx="750">
                  <c:v>587.39442819594842</c:v>
                </c:pt>
                <c:pt idx="751">
                  <c:v>588.76640933434646</c:v>
                </c:pt>
                <c:pt idx="752">
                  <c:v>590.13448779659166</c:v>
                </c:pt>
                <c:pt idx="753">
                  <c:v>591.49863131346831</c:v>
                </c:pt>
                <c:pt idx="754">
                  <c:v>592.85880807992896</c:v>
                </c:pt>
                <c:pt idx="755">
                  <c:v>594.21498675776013</c:v>
                </c:pt>
                <c:pt idx="756">
                  <c:v>595.56713647808044</c:v>
                </c:pt>
                <c:pt idx="757">
                  <c:v>596.91522684367305</c:v>
                </c:pt>
                <c:pt idx="758">
                  <c:v>598.25922793115649</c:v>
                </c:pt>
                <c:pt idx="759">
                  <c:v>599.5991102929961</c:v>
                </c:pt>
                <c:pt idx="760">
                  <c:v>600.93484495935888</c:v>
                </c:pt>
                <c:pt idx="761">
                  <c:v>602.26640343981489</c:v>
                </c:pt>
                <c:pt idx="762">
                  <c:v>603.5937577248867</c:v>
                </c:pt>
                <c:pt idx="763">
                  <c:v>604.91688028745057</c:v>
                </c:pt>
                <c:pt idx="764">
                  <c:v>606.23574408399099</c:v>
                </c:pt>
                <c:pt idx="765">
                  <c:v>607.55032255571143</c:v>
                </c:pt>
                <c:pt idx="766">
                  <c:v>608.86058962950312</c:v>
                </c:pt>
                <c:pt idx="767">
                  <c:v>610.16651971877491</c:v>
                </c:pt>
                <c:pt idx="768">
                  <c:v>611.46808772414568</c:v>
                </c:pt>
                <c:pt idx="769">
                  <c:v>612.76526903400179</c:v>
                </c:pt>
                <c:pt idx="770">
                  <c:v>614.05803952492238</c:v>
                </c:pt>
                <c:pt idx="771">
                  <c:v>615.34637556197333</c:v>
                </c:pt>
                <c:pt idx="772">
                  <c:v>616.6302539988734</c:v>
                </c:pt>
                <c:pt idx="773">
                  <c:v>617.90965217803398</c:v>
                </c:pt>
                <c:pt idx="774">
                  <c:v>619.18454793047442</c:v>
                </c:pt>
                <c:pt idx="775">
                  <c:v>620.45491957561524</c:v>
                </c:pt>
                <c:pt idx="776">
                  <c:v>621.72074592095157</c:v>
                </c:pt>
                <c:pt idx="777">
                  <c:v>622.98200626160838</c:v>
                </c:pt>
                <c:pt idx="778">
                  <c:v>624.23868037977968</c:v>
                </c:pt>
                <c:pt idx="779">
                  <c:v>625.4907485440541</c:v>
                </c:pt>
                <c:pt idx="780">
                  <c:v>626.73819150862801</c:v>
                </c:pt>
                <c:pt idx="781">
                  <c:v>627.98099051240933</c:v>
                </c:pt>
                <c:pt idx="782">
                  <c:v>629.21912727801327</c:v>
                </c:pt>
                <c:pt idx="783">
                  <c:v>630.45258401065166</c:v>
                </c:pt>
                <c:pt idx="784">
                  <c:v>631.68134339691926</c:v>
                </c:pt>
                <c:pt idx="785">
                  <c:v>632.9053886034776</c:v>
                </c:pt>
                <c:pt idx="786">
                  <c:v>634.12470327563915</c:v>
                </c:pt>
                <c:pt idx="787">
                  <c:v>635.33927153585341</c:v>
                </c:pt>
                <c:pt idx="788">
                  <c:v>636.54907798209706</c:v>
                </c:pt>
                <c:pt idx="789">
                  <c:v>637.7541076861703</c:v>
                </c:pt>
                <c:pt idx="790">
                  <c:v>638.95434619190098</c:v>
                </c:pt>
                <c:pt idx="791">
                  <c:v>640.14977951325886</c:v>
                </c:pt>
                <c:pt idx="792">
                  <c:v>641.34039413238168</c:v>
                </c:pt>
                <c:pt idx="793">
                  <c:v>642.52617699751522</c:v>
                </c:pt>
                <c:pt idx="794">
                  <c:v>643.70711552086914</c:v>
                </c:pt>
                <c:pt idx="795">
                  <c:v>644.88319757639044</c:v>
                </c:pt>
                <c:pt idx="796">
                  <c:v>646.05441149745707</c:v>
                </c:pt>
                <c:pt idx="797">
                  <c:v>647.22074607449269</c:v>
                </c:pt>
                <c:pt idx="798">
                  <c:v>648.38219055250534</c:v>
                </c:pt>
                <c:pt idx="799">
                  <c:v>649.53873462855165</c:v>
                </c:pt>
                <c:pt idx="800">
                  <c:v>650.6903684491283</c:v>
                </c:pt>
                <c:pt idx="801">
                  <c:v>651.83708260749302</c:v>
                </c:pt>
                <c:pt idx="802">
                  <c:v>652.97886814091669</c:v>
                </c:pt>
                <c:pt idx="803">
                  <c:v>654.11571652786881</c:v>
                </c:pt>
                <c:pt idx="804">
                  <c:v>655.24761968513758</c:v>
                </c:pt>
                <c:pt idx="805">
                  <c:v>656.37456996488754</c:v>
                </c:pt>
                <c:pt idx="806">
                  <c:v>657.49656015165544</c:v>
                </c:pt>
                <c:pt idx="807">
                  <c:v>658.61358345928704</c:v>
                </c:pt>
                <c:pt idx="808">
                  <c:v>659.72563352781651</c:v>
                </c:pt>
                <c:pt idx="809">
                  <c:v>660.8327044202897</c:v>
                </c:pt>
                <c:pt idx="810">
                  <c:v>661.93479061953417</c:v>
                </c:pt>
                <c:pt idx="811">
                  <c:v>663.03188702487694</c:v>
                </c:pt>
                <c:pt idx="812">
                  <c:v>664.12398894881187</c:v>
                </c:pt>
                <c:pt idx="813">
                  <c:v>665.21109211361897</c:v>
                </c:pt>
                <c:pt idx="814">
                  <c:v>666.29319264793696</c:v>
                </c:pt>
                <c:pt idx="815">
                  <c:v>667.37028708329046</c:v>
                </c:pt>
                <c:pt idx="816">
                  <c:v>668.44237235057517</c:v>
                </c:pt>
                <c:pt idx="817">
                  <c:v>669.50944577650046</c:v>
                </c:pt>
                <c:pt idx="818">
                  <c:v>670.57150507999302</c:v>
                </c:pt>
                <c:pt idx="819">
                  <c:v>671.62854836856241</c:v>
                </c:pt>
                <c:pt idx="820">
                  <c:v>672.68057413463021</c:v>
                </c:pt>
                <c:pt idx="821">
                  <c:v>673.72758125182452</c:v>
                </c:pt>
                <c:pt idx="822">
                  <c:v>674.76956897124205</c:v>
                </c:pt>
                <c:pt idx="823">
                  <c:v>675.80653691767816</c:v>
                </c:pt>
                <c:pt idx="824">
                  <c:v>676.83848508582764</c:v>
                </c:pt>
                <c:pt idx="825">
                  <c:v>677.86541383645726</c:v>
                </c:pt>
                <c:pt idx="826">
                  <c:v>678.8873238925521</c:v>
                </c:pt>
                <c:pt idx="827">
                  <c:v>679.90421633543644</c:v>
                </c:pt>
                <c:pt idx="828">
                  <c:v>680.91609260087182</c:v>
                </c:pt>
                <c:pt idx="829">
                  <c:v>681.92295447513288</c:v>
                </c:pt>
                <c:pt idx="830">
                  <c:v>682.92480409106292</c:v>
                </c:pt>
                <c:pt idx="831">
                  <c:v>683.92164392411053</c:v>
                </c:pt>
                <c:pt idx="832">
                  <c:v>684.91347678834916</c:v>
                </c:pt>
                <c:pt idx="833">
                  <c:v>685.90030583248029</c:v>
                </c:pt>
                <c:pt idx="834">
                  <c:v>686.88213453582227</c:v>
                </c:pt>
                <c:pt idx="835">
                  <c:v>687.8589667042861</c:v>
                </c:pt>
                <c:pt idx="836">
                  <c:v>688.83080646633948</c:v>
                </c:pt>
                <c:pt idx="837">
                  <c:v>689.79765826896028</c:v>
                </c:pt>
                <c:pt idx="838">
                  <c:v>690.75952687358097</c:v>
                </c:pt>
                <c:pt idx="839">
                  <c:v>691.7164173520257</c:v>
                </c:pt>
                <c:pt idx="840">
                  <c:v>692.66833508244054</c:v>
                </c:pt>
                <c:pt idx="841">
                  <c:v>693.61528574521878</c:v>
                </c:pt>
                <c:pt idx="842">
                  <c:v>694.55727531892217</c:v>
                </c:pt>
                <c:pt idx="843">
                  <c:v>695.49431007619967</c:v>
                </c:pt>
                <c:pt idx="844">
                  <c:v>696.42639657970449</c:v>
                </c:pt>
                <c:pt idx="845">
                  <c:v>697.35354167801131</c:v>
                </c:pt>
                <c:pt idx="846">
                  <c:v>698.2757525015337</c:v>
                </c:pt>
                <c:pt idx="847">
                  <c:v>699.19303645844411</c:v>
                </c:pt>
                <c:pt idx="848">
                  <c:v>700.10540123059661</c:v>
                </c:pt>
                <c:pt idx="849">
                  <c:v>701.01285476945407</c:v>
                </c:pt>
                <c:pt idx="850">
                  <c:v>701.91540529202075</c:v>
                </c:pt>
                <c:pt idx="851">
                  <c:v>702.81306127678067</c:v>
                </c:pt>
                <c:pt idx="852">
                  <c:v>703.70583145964406</c:v>
                </c:pt>
                <c:pt idx="853">
                  <c:v>704.59372482990159</c:v>
                </c:pt>
                <c:pt idx="854">
                  <c:v>705.47675062618816</c:v>
                </c:pt>
                <c:pt idx="855">
                  <c:v>706.35491833245715</c:v>
                </c:pt>
                <c:pt idx="856">
                  <c:v>707.22823767396562</c:v>
                </c:pt>
                <c:pt idx="857">
                  <c:v>708.09671861327149</c:v>
                </c:pt>
                <c:pt idx="858">
                  <c:v>708.9603713462443</c:v>
                </c:pt>
                <c:pt idx="859">
                  <c:v>709.81920629808951</c:v>
                </c:pt>
                <c:pt idx="860">
                  <c:v>710.67323411938719</c:v>
                </c:pt>
                <c:pt idx="861">
                  <c:v>711.52246568214707</c:v>
                </c:pt>
                <c:pt idx="862">
                  <c:v>712.36691207587899</c:v>
                </c:pt>
                <c:pt idx="863">
                  <c:v>713.20658460368122</c:v>
                </c:pt>
                <c:pt idx="864">
                  <c:v>714.04149477834642</c:v>
                </c:pt>
                <c:pt idx="865">
                  <c:v>714.87165431848587</c:v>
                </c:pt>
                <c:pt idx="866">
                  <c:v>715.69707514467348</c:v>
                </c:pt>
                <c:pt idx="867">
                  <c:v>716.51776937560942</c:v>
                </c:pt>
                <c:pt idx="868">
                  <c:v>717.33374932430479</c:v>
                </c:pt>
                <c:pt idx="869">
                  <c:v>718.14502749428721</c:v>
                </c:pt>
                <c:pt idx="870">
                  <c:v>718.95161657582855</c:v>
                </c:pt>
                <c:pt idx="871">
                  <c:v>719.75352944219526</c:v>
                </c:pt>
                <c:pt idx="872">
                  <c:v>720.55077914592164</c:v>
                </c:pt>
                <c:pt idx="873">
                  <c:v>721.34337891510711</c:v>
                </c:pt>
                <c:pt idx="874">
                  <c:v>722.13134214973729</c:v>
                </c:pt>
                <c:pt idx="875">
                  <c:v>722.91468241803</c:v>
                </c:pt>
                <c:pt idx="876">
                  <c:v>723.69341345280668</c:v>
                </c:pt>
                <c:pt idx="877">
                  <c:v>724.46754914788949</c:v>
                </c:pt>
                <c:pt idx="878">
                  <c:v>725.23710355452431</c:v>
                </c:pt>
                <c:pt idx="879">
                  <c:v>726.00209087783094</c:v>
                </c:pt>
                <c:pt idx="880">
                  <c:v>726.76252547327988</c:v>
                </c:pt>
                <c:pt idx="881">
                  <c:v>727.51842184319685</c:v>
                </c:pt>
                <c:pt idx="882">
                  <c:v>728.26979463329519</c:v>
                </c:pt>
                <c:pt idx="883">
                  <c:v>729.0166586292363</c:v>
                </c:pt>
                <c:pt idx="884">
                  <c:v>729.75902875321924</c:v>
                </c:pt>
                <c:pt idx="885">
                  <c:v>730.49692006059843</c:v>
                </c:pt>
                <c:pt idx="886">
                  <c:v>731.23034773653126</c:v>
                </c:pt>
                <c:pt idx="887">
                  <c:v>731.95932709265526</c:v>
                </c:pt>
                <c:pt idx="888">
                  <c:v>732.68387356379469</c:v>
                </c:pt>
                <c:pt idx="889">
                  <c:v>733.40400270469775</c:v>
                </c:pt>
                <c:pt idx="890">
                  <c:v>734.11973018680385</c:v>
                </c:pt>
                <c:pt idx="891">
                  <c:v>734.83107179504157</c:v>
                </c:pt>
                <c:pt idx="892">
                  <c:v>735.53804342465764</c:v>
                </c:pt>
                <c:pt idx="893">
                  <c:v>736.24066107807653</c:v>
                </c:pt>
                <c:pt idx="894">
                  <c:v>736.93894086179205</c:v>
                </c:pt>
                <c:pt idx="895">
                  <c:v>737.63289898328946</c:v>
                </c:pt>
                <c:pt idx="896">
                  <c:v>738.32255174800002</c:v>
                </c:pt>
                <c:pt idx="897">
                  <c:v>739.00791555628666</c:v>
                </c:pt>
                <c:pt idx="898">
                  <c:v>739.68900690046166</c:v>
                </c:pt>
                <c:pt idx="899">
                  <c:v>740.36584236183671</c:v>
                </c:pt>
                <c:pt idx="900">
                  <c:v>741.03843860780455</c:v>
                </c:pt>
                <c:pt idx="901">
                  <c:v>741.70681238895327</c:v>
                </c:pt>
                <c:pt idx="902">
                  <c:v>742.37098053621241</c:v>
                </c:pt>
                <c:pt idx="903">
                  <c:v>743.03095995803176</c:v>
                </c:pt>
                <c:pt idx="904">
                  <c:v>743.68676763759277</c:v>
                </c:pt>
                <c:pt idx="905">
                  <c:v>744.33842063005181</c:v>
                </c:pt>
                <c:pt idx="906">
                  <c:v>744.98593605981637</c:v>
                </c:pt>
                <c:pt idx="907">
                  <c:v>745.62933111785378</c:v>
                </c:pt>
                <c:pt idx="908">
                  <c:v>746.26862305903228</c:v>
                </c:pt>
                <c:pt idx="909">
                  <c:v>746.90382919949479</c:v>
                </c:pt>
                <c:pt idx="910">
                  <c:v>747.53496691406508</c:v>
                </c:pt>
                <c:pt idx="911">
                  <c:v>748.16205363368636</c:v>
                </c:pt>
                <c:pt idx="912">
                  <c:v>748.78510684289279</c:v>
                </c:pt>
                <c:pt idx="913">
                  <c:v>749.40414407731305</c:v>
                </c:pt>
                <c:pt idx="914">
                  <c:v>750.01918292120627</c:v>
                </c:pt>
                <c:pt idx="915">
                  <c:v>750.63024100503048</c:v>
                </c:pt>
                <c:pt idx="916">
                  <c:v>751.2373360030432</c:v>
                </c:pt>
                <c:pt idx="917">
                  <c:v>751.8404856309345</c:v>
                </c:pt>
                <c:pt idx="918">
                  <c:v>752.43970764349183</c:v>
                </c:pt>
                <c:pt idx="919">
                  <c:v>753.03501983229705</c:v>
                </c:pt>
                <c:pt idx="920">
                  <c:v>753.6264400234553</c:v>
                </c:pt>
                <c:pt idx="921">
                  <c:v>754.21398607535571</c:v>
                </c:pt>
                <c:pt idx="922">
                  <c:v>754.79767587646393</c:v>
                </c:pt>
                <c:pt idx="923">
                  <c:v>755.37752734314608</c:v>
                </c:pt>
                <c:pt idx="924">
                  <c:v>755.95355841752428</c:v>
                </c:pt>
                <c:pt idx="925">
                  <c:v>756.52578706536315</c:v>
                </c:pt>
                <c:pt idx="926">
                  <c:v>757.09423127398816</c:v>
                </c:pt>
                <c:pt idx="927">
                  <c:v>757.65890905023434</c:v>
                </c:pt>
                <c:pt idx="928">
                  <c:v>758.21983841842621</c:v>
                </c:pt>
                <c:pt idx="929">
                  <c:v>758.77703741838809</c:v>
                </c:pt>
                <c:pt idx="930">
                  <c:v>759.33052410348557</c:v>
                </c:pt>
                <c:pt idx="931">
                  <c:v>759.88031653869666</c:v>
                </c:pt>
                <c:pt idx="932">
                  <c:v>760.42643279871356</c:v>
                </c:pt>
                <c:pt idx="933">
                  <c:v>760.96889096607435</c:v>
                </c:pt>
                <c:pt idx="934">
                  <c:v>761.50770912932433</c:v>
                </c:pt>
                <c:pt idx="935">
                  <c:v>762.04290538120733</c:v>
                </c:pt>
                <c:pt idx="936">
                  <c:v>762.57449781688604</c:v>
                </c:pt>
                <c:pt idx="937">
                  <c:v>763.10250453219192</c:v>
                </c:pt>
                <c:pt idx="938">
                  <c:v>763.62694362190405</c:v>
                </c:pt>
                <c:pt idx="939">
                  <c:v>764.14783317805666</c:v>
                </c:pt>
                <c:pt idx="940">
                  <c:v>764.66519128827554</c:v>
                </c:pt>
                <c:pt idx="941">
                  <c:v>765.17903603414265</c:v>
                </c:pt>
                <c:pt idx="942">
                  <c:v>765.68938548958886</c:v>
                </c:pt>
                <c:pt idx="943">
                  <c:v>766.19625771931476</c:v>
                </c:pt>
                <c:pt idx="944">
                  <c:v>766.69967077723925</c:v>
                </c:pt>
                <c:pt idx="945">
                  <c:v>767.19964270497553</c:v>
                </c:pt>
                <c:pt idx="946">
                  <c:v>767.69619153033454</c:v>
                </c:pt>
                <c:pt idx="947">
                  <c:v>768.18933526585499</c:v>
                </c:pt>
                <c:pt idx="948">
                  <c:v>768.67909190736088</c:v>
                </c:pt>
                <c:pt idx="949">
                  <c:v>769.165479432545</c:v>
                </c:pt>
                <c:pt idx="950">
                  <c:v>769.64851579957895</c:v>
                </c:pt>
                <c:pt idx="951">
                  <c:v>770.12821894574938</c:v>
                </c:pt>
                <c:pt idx="952">
                  <c:v>770.60460678612003</c:v>
                </c:pt>
                <c:pt idx="953">
                  <c:v>771.07769721221928</c:v>
                </c:pt>
                <c:pt idx="954">
                  <c:v>771.54750809075279</c:v>
                </c:pt>
                <c:pt idx="955">
                  <c:v>772.01405726234213</c:v>
                </c:pt>
                <c:pt idx="956">
                  <c:v>772.47736254028723</c:v>
                </c:pt>
                <c:pt idx="957">
                  <c:v>772.93744170935395</c:v>
                </c:pt>
                <c:pt idx="958">
                  <c:v>773.3943125245861</c:v>
                </c:pt>
                <c:pt idx="959">
                  <c:v>773.8479927101414</c:v>
                </c:pt>
                <c:pt idx="960">
                  <c:v>774.29849995815107</c:v>
                </c:pt>
                <c:pt idx="961">
                  <c:v>774.74585192760355</c:v>
                </c:pt>
                <c:pt idx="962">
                  <c:v>775.19006624325118</c:v>
                </c:pt>
                <c:pt idx="963">
                  <c:v>775.63116049453993</c:v>
                </c:pt>
                <c:pt idx="964">
                  <c:v>776.06915223456213</c:v>
                </c:pt>
                <c:pt idx="965">
                  <c:v>776.50405897903192</c:v>
                </c:pt>
                <c:pt idx="966">
                  <c:v>776.93589820528257</c:v>
                </c:pt>
                <c:pt idx="967">
                  <c:v>777.36468735128653</c:v>
                </c:pt>
                <c:pt idx="968">
                  <c:v>777.79044381469646</c:v>
                </c:pt>
                <c:pt idx="969">
                  <c:v>778.2131849519086</c:v>
                </c:pt>
                <c:pt idx="970">
                  <c:v>778.63292807714708</c:v>
                </c:pt>
                <c:pt idx="971">
                  <c:v>779.04969046156918</c:v>
                </c:pt>
                <c:pt idx="972">
                  <c:v>779.46348933239165</c:v>
                </c:pt>
                <c:pt idx="973">
                  <c:v>779.87434187203723</c:v>
                </c:pt>
                <c:pt idx="974">
                  <c:v>780.28226521730221</c:v>
                </c:pt>
                <c:pt idx="975">
                  <c:v>780.68727645854278</c:v>
                </c:pt>
                <c:pt idx="976">
                  <c:v>781.0893926388826</c:v>
                </c:pt>
                <c:pt idx="977">
                  <c:v>781.48863075343854</c:v>
                </c:pt>
                <c:pt idx="978">
                  <c:v>781.88500774856686</c:v>
                </c:pt>
                <c:pt idx="979">
                  <c:v>781.88500774856686</c:v>
                </c:pt>
                <c:pt idx="980">
                  <c:v>781.88500774856686</c:v>
                </c:pt>
                <c:pt idx="981">
                  <c:v>781.88500774856686</c:v>
                </c:pt>
                <c:pt idx="982">
                  <c:v>781.88500774856686</c:v>
                </c:pt>
                <c:pt idx="983">
                  <c:v>781.88500774856686</c:v>
                </c:pt>
                <c:pt idx="984">
                  <c:v>781.88500774856686</c:v>
                </c:pt>
                <c:pt idx="985">
                  <c:v>781.88500774856686</c:v>
                </c:pt>
                <c:pt idx="986">
                  <c:v>781.88500774856686</c:v>
                </c:pt>
                <c:pt idx="987">
                  <c:v>781.88500774856686</c:v>
                </c:pt>
                <c:pt idx="988">
                  <c:v>781.88500774856686</c:v>
                </c:pt>
                <c:pt idx="989">
                  <c:v>781.88500774856686</c:v>
                </c:pt>
                <c:pt idx="990">
                  <c:v>781.88500774856686</c:v>
                </c:pt>
                <c:pt idx="991">
                  <c:v>781.88500774856686</c:v>
                </c:pt>
                <c:pt idx="992">
                  <c:v>781.88500774856686</c:v>
                </c:pt>
                <c:pt idx="993">
                  <c:v>781.88500774856686</c:v>
                </c:pt>
                <c:pt idx="994">
                  <c:v>781.88500774856686</c:v>
                </c:pt>
                <c:pt idx="995">
                  <c:v>781.88500774856686</c:v>
                </c:pt>
                <c:pt idx="996">
                  <c:v>781.88500774856686</c:v>
                </c:pt>
                <c:pt idx="997">
                  <c:v>781.88500774856686</c:v>
                </c:pt>
                <c:pt idx="998">
                  <c:v>781.88500774856686</c:v>
                </c:pt>
                <c:pt idx="999">
                  <c:v>781.88500774856686</c:v>
                </c:pt>
                <c:pt idx="1000">
                  <c:v>781.88500774856686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7.9551017983196934E-4</c:v>
                </c:pt>
                <c:pt idx="2">
                  <c:v>4.5969806451097925E-3</c:v>
                </c:pt>
                <c:pt idx="3">
                  <c:v>1.3406949949768451E-2</c:v>
                </c:pt>
                <c:pt idx="4">
                  <c:v>2.8401219250121523E-2</c:v>
                </c:pt>
                <c:pt idx="5">
                  <c:v>5.0756894473462134E-2</c:v>
                </c:pt>
                <c:pt idx="6">
                  <c:v>8.1652578986609478E-2</c:v>
                </c:pt>
                <c:pt idx="7">
                  <c:v>0.12226856376226272</c:v>
                </c:pt>
                <c:pt idx="8">
                  <c:v>0.17378701513006151</c:v>
                </c:pt>
                <c:pt idx="9">
                  <c:v>0.23739216019483012</c:v>
                </c:pt>
                <c:pt idx="10">
                  <c:v>0.31427047000019614</c:v>
                </c:pt>
                <c:pt idx="11">
                  <c:v>0.40527228320445341</c:v>
                </c:pt>
                <c:pt idx="12">
                  <c:v>0.51057232448723888</c:v>
                </c:pt>
                <c:pt idx="13">
                  <c:v>0.63000415809525101</c:v>
                </c:pt>
                <c:pt idx="14">
                  <c:v>0.76339565266121023</c:v>
                </c:pt>
                <c:pt idx="15">
                  <c:v>0.91057155858677497</c:v>
                </c:pt>
                <c:pt idx="16">
                  <c:v>1.0713560932387671</c:v>
                </c:pt>
                <c:pt idx="17">
                  <c:v>1.2455729506424484</c:v>
                </c:pt>
                <c:pt idx="18">
                  <c:v>1.4330453111800932</c:v>
                </c:pt>
                <c:pt idx="19">
                  <c:v>1.6335958512925897</c:v>
                </c:pt>
                <c:pt idx="20">
                  <c:v>1.8470467531818142</c:v>
                </c:pt>
                <c:pt idx="21">
                  <c:v>2.0732197145115308</c:v>
                </c:pt>
                <c:pt idx="22">
                  <c:v>2.3119359581045873</c:v>
                </c:pt>
                <c:pt idx="23">
                  <c:v>2.5630162416341902</c:v>
                </c:pt>
                <c:pt idx="24">
                  <c:v>2.8262808673070552</c:v>
                </c:pt>
                <c:pt idx="25">
                  <c:v>3.1015496915362473</c:v>
                </c:pt>
                <c:pt idx="26">
                  <c:v>3.3886421346015396</c:v>
                </c:pt>
                <c:pt idx="27">
                  <c:v>3.6874228307268293</c:v>
                </c:pt>
                <c:pt idx="28">
                  <c:v>3.9978473810024013</c:v>
                </c:pt>
                <c:pt idx="29">
                  <c:v>4.3199131395194454</c:v>
                </c:pt>
                <c:pt idx="30">
                  <c:v>4.6536172071448449</c:v>
                </c:pt>
                <c:pt idx="31">
                  <c:v>4.9989601612126009</c:v>
                </c:pt>
                <c:pt idx="32">
                  <c:v>5.3559424720361681</c:v>
                </c:pt>
                <c:pt idx="33">
                  <c:v>5.7245645047271552</c:v>
                </c:pt>
                <c:pt idx="34">
                  <c:v>6.1048265185892134</c:v>
                </c:pt>
                <c:pt idx="35">
                  <c:v>6.4967286665539499</c:v>
                </c:pt>
                <c:pt idx="36">
                  <c:v>6.9002709946546332</c:v>
                </c:pt>
                <c:pt idx="37">
                  <c:v>7.3154534415340731</c:v>
                </c:pt>
                <c:pt idx="38">
                  <c:v>7.7422758379835255</c:v>
                </c:pt>
                <c:pt idx="39">
                  <c:v>8.1807379065099113</c:v>
                </c:pt>
                <c:pt idx="40">
                  <c:v>8.6308392609289761</c:v>
                </c:pt>
                <c:pt idx="41">
                  <c:v>9.0925794059823275</c:v>
                </c:pt>
                <c:pt idx="42">
                  <c:v>9.5659577369765305</c:v>
                </c:pt>
                <c:pt idx="43">
                  <c:v>10.050973539442658</c:v>
                </c:pt>
                <c:pt idx="44">
                  <c:v>10.547625988814906</c:v>
                </c:pt>
                <c:pt idx="45">
                  <c:v>11.055914150126995</c:v>
                </c:pt>
                <c:pt idx="46">
                  <c:v>11.575836977725285</c:v>
                </c:pt>
                <c:pt idx="47">
                  <c:v>12.107393314997577</c:v>
                </c:pt>
                <c:pt idx="48">
                  <c:v>12.650581894116762</c:v>
                </c:pt>
                <c:pt idx="49">
                  <c:v>13.205401335798495</c:v>
                </c:pt>
                <c:pt idx="50">
                  <c:v>13.771850149072204</c:v>
                </c:pt>
                <c:pt idx="51">
                  <c:v>14.349926731064793</c:v>
                </c:pt>
                <c:pt idx="52">
                  <c:v>14.939629366796469</c:v>
                </c:pt>
                <c:pt idx="53">
                  <c:v>15.540956228988179</c:v>
                </c:pt>
                <c:pt idx="54">
                  <c:v>16.153905377880172</c:v>
                </c:pt>
                <c:pt idx="55">
                  <c:v>16.778474761061283</c:v>
                </c:pt>
                <c:pt idx="56">
                  <c:v>17.414662213308553</c:v>
                </c:pt>
                <c:pt idx="57">
                  <c:v>18.062465456436811</c:v>
                </c:pt>
                <c:pt idx="58">
                  <c:v>18.72188209915792</c:v>
                </c:pt>
                <c:pt idx="59">
                  <c:v>19.392909636949394</c:v>
                </c:pt>
                <c:pt idx="60">
                  <c:v>20.075545451932118</c:v>
                </c:pt>
                <c:pt idx="61">
                  <c:v>20.769786812756912</c:v>
                </c:pt>
                <c:pt idx="62">
                  <c:v>21.475630874499739</c:v>
                </c:pt>
                <c:pt idx="63">
                  <c:v>22.193074678565338</c:v>
                </c:pt>
                <c:pt idx="64">
                  <c:v>22.922115152599083</c:v>
                </c:pt>
                <c:pt idx="65">
                  <c:v>23.662749110406921</c:v>
                </c:pt>
                <c:pt idx="66">
                  <c:v>24.414973251883193</c:v>
                </c:pt>
                <c:pt idx="67">
                  <c:v>25.178784162946222</c:v>
                </c:pt>
                <c:pt idx="68">
                  <c:v>25.954178315481506</c:v>
                </c:pt>
                <c:pt idx="69">
                  <c:v>26.741152067292397</c:v>
                </c:pt>
                <c:pt idx="70">
                  <c:v>27.539701662058153</c:v>
                </c:pt>
                <c:pt idx="71">
                  <c:v>28.349823229299233</c:v>
                </c:pt>
                <c:pt idx="72">
                  <c:v>29.171512258083826</c:v>
                </c:pt>
                <c:pt idx="73">
                  <c:v>30.004763069772565</c:v>
                </c:pt>
                <c:pt idx="74">
                  <c:v>30.84956934302107</c:v>
                </c:pt>
                <c:pt idx="75">
                  <c:v>31.705924639788361</c:v>
                </c:pt>
                <c:pt idx="76">
                  <c:v>32.573822405397408</c:v>
                </c:pt>
                <c:pt idx="77">
                  <c:v>33.453255968602654</c:v>
                </c:pt>
                <c:pt idx="78">
                  <c:v>34.344218541664418</c:v>
                </c:pt>
                <c:pt idx="79">
                  <c:v>35.246703220430092</c:v>
                </c:pt>
                <c:pt idx="80">
                  <c:v>36.160702984422102</c:v>
                </c:pt>
                <c:pt idx="81">
                  <c:v>37.086210696932518</c:v>
                </c:pt>
                <c:pt idx="82">
                  <c:v>38.023219105124284</c:v>
                </c:pt>
                <c:pt idx="83">
                  <c:v>38.971720840139</c:v>
                </c:pt>
                <c:pt idx="84">
                  <c:v>39.931708417211176</c:v>
                </c:pt>
                <c:pt idx="85">
                  <c:v>40.903174235788939</c:v>
                </c:pt>
                <c:pt idx="86">
                  <c:v>41.8861105796611</c:v>
                </c:pt>
                <c:pt idx="87">
                  <c:v>42.880509617090574</c:v>
                </c:pt>
                <c:pt idx="88">
                  <c:v>43.886363400954053</c:v>
                </c:pt>
                <c:pt idx="89">
                  <c:v>44.903663868887918</c:v>
                </c:pt>
                <c:pt idx="90">
                  <c:v>45.93240284344035</c:v>
                </c:pt>
                <c:pt idx="91">
                  <c:v>46.972572032229557</c:v>
                </c:pt>
                <c:pt idx="92">
                  <c:v>48.024163028108106</c:v>
                </c:pt>
                <c:pt idx="93">
                  <c:v>49.087167309333324</c:v>
                </c:pt>
                <c:pt idx="94">
                  <c:v>50.161576239743674</c:v>
                </c:pt>
                <c:pt idx="95">
                  <c:v>51.247381068941131</c:v>
                </c:pt>
                <c:pt idx="96">
                  <c:v>52.344572932479487</c:v>
                </c:pt>
                <c:pt idx="97">
                  <c:v>53.453142852058527</c:v>
                </c:pt>
                <c:pt idx="98">
                  <c:v>54.573081735724081</c:v>
                </c:pt>
                <c:pt idx="99">
                  <c:v>55.704380378073886</c:v>
                </c:pt>
                <c:pt idx="100">
                  <c:v>56.847029460469216</c:v>
                </c:pt>
                <c:pt idx="101">
                  <c:v>58.001019551252256</c:v>
                </c:pt>
                <c:pt idx="102">
                  <c:v>59.166341105969195</c:v>
                </c:pt>
                <c:pt idx="103">
                  <c:v>60.342984467598995</c:v>
                </c:pt>
                <c:pt idx="104">
                  <c:v>61.530939866787755</c:v>
                </c:pt>
                <c:pt idx="105">
                  <c:v>62.730197422088715</c:v>
                </c:pt>
                <c:pt idx="106">
                  <c:v>63.940747140207819</c:v>
                </c:pt>
                <c:pt idx="107">
                  <c:v>65.162578916254773</c:v>
                </c:pt>
                <c:pt idx="108">
                  <c:v>66.395682533999675</c:v>
                </c:pt>
                <c:pt idx="109">
                  <c:v>67.64004766613499</c:v>
                </c:pt>
                <c:pt idx="110">
                  <c:v>68.895663874543061</c:v>
                </c:pt>
                <c:pt idx="111">
                  <c:v>70.162520610568976</c:v>
                </c:pt>
                <c:pt idx="112">
                  <c:v>71.440607215298755</c:v>
                </c:pt>
                <c:pt idx="113">
                  <c:v>72.729912919842917</c:v>
                </c:pt>
                <c:pt idx="114">
                  <c:v>74.0304268456253</c:v>
                </c:pt>
                <c:pt idx="115">
                  <c:v>75.342138004677139</c:v>
                </c:pt>
                <c:pt idx="116">
                  <c:v>76.66503529993642</c:v>
                </c:pt>
                <c:pt idx="117">
                  <c:v>77.999107525552333</c:v>
                </c:pt>
                <c:pt idx="118">
                  <c:v>79.344343367194924</c:v>
                </c:pt>
                <c:pt idx="119">
                  <c:v>80.700731402369897</c:v>
                </c:pt>
                <c:pt idx="120">
                  <c:v>82.068260100738428</c:v>
                </c:pt>
                <c:pt idx="121">
                  <c:v>83.446917824442096</c:v>
                </c:pt>
                <c:pt idx="122">
                  <c:v>84.836692828432788</c:v>
                </c:pt>
                <c:pt idx="123">
                  <c:v>86.237573260807565</c:v>
                </c:pt>
                <c:pt idx="124">
                  <c:v>87.649547163148554</c:v>
                </c:pt>
                <c:pt idx="125">
                  <c:v>89.07260247086765</c:v>
                </c:pt>
                <c:pt idx="126">
                  <c:v>90.506727013556144</c:v>
                </c:pt>
                <c:pt idx="127">
                  <c:v>91.951908515339184</c:v>
                </c:pt>
                <c:pt idx="128">
                  <c:v>93.408134595235055</c:v>
                </c:pt>
                <c:pt idx="129">
                  <c:v>94.875390311136059</c:v>
                </c:pt>
                <c:pt idx="130">
                  <c:v>96.353655700702035</c:v>
                </c:pt>
                <c:pt idx="131">
                  <c:v>97.842908235197584</c:v>
                </c:pt>
                <c:pt idx="132">
                  <c:v>99.343125276582242</c:v>
                </c:pt>
                <c:pt idx="133">
                  <c:v>100.85428407820518</c:v>
                </c:pt>
                <c:pt idx="134">
                  <c:v>102.37636178550432</c:v>
                </c:pt>
                <c:pt idx="135">
                  <c:v>103.90933543670967</c:v>
                </c:pt>
                <c:pt idx="136">
                  <c:v>105.45318196355095</c:v>
                </c:pt>
                <c:pt idx="137">
                  <c:v>107.00787819196927</c:v>
                </c:pt>
                <c:pt idx="138">
                  <c:v>108.57340084283292</c:v>
                </c:pt>
                <c:pt idx="139">
                  <c:v>110.14972653265716</c:v>
                </c:pt>
                <c:pt idx="140">
                  <c:v>111.73683177432785</c:v>
                </c:pt>
                <c:pt idx="141">
                  <c:v>113.33469297782908</c:v>
                </c:pt>
                <c:pt idx="142">
                  <c:v>114.94328645097441</c:v>
                </c:pt>
                <c:pt idx="143">
                  <c:v>116.56258840014196</c:v>
                </c:pt>
                <c:pt idx="144">
                  <c:v>118.19257493101301</c:v>
                </c:pt>
                <c:pt idx="145">
                  <c:v>119.83322204931429</c:v>
                </c:pt>
                <c:pt idx="146">
                  <c:v>121.4845056615636</c:v>
                </c:pt>
                <c:pt idx="147">
                  <c:v>123.14640157581906</c:v>
                </c:pt>
                <c:pt idx="148">
                  <c:v>124.81888550243146</c:v>
                </c:pt>
                <c:pt idx="149">
                  <c:v>126.50193305480009</c:v>
                </c:pt>
                <c:pt idx="150">
                  <c:v>128.19551975013169</c:v>
                </c:pt>
                <c:pt idx="151">
                  <c:v>129.89962101020248</c:v>
                </c:pt>
                <c:pt idx="152">
                  <c:v>131.61421216212335</c:v>
                </c:pt>
                <c:pt idx="153">
                  <c:v>133.33926843910797</c:v>
                </c:pt>
                <c:pt idx="154">
                  <c:v>135.07476498124382</c:v>
                </c:pt>
                <c:pt idx="155">
                  <c:v>136.82067683626607</c:v>
                </c:pt>
                <c:pt idx="156">
                  <c:v>138.57697896033426</c:v>
                </c:pt>
                <c:pt idx="157">
                  <c:v>140.34364621881156</c:v>
                </c:pt>
                <c:pt idx="158">
                  <c:v>142.12065338704687</c:v>
                </c:pt>
                <c:pt idx="159">
                  <c:v>143.90797515115923</c:v>
                </c:pt>
                <c:pt idx="160">
                  <c:v>145.70558610882495</c:v>
                </c:pt>
                <c:pt idx="161">
                  <c:v>147.51346077006687</c:v>
                </c:pt>
                <c:pt idx="162">
                  <c:v>149.33157355804627</c:v>
                </c:pt>
                <c:pt idx="163">
                  <c:v>151.15989880985683</c:v>
                </c:pt>
                <c:pt idx="164">
                  <c:v>152.9984107773208</c:v>
                </c:pt>
                <c:pt idx="165">
                  <c:v>154.84708362778741</c:v>
                </c:pt>
                <c:pt idx="166">
                  <c:v>156.70589144493326</c:v>
                </c:pt>
                <c:pt idx="167">
                  <c:v>158.57480822956464</c:v>
                </c:pt>
                <c:pt idx="168">
                  <c:v>160.45380790042185</c:v>
                </c:pt>
                <c:pt idx="169">
                  <c:v>162.34286429498536</c:v>
                </c:pt>
                <c:pt idx="170">
                  <c:v>164.24195117028367</c:v>
                </c:pt>
                <c:pt idx="171">
                  <c:v>166.15104220370281</c:v>
                </c:pt>
                <c:pt idx="172">
                  <c:v>168.0701109937977</c:v>
                </c:pt>
                <c:pt idx="173">
                  <c:v>169.99913106110483</c:v>
                </c:pt>
                <c:pt idx="174">
                  <c:v>171.93807584895654</c:v>
                </c:pt>
                <c:pt idx="175">
                  <c:v>173.88691872429666</c:v>
                </c:pt>
                <c:pt idx="176">
                  <c:v>175.84563297849755</c:v>
                </c:pt>
                <c:pt idx="177">
                  <c:v>177.81419182817839</c:v>
                </c:pt>
                <c:pt idx="178">
                  <c:v>179.79256841602469</c:v>
                </c:pt>
                <c:pt idx="179">
                  <c:v>181.78073581160885</c:v>
                </c:pt>
                <c:pt idx="180">
                  <c:v>183.77866701221194</c:v>
                </c:pt>
                <c:pt idx="181">
                  <c:v>185.78633494364632</c:v>
                </c:pt>
                <c:pt idx="182">
                  <c:v>187.80371246107936</c:v>
                </c:pt>
                <c:pt idx="183">
                  <c:v>189.8307723498578</c:v>
                </c:pt>
                <c:pt idx="184">
                  <c:v>191.86748732633311</c:v>
                </c:pt>
                <c:pt idx="185">
                  <c:v>193.91383003868748</c:v>
                </c:pt>
                <c:pt idx="186">
                  <c:v>195.96977306776049</c:v>
                </c:pt>
                <c:pt idx="187">
                  <c:v>198.03528892787631</c:v>
                </c:pt>
                <c:pt idx="188">
                  <c:v>200.11035006767145</c:v>
                </c:pt>
                <c:pt idx="189">
                  <c:v>202.19492887092306</c:v>
                </c:pt>
                <c:pt idx="190">
                  <c:v>204.28899765737751</c:v>
                </c:pt>
                <c:pt idx="191">
                  <c:v>206.39252868357926</c:v>
                </c:pt>
                <c:pt idx="192">
                  <c:v>208.50549414370008</c:v>
                </c:pt>
                <c:pt idx="193">
                  <c:v>210.62786617036846</c:v>
                </c:pt>
                <c:pt idx="194">
                  <c:v>212.75961683549909</c:v>
                </c:pt>
                <c:pt idx="195">
                  <c:v>214.90071815112233</c:v>
                </c:pt>
                <c:pt idx="196">
                  <c:v>217.0511420702139</c:v>
                </c:pt>
                <c:pt idx="197">
                  <c:v>219.21086048752423</c:v>
                </c:pt>
                <c:pt idx="198">
                  <c:v>221.37984524040786</c:v>
                </c:pt>
                <c:pt idx="199">
                  <c:v>223.55806810965257</c:v>
                </c:pt>
                <c:pt idx="200">
                  <c:v>225.74550082030828</c:v>
                </c:pt>
                <c:pt idx="201">
                  <c:v>227.94211504251555</c:v>
                </c:pt>
                <c:pt idx="202">
                  <c:v>230.14788239233383</c:v>
                </c:pt>
                <c:pt idx="203">
                  <c:v>232.36277443256904</c:v>
                </c:pt>
                <c:pt idx="204">
                  <c:v>234.58676267360093</c:v>
                </c:pt>
                <c:pt idx="205">
                  <c:v>236.81981857420953</c:v>
                </c:pt>
                <c:pt idx="206">
                  <c:v>239.06191293311676</c:v>
                </c:pt>
                <c:pt idx="207">
                  <c:v>241.31301528033208</c:v>
                </c:pt>
                <c:pt idx="208">
                  <c:v>243.57309448764053</c:v>
                </c:pt>
                <c:pt idx="209">
                  <c:v>245.84211937932093</c:v>
                </c:pt>
                <c:pt idx="210">
                  <c:v>248.12005873304085</c:v>
                </c:pt>
                <c:pt idx="211">
                  <c:v>250.40688128075013</c:v>
                </c:pt>
                <c:pt idx="212">
                  <c:v>252.70255570957312</c:v>
                </c:pt>
                <c:pt idx="213">
                  <c:v>255.00705066269913</c:v>
                </c:pt>
                <c:pt idx="214">
                  <c:v>257.32033474027162</c:v>
                </c:pt>
                <c:pt idx="215">
                  <c:v>259.64237650027547</c:v>
                </c:pt>
                <c:pt idx="216">
                  <c:v>261.97314445942271</c:v>
                </c:pt>
                <c:pt idx="217">
                  <c:v>264.31260709403642</c:v>
                </c:pt>
                <c:pt idx="218">
                  <c:v>266.66073284093289</c:v>
                </c:pt>
                <c:pt idx="219">
                  <c:v>269.01749009830166</c:v>
                </c:pt>
                <c:pt idx="220">
                  <c:v>271.38284722658398</c:v>
                </c:pt>
                <c:pt idx="221">
                  <c:v>273.75677254934885</c:v>
                </c:pt>
                <c:pt idx="222">
                  <c:v>276.1392343541674</c:v>
                </c:pt>
                <c:pt idx="223">
                  <c:v>278.53020089348485</c:v>
                </c:pt>
                <c:pt idx="224">
                  <c:v>280.92964038549042</c:v>
                </c:pt>
                <c:pt idx="225">
                  <c:v>283.33752101498487</c:v>
                </c:pt>
                <c:pt idx="226">
                  <c:v>285.75381093424608</c:v>
                </c:pt>
                <c:pt idx="227">
                  <c:v>288.1784782638918</c:v>
                </c:pt>
                <c:pt idx="228">
                  <c:v>290.61149109374037</c:v>
                </c:pt>
                <c:pt idx="229">
                  <c:v>293.05281748366883</c:v>
                </c:pt>
                <c:pt idx="230">
                  <c:v>295.50242546446856</c:v>
                </c:pt>
                <c:pt idx="231">
                  <c:v>297.96028303869832</c:v>
                </c:pt>
                <c:pt idx="232">
                  <c:v>300.42635818153468</c:v>
                </c:pt>
                <c:pt idx="233">
                  <c:v>302.90061884161969</c:v>
                </c:pt>
                <c:pt idx="234">
                  <c:v>305.38303294190615</c:v>
                </c:pt>
                <c:pt idx="235">
                  <c:v>307.87356838049959</c:v>
                </c:pt>
                <c:pt idx="236">
                  <c:v>310.37219303149789</c:v>
                </c:pt>
                <c:pt idx="237">
                  <c:v>312.87887474582777</c:v>
                </c:pt>
                <c:pt idx="238">
                  <c:v>315.39358135207857</c:v>
                </c:pt>
                <c:pt idx="239">
                  <c:v>317.91628065733266</c:v>
                </c:pt>
                <c:pt idx="240">
                  <c:v>320.44694044799326</c:v>
                </c:pt>
                <c:pt idx="241">
                  <c:v>322.98552849060906</c:v>
                </c:pt>
                <c:pt idx="242">
                  <c:v>325.53201040899722</c:v>
                </c:pt>
                <c:pt idx="243">
                  <c:v>328.08634756159699</c:v>
                </c:pt>
                <c:pt idx="244">
                  <c:v>330.64849916902807</c:v>
                </c:pt>
                <c:pt idx="245">
                  <c:v>333.21842444153123</c:v>
                </c:pt>
                <c:pt idx="246">
                  <c:v>335.79608258001269</c:v>
                </c:pt>
                <c:pt idx="247">
                  <c:v>338.38143277708326</c:v>
                </c:pt>
                <c:pt idx="248">
                  <c:v>340.97443421809157</c:v>
                </c:pt>
                <c:pt idx="249">
                  <c:v>343.57504608215203</c:v>
                </c:pt>
                <c:pt idx="250">
                  <c:v>346.18322754316677</c:v>
                </c:pt>
                <c:pt idx="251">
                  <c:v>348.79893777084214</c:v>
                </c:pt>
                <c:pt idx="252">
                  <c:v>351.42213593169924</c:v>
                </c:pt>
                <c:pt idx="253">
                  <c:v>354.05278119007863</c:v>
                </c:pt>
                <c:pt idx="254">
                  <c:v>356.69083270913922</c:v>
                </c:pt>
                <c:pt idx="255">
                  <c:v>359.33624965185123</c:v>
                </c:pt>
                <c:pt idx="256">
                  <c:v>361.98899118198324</c:v>
                </c:pt>
                <c:pt idx="257">
                  <c:v>364.64901646508298</c:v>
                </c:pt>
                <c:pt idx="258">
                  <c:v>367.31628466945227</c:v>
                </c:pt>
                <c:pt idx="259">
                  <c:v>369.99075496711589</c:v>
                </c:pt>
                <c:pt idx="260">
                  <c:v>372.67238653478415</c:v>
                </c:pt>
                <c:pt idx="261">
                  <c:v>375.36113855480926</c:v>
                </c:pt>
                <c:pt idx="262">
                  <c:v>378.05697021613571</c:v>
                </c:pt>
                <c:pt idx="263">
                  <c:v>380.75984071524414</c:v>
                </c:pt>
                <c:pt idx="264">
                  <c:v>383.46970925708894</c:v>
                </c:pt>
                <c:pt idx="265">
                  <c:v>386.1865350560297</c:v>
                </c:pt>
                <c:pt idx="266">
                  <c:v>388.910277336756</c:v>
                </c:pt>
                <c:pt idx="267">
                  <c:v>391.6408953352061</c:v>
                </c:pt>
                <c:pt idx="268">
                  <c:v>394.37834829947883</c:v>
                </c:pt>
                <c:pt idx="269">
                  <c:v>397.1225954907394</c:v>
                </c:pt>
                <c:pt idx="270">
                  <c:v>399.87359618411836</c:v>
                </c:pt>
                <c:pt idx="271">
                  <c:v>402.63130966960426</c:v>
                </c:pt>
                <c:pt idx="272">
                  <c:v>405.39569525292961</c:v>
                </c:pt>
                <c:pt idx="273">
                  <c:v>408.16671225645035</c:v>
                </c:pt>
                <c:pt idx="274">
                  <c:v>410.94432002001861</c:v>
                </c:pt>
                <c:pt idx="275">
                  <c:v>413.72847790184875</c:v>
                </c:pt>
                <c:pt idx="276">
                  <c:v>416.51914527937703</c:v>
                </c:pt>
                <c:pt idx="277">
                  <c:v>419.3162815501143</c:v>
                </c:pt>
                <c:pt idx="278">
                  <c:v>422.11984613249206</c:v>
                </c:pt>
                <c:pt idx="279">
                  <c:v>424.9297984667017</c:v>
                </c:pt>
                <c:pt idx="280">
                  <c:v>427.74609801552714</c:v>
                </c:pt>
                <c:pt idx="281">
                  <c:v>430.56870426517065</c:v>
                </c:pt>
                <c:pt idx="282">
                  <c:v>433.39757672607175</c:v>
                </c:pt>
                <c:pt idx="283">
                  <c:v>436.23267493371935</c:v>
                </c:pt>
                <c:pt idx="284">
                  <c:v>439.07396096575485</c:v>
                </c:pt>
                <c:pt idx="285">
                  <c:v>441.92140195746595</c:v>
                </c:pt>
                <c:pt idx="286">
                  <c:v>444.77496758027593</c:v>
                </c:pt>
                <c:pt idx="287">
                  <c:v>447.63462752171773</c:v>
                </c:pt>
                <c:pt idx="288">
                  <c:v>450.50035148599227</c:v>
                </c:pt>
                <c:pt idx="289">
                  <c:v>453.37210919452264</c:v>
                </c:pt>
                <c:pt idx="290">
                  <c:v>456.2498703865042</c:v>
                </c:pt>
                <c:pt idx="291">
                  <c:v>459.13360481945074</c:v>
                </c:pt>
                <c:pt idx="292">
                  <c:v>462.023282269736</c:v>
                </c:pt>
                <c:pt idx="293">
                  <c:v>464.91887253313138</c:v>
                </c:pt>
                <c:pt idx="294">
                  <c:v>467.8203454253395</c:v>
                </c:pt>
                <c:pt idx="295">
                  <c:v>470.72767078252326</c:v>
                </c:pt>
                <c:pt idx="296">
                  <c:v>473.64081846183109</c:v>
                </c:pt>
                <c:pt idx="297">
                  <c:v>476.5597583419177</c:v>
                </c:pt>
                <c:pt idx="298">
                  <c:v>479.48446032346072</c:v>
                </c:pt>
                <c:pt idx="299">
                  <c:v>482.41489432967325</c:v>
                </c:pt>
                <c:pt idx="300">
                  <c:v>485.35103030681199</c:v>
                </c:pt>
                <c:pt idx="301">
                  <c:v>488.29283822468119</c:v>
                </c:pt>
                <c:pt idx="302">
                  <c:v>491.24028807713245</c:v>
                </c:pt>
                <c:pt idx="303">
                  <c:v>494.19334988256031</c:v>
                </c:pt>
                <c:pt idx="304">
                  <c:v>497.15199368439346</c:v>
                </c:pt>
                <c:pt idx="305">
                  <c:v>500.11618955158167</c:v>
                </c:pt>
                <c:pt idx="306">
                  <c:v>503.08590757907876</c:v>
                </c:pt>
                <c:pt idx="307">
                  <c:v>506.06111788832106</c:v>
                </c:pt>
                <c:pt idx="308">
                  <c:v>509.04179062770157</c:v>
                </c:pt>
                <c:pt idx="309">
                  <c:v>512.02789597304024</c:v>
                </c:pt>
                <c:pt idx="310">
                  <c:v>515.01940412804936</c:v>
                </c:pt>
                <c:pt idx="311">
                  <c:v>518.01628532479538</c:v>
                </c:pt>
                <c:pt idx="312">
                  <c:v>521.0185098241559</c:v>
                </c:pt>
                <c:pt idx="313">
                  <c:v>524.026047916273</c:v>
                </c:pt>
                <c:pt idx="314">
                  <c:v>527.03886992100161</c:v>
                </c:pt>
                <c:pt idx="315">
                  <c:v>530.05694618835412</c:v>
                </c:pt>
                <c:pt idx="316">
                  <c:v>533.08024709894062</c:v>
                </c:pt>
                <c:pt idx="317">
                  <c:v>536.10874306440451</c:v>
                </c:pt>
                <c:pt idx="318">
                  <c:v>539.14240452785464</c:v>
                </c:pt>
                <c:pt idx="319">
                  <c:v>542.18120196429254</c:v>
                </c:pt>
                <c:pt idx="320">
                  <c:v>545.22510588103557</c:v>
                </c:pt>
                <c:pt idx="321">
                  <c:v>548.27408681813574</c:v>
                </c:pt>
                <c:pt idx="322">
                  <c:v>551.32811534879465</c:v>
                </c:pt>
                <c:pt idx="323">
                  <c:v>554.38716207977359</c:v>
                </c:pt>
                <c:pt idx="324">
                  <c:v>557.45119765180004</c:v>
                </c:pt>
                <c:pt idx="325">
                  <c:v>560.52019273996939</c:v>
                </c:pt>
                <c:pt idx="326">
                  <c:v>563.59411821005699</c:v>
                </c:pt>
                <c:pt idx="327">
                  <c:v>566.67294527466584</c:v>
                </c:pt>
                <c:pt idx="328">
                  <c:v>569.75664533721852</c:v>
                </c:pt>
                <c:pt idx="329">
                  <c:v>572.84518983609951</c:v>
                </c:pt>
                <c:pt idx="330">
                  <c:v>575.93855024502682</c:v>
                </c:pt>
                <c:pt idx="331">
                  <c:v>579.03669807341885</c:v>
                </c:pt>
                <c:pt idx="332">
                  <c:v>582.13960486675751</c:v>
                </c:pt>
                <c:pt idx="333">
                  <c:v>585.24724220694736</c:v>
                </c:pt>
                <c:pt idx="334">
                  <c:v>588.35958171267043</c:v>
                </c:pt>
                <c:pt idx="335">
                  <c:v>591.47659503973739</c:v>
                </c:pt>
                <c:pt idx="336">
                  <c:v>594.59825388143463</c:v>
                </c:pt>
                <c:pt idx="337">
                  <c:v>597.72452996886682</c:v>
                </c:pt>
                <c:pt idx="338">
                  <c:v>600.85539507129636</c:v>
                </c:pt>
                <c:pt idx="339">
                  <c:v>603.99082099647808</c:v>
                </c:pt>
                <c:pt idx="340">
                  <c:v>607.13077959099007</c:v>
                </c:pt>
                <c:pt idx="341">
                  <c:v>610.27524274056111</c:v>
                </c:pt>
                <c:pt idx="342">
                  <c:v>613.4241823703934</c:v>
                </c:pt>
                <c:pt idx="343">
                  <c:v>616.57757044548168</c:v>
                </c:pt>
                <c:pt idx="344">
                  <c:v>619.73537897092842</c:v>
                </c:pt>
                <c:pt idx="345">
                  <c:v>622.89757999225515</c:v>
                </c:pt>
                <c:pt idx="346">
                  <c:v>626.06414559570942</c:v>
                </c:pt>
                <c:pt idx="347">
                  <c:v>629.23504790856862</c:v>
                </c:pt>
                <c:pt idx="348">
                  <c:v>632.4102590994388</c:v>
                </c:pt>
                <c:pt idx="349">
                  <c:v>635.58975137855089</c:v>
                </c:pt>
                <c:pt idx="350">
                  <c:v>638.773496998052</c:v>
                </c:pt>
                <c:pt idx="351">
                  <c:v>641.96146825229323</c:v>
                </c:pt>
                <c:pt idx="352">
                  <c:v>645.15363747811364</c:v>
                </c:pt>
                <c:pt idx="353">
                  <c:v>648.34997705512046</c:v>
                </c:pt>
                <c:pt idx="354">
                  <c:v>651.5504594059654</c:v>
                </c:pt>
                <c:pt idx="355">
                  <c:v>654.75505699661676</c:v>
                </c:pt>
                <c:pt idx="356">
                  <c:v>657.96374233662834</c:v>
                </c:pt>
                <c:pt idx="357">
                  <c:v>661.17648797940421</c:v>
                </c:pt>
                <c:pt idx="358">
                  <c:v>664.39326652245984</c:v>
                </c:pt>
                <c:pt idx="359">
                  <c:v>667.61405060767913</c:v>
                </c:pt>
                <c:pt idx="360">
                  <c:v>670.83881292156821</c:v>
                </c:pt>
                <c:pt idx="361">
                  <c:v>674.06752619550502</c:v>
                </c:pt>
                <c:pt idx="362">
                  <c:v>677.30016320598543</c:v>
                </c:pt>
                <c:pt idx="363">
                  <c:v>680.53669677486562</c:v>
                </c:pt>
                <c:pt idx="364">
                  <c:v>683.77709976960057</c:v>
                </c:pt>
                <c:pt idx="365">
                  <c:v>687.02134510347923</c:v>
                </c:pt>
                <c:pt idx="366">
                  <c:v>690.26940971924967</c:v>
                </c:pt>
                <c:pt idx="367">
                  <c:v>693.52127856737684</c:v>
                </c:pt>
                <c:pt idx="368">
                  <c:v>696.77694060822057</c:v>
                </c:pt>
                <c:pt idx="369">
                  <c:v>700.03638481950395</c:v>
                </c:pt>
                <c:pt idx="370">
                  <c:v>703.29960019639248</c:v>
                </c:pt>
                <c:pt idx="371">
                  <c:v>706.56657575157203</c:v>
                </c:pt>
                <c:pt idx="372">
                  <c:v>709.83730051532598</c:v>
                </c:pt>
                <c:pt idx="373">
                  <c:v>713.11176353561132</c:v>
                </c:pt>
                <c:pt idx="374">
                  <c:v>716.38995387813452</c:v>
                </c:pt>
                <c:pt idx="375">
                  <c:v>719.67186062642566</c:v>
                </c:pt>
                <c:pt idx="376">
                  <c:v>722.95747288191239</c:v>
                </c:pt>
                <c:pt idx="377">
                  <c:v>726.24677976399289</c:v>
                </c:pt>
                <c:pt idx="378">
                  <c:v>729.53977041010774</c:v>
                </c:pt>
                <c:pt idx="379">
                  <c:v>732.83643397581136</c:v>
                </c:pt>
                <c:pt idx="380">
                  <c:v>736.13675963484229</c:v>
                </c:pt>
                <c:pt idx="381">
                  <c:v>739.4407322675703</c:v>
                </c:pt>
                <c:pt idx="382">
                  <c:v>742.74832815552952</c:v>
                </c:pt>
                <c:pt idx="383">
                  <c:v>746.05951930953643</c:v>
                </c:pt>
                <c:pt idx="384">
                  <c:v>749.37427779178961</c:v>
                </c:pt>
                <c:pt idx="385">
                  <c:v>752.69257571607443</c:v>
                </c:pt>
                <c:pt idx="386">
                  <c:v>756.01438524796424</c:v>
                </c:pt>
                <c:pt idx="387">
                  <c:v>759.33967860501718</c:v>
                </c:pt>
                <c:pt idx="388">
                  <c:v>762.66842805697013</c:v>
                </c:pt>
                <c:pt idx="389">
                  <c:v>766.00060592592774</c:v>
                </c:pt>
                <c:pt idx="390">
                  <c:v>769.33618458654894</c:v>
                </c:pt>
                <c:pt idx="391">
                  <c:v>772.67513646622876</c:v>
                </c:pt>
                <c:pt idx="392">
                  <c:v>776.01743404527701</c:v>
                </c:pt>
                <c:pt idx="393">
                  <c:v>779.36304985709285</c:v>
                </c:pt>
                <c:pt idx="394">
                  <c:v>782.71195648833623</c:v>
                </c:pt>
                <c:pt idx="395">
                  <c:v>786.06412657909539</c:v>
                </c:pt>
                <c:pt idx="396">
                  <c:v>789.41953282305042</c:v>
                </c:pt>
                <c:pt idx="397">
                  <c:v>792.77814796763391</c:v>
                </c:pt>
                <c:pt idx="398">
                  <c:v>796.13994481418752</c:v>
                </c:pt>
                <c:pt idx="399">
                  <c:v>799.50489621811505</c:v>
                </c:pt>
                <c:pt idx="400">
                  <c:v>802.87297508903237</c:v>
                </c:pt>
                <c:pt idx="401">
                  <c:v>806.24415099410623</c:v>
                </c:pt>
                <c:pt idx="402">
                  <c:v>809.6183867667138</c:v>
                </c:pt>
                <c:pt idx="403">
                  <c:v>812.99564191727802</c:v>
                </c:pt>
                <c:pt idx="404">
                  <c:v>816.37587603884538</c:v>
                </c:pt>
                <c:pt idx="405">
                  <c:v>819.75904880735732</c:v>
                </c:pt>
                <c:pt idx="406">
                  <c:v>823.14511998191347</c:v>
                </c:pt>
                <c:pt idx="407">
                  <c:v>826.53404940502912</c:v>
                </c:pt>
                <c:pt idx="408">
                  <c:v>829.92579700288445</c:v>
                </c:pt>
                <c:pt idx="409">
                  <c:v>833.3203227855679</c:v>
                </c:pt>
                <c:pt idx="410">
                  <c:v>836.71758684731185</c:v>
                </c:pt>
                <c:pt idx="411">
                  <c:v>840.1175305855686</c:v>
                </c:pt>
                <c:pt idx="412">
                  <c:v>843.52005795171067</c:v>
                </c:pt>
                <c:pt idx="413">
                  <c:v>846.92505431313396</c:v>
                </c:pt>
                <c:pt idx="414">
                  <c:v>850.33240528453723</c:v>
                </c:pt>
                <c:pt idx="415">
                  <c:v>853.7419967297285</c:v>
                </c:pt>
                <c:pt idx="416">
                  <c:v>857.15371476338169</c:v>
                </c:pt>
                <c:pt idx="417">
                  <c:v>860.5674457527424</c:v>
                </c:pt>
                <c:pt idx="418">
                  <c:v>863.98307631928424</c:v>
                </c:pt>
                <c:pt idx="419">
                  <c:v>867.40049334031517</c:v>
                </c:pt>
                <c:pt idx="420">
                  <c:v>870.81957326204031</c:v>
                </c:pt>
                <c:pt idx="421">
                  <c:v>874.24017143316973</c:v>
                </c:pt>
                <c:pt idx="422">
                  <c:v>877.6621328450459</c:v>
                </c:pt>
                <c:pt idx="423">
                  <c:v>881.0853028518743</c:v>
                </c:pt>
                <c:pt idx="424">
                  <c:v>884.50952717355756</c:v>
                </c:pt>
                <c:pt idx="425">
                  <c:v>887.93465189843914</c:v>
                </c:pt>
                <c:pt idx="426">
                  <c:v>891.3605234859582</c:v>
                </c:pt>
                <c:pt idx="427">
                  <c:v>894.7869887692143</c:v>
                </c:pt>
                <c:pt idx="428">
                  <c:v>898.21389495744484</c:v>
                </c:pt>
                <c:pt idx="429">
                  <c:v>901.6410896384142</c:v>
                </c:pt>
                <c:pt idx="430">
                  <c:v>905.06842078071634</c:v>
                </c:pt>
                <c:pt idx="431">
                  <c:v>908.49573673599082</c:v>
                </c:pt>
                <c:pt idx="432">
                  <c:v>911.92286901082491</c:v>
                </c:pt>
                <c:pt idx="433">
                  <c:v>915.34961507862499</c:v>
                </c:pt>
                <c:pt idx="434">
                  <c:v>918.77575570328543</c:v>
                </c:pt>
                <c:pt idx="435">
                  <c:v>922.20107222423758</c:v>
                </c:pt>
                <c:pt idx="436">
                  <c:v>925.62534656122943</c:v>
                </c:pt>
                <c:pt idx="437">
                  <c:v>929.04836121892822</c:v>
                </c:pt>
                <c:pt idx="438">
                  <c:v>932.46989929134531</c:v>
                </c:pt>
                <c:pt idx="439">
                  <c:v>935.88974446608654</c:v>
                </c:pt>
                <c:pt idx="440">
                  <c:v>939.30768102842853</c:v>
                </c:pt>
                <c:pt idx="441">
                  <c:v>942.72349386522285</c:v>
                </c:pt>
                <c:pt idx="442">
                  <c:v>946.13697893422545</c:v>
                </c:pt>
                <c:pt idx="443">
                  <c:v>949.54795370440308</c:v>
                </c:pt>
                <c:pt idx="444">
                  <c:v>952.95624663154194</c:v>
                </c:pt>
                <c:pt idx="445">
                  <c:v>956.36168666172034</c:v>
                </c:pt>
                <c:pt idx="446">
                  <c:v>959.76410323275718</c:v>
                </c:pt>
                <c:pt idx="447">
                  <c:v>963.16332627555823</c:v>
                </c:pt>
                <c:pt idx="448">
                  <c:v>966.55918621536193</c:v>
                </c:pt>
                <c:pt idx="449">
                  <c:v>969.95151397288544</c:v>
                </c:pt>
                <c:pt idx="450">
                  <c:v>973.34014096537271</c:v>
                </c:pt>
                <c:pt idx="451">
                  <c:v>976.72489910754462</c:v>
                </c:pt>
                <c:pt idx="452">
                  <c:v>980.10562081245394</c:v>
                </c:pt>
                <c:pt idx="453">
                  <c:v>983.48215397757838</c:v>
                </c:pt>
                <c:pt idx="454">
                  <c:v>986.85437692458504</c:v>
                </c:pt>
                <c:pt idx="455">
                  <c:v>990.22218331897454</c:v>
                </c:pt>
                <c:pt idx="456">
                  <c:v>993.58546713534849</c:v>
                </c:pt>
                <c:pt idx="457">
                  <c:v>996.94412265679148</c:v>
                </c:pt>
                <c:pt idx="458">
                  <c:v>1000.2980444742217</c:v>
                </c:pt>
                <c:pt idx="459">
                  <c:v>1003.6471274857109</c:v>
                </c:pt>
                <c:pt idx="460">
                  <c:v>1006.9912668957747</c:v>
                </c:pt>
                <c:pt idx="461">
                  <c:v>1010.3303716988762</c:v>
                </c:pt>
                <c:pt idx="462">
                  <c:v>1013.6643781196631</c:v>
                </c:pt>
                <c:pt idx="463">
                  <c:v>1016.9932360401639</c:v>
                </c:pt>
                <c:pt idx="464">
                  <c:v>1020.3168954702556</c:v>
                </c:pt>
                <c:pt idx="465">
                  <c:v>1023.6353065469464</c:v>
                </c:pt>
                <c:pt idx="466">
                  <c:v>1026.9484082064639</c:v>
                </c:pt>
                <c:pt idx="467">
                  <c:v>1030.256116893034</c:v>
                </c:pt>
                <c:pt idx="468">
                  <c:v>1033.5582118204468</c:v>
                </c:pt>
                <c:pt idx="469">
                  <c:v>1036.8543749797363</c:v>
                </c:pt>
                <c:pt idx="470">
                  <c:v>1040.1444719614792</c:v>
                </c:pt>
                <c:pt idx="471">
                  <c:v>1043.4285231193505</c:v>
                </c:pt>
                <c:pt idx="472">
                  <c:v>1046.7065486942458</c:v>
                </c:pt>
                <c:pt idx="473">
                  <c:v>1049.9785688151203</c:v>
                </c:pt>
                <c:pt idx="474">
                  <c:v>1053.2446034998193</c:v>
                </c:pt>
                <c:pt idx="475">
                  <c:v>1056.5046726559019</c:v>
                </c:pt>
                <c:pt idx="476">
                  <c:v>1059.7587960814574</c:v>
                </c:pt>
                <c:pt idx="477">
                  <c:v>1063.0069934659123</c:v>
                </c:pt>
                <c:pt idx="478">
                  <c:v>1066.2492843908319</c:v>
                </c:pt>
                <c:pt idx="479">
                  <c:v>1069.4856883307134</c:v>
                </c:pt>
                <c:pt idx="480">
                  <c:v>1072.716224653771</c:v>
                </c:pt>
                <c:pt idx="481">
                  <c:v>1075.9409126227156</c:v>
                </c:pt>
                <c:pt idx="482">
                  <c:v>1079.1597713955259</c:v>
                </c:pt>
                <c:pt idx="483">
                  <c:v>1082.3728200262124</c:v>
                </c:pt>
                <c:pt idx="484">
                  <c:v>1085.5800774655752</c:v>
                </c:pt>
                <c:pt idx="485">
                  <c:v>1088.7815625619544</c:v>
                </c:pt>
                <c:pt idx="486">
                  <c:v>1091.9772940619735</c:v>
                </c:pt>
                <c:pt idx="487">
                  <c:v>1095.1672906112763</c:v>
                </c:pt>
                <c:pt idx="488">
                  <c:v>1098.3515707552569</c:v>
                </c:pt>
                <c:pt idx="489">
                  <c:v>1101.5301529397839</c:v>
                </c:pt>
                <c:pt idx="490">
                  <c:v>1104.7030555119154</c:v>
                </c:pt>
                <c:pt idx="491">
                  <c:v>1107.8702967206116</c:v>
                </c:pt>
                <c:pt idx="492">
                  <c:v>1111.0318947174371</c:v>
                </c:pt>
                <c:pt idx="493">
                  <c:v>1114.1878675572598</c:v>
                </c:pt>
                <c:pt idx="494">
                  <c:v>1117.338233198941</c:v>
                </c:pt>
                <c:pt idx="495">
                  <c:v>1120.4830095060213</c:v>
                </c:pt>
                <c:pt idx="496">
                  <c:v>1123.6222142473996</c:v>
                </c:pt>
                <c:pt idx="497">
                  <c:v>1126.7558650980054</c:v>
                </c:pt>
                <c:pt idx="498">
                  <c:v>1129.8839796394664</c:v>
                </c:pt>
                <c:pt idx="499">
                  <c:v>1133.0065753607689</c:v>
                </c:pt>
                <c:pt idx="500">
                  <c:v>1136.1236696589131</c:v>
                </c:pt>
                <c:pt idx="501">
                  <c:v>1166.9933745316325</c:v>
                </c:pt>
                <c:pt idx="502">
                  <c:v>1197.324024968339</c:v>
                </c:pt>
                <c:pt idx="503">
                  <c:v>1227.1321752253491</c:v>
                </c:pt>
                <c:pt idx="504">
                  <c:v>1256.4335402738652</c:v>
                </c:pt>
                <c:pt idx="505">
                  <c:v>1285.2430521758179</c:v>
                </c:pt>
                <c:pt idx="506">
                  <c:v>1313.5749117582604</c:v>
                </c:pt>
                <c:pt idx="507">
                  <c:v>1341.4426360519772</c:v>
                </c:pt>
                <c:pt idx="508">
                  <c:v>1368.8591019067758</c:v>
                </c:pt>
                <c:pt idx="509">
                  <c:v>1395.8365861496115</c:v>
                </c:pt>
                <c:pt idx="510">
                  <c:v>1422.3868026112341</c:v>
                </c:pt>
                <c:pt idx="511">
                  <c:v>1448.5209363116428</c:v>
                </c:pt>
                <c:pt idx="512">
                  <c:v>1474.2496750635746</c:v>
                </c:pt>
                <c:pt idx="513">
                  <c:v>1499.5832387259472</c:v>
                </c:pt>
                <c:pt idx="514">
                  <c:v>1524.5314063151184</c:v>
                </c:pt>
                <c:pt idx="515">
                  <c:v>1549.1035411605933</c:v>
                </c:pt>
                <c:pt idx="516">
                  <c:v>1573.3086142730256</c:v>
                </c:pt>
                <c:pt idx="517">
                  <c:v>1597.1552260757098</c:v>
                </c:pt>
                <c:pt idx="518">
                  <c:v>1620.6516266359888</c:v>
                </c:pt>
                <c:pt idx="519">
                  <c:v>1643.8057345198495</c:v>
                </c:pt>
                <c:pt idx="520">
                  <c:v>1666.6251543812725</c:v>
                </c:pt>
                <c:pt idx="521">
                  <c:v>1689.1171933874439</c:v>
                </c:pt>
                <c:pt idx="522">
                  <c:v>1711.2888765715952</c:v>
                </c:pt>
                <c:pt idx="523">
                  <c:v>1733.1469611968694</c:v>
                </c:pt>
                <c:pt idx="524">
                  <c:v>1754.6979502071074</c:v>
                </c:pt>
                <c:pt idx="525">
                  <c:v>1775.9481048337102</c:v>
                </c:pt>
                <c:pt idx="526">
                  <c:v>1796.9034564216686</c:v>
                </c:pt>
                <c:pt idx="527">
                  <c:v>1817.5698175323955</c:v>
                </c:pt>
                <c:pt idx="528">
                  <c:v>1837.95279237607</c:v>
                </c:pt>
                <c:pt idx="529">
                  <c:v>1858.0577866217511</c:v>
                </c:pt>
                <c:pt idx="530">
                  <c:v>1877.8900166295027</c:v>
                </c:pt>
                <c:pt idx="531">
                  <c:v>1897.4545181451226</c:v>
                </c:pt>
                <c:pt idx="532">
                  <c:v>1916.7561544947685</c:v>
                </c:pt>
                <c:pt idx="533">
                  <c:v>1935.7996243137759</c:v>
                </c:pt>
                <c:pt idx="534">
                  <c:v>1954.5894688412363</c:v>
                </c:pt>
                <c:pt idx="535">
                  <c:v>1973.1300788094265</c:v>
                </c:pt>
                <c:pt idx="536">
                  <c:v>1991.4257009549181</c:v>
                </c:pt>
                <c:pt idx="537">
                  <c:v>2009.4804441761401</c:v>
                </c:pt>
                <c:pt idx="538">
                  <c:v>2027.2982853602853</c:v>
                </c:pt>
                <c:pt idx="539">
                  <c:v>2044.8830749007318</c:v>
                </c:pt>
                <c:pt idx="540">
                  <c:v>2062.2385419245788</c:v>
                </c:pt>
                <c:pt idx="541">
                  <c:v>2079.3682992484605</c:v>
                </c:pt>
                <c:pt idx="542">
                  <c:v>2096.2758480794728</c:v>
                </c:pt>
                <c:pt idx="543">
                  <c:v>2112.9645824768481</c:v>
                </c:pt>
                <c:pt idx="544">
                  <c:v>2129.4377935888911</c:v>
                </c:pt>
                <c:pt idx="545">
                  <c:v>2145.6986736786735</c:v>
                </c:pt>
                <c:pt idx="546">
                  <c:v>2161.7503199510402</c:v>
                </c:pt>
                <c:pt idx="547">
                  <c:v>2177.5957381926164</c:v>
                </c:pt>
                <c:pt idx="548">
                  <c:v>2193.2378462357037</c:v>
                </c:pt>
                <c:pt idx="549">
                  <c:v>2208.6794772562225</c:v>
                </c:pt>
                <c:pt idx="550">
                  <c:v>2223.9233829151676</c:v>
                </c:pt>
                <c:pt idx="551">
                  <c:v>2238.9722363524293</c:v>
                </c:pt>
                <c:pt idx="552">
                  <c:v>2253.82863504124</c:v>
                </c:pt>
                <c:pt idx="553">
                  <c:v>2268.4951035109739</c:v>
                </c:pt>
                <c:pt idx="554">
                  <c:v>2282.9740959455289</c:v>
                </c:pt>
                <c:pt idx="555">
                  <c:v>2297.2679986640587</c:v>
                </c:pt>
                <c:pt idx="556">
                  <c:v>2311.3791324903946</c:v>
                </c:pt>
                <c:pt idx="557">
                  <c:v>2325.3097550170955</c:v>
                </c:pt>
                <c:pt idx="558">
                  <c:v>2339.0620627697062</c:v>
                </c:pt>
                <c:pt idx="559">
                  <c:v>2352.6381932764475</c:v>
                </c:pt>
                <c:pt idx="560">
                  <c:v>2366.0402270482532</c:v>
                </c:pt>
                <c:pt idx="561">
                  <c:v>2379.2701894737665</c:v>
                </c:pt>
                <c:pt idx="562">
                  <c:v>2392.3300526336361</c:v>
                </c:pt>
                <c:pt idx="563">
                  <c:v>2405.2217370381873</c:v>
                </c:pt>
                <c:pt idx="564">
                  <c:v>2417.9471132923145</c:v>
                </c:pt>
                <c:pt idx="565">
                  <c:v>2430.508003691205</c:v>
                </c:pt>
                <c:pt idx="566">
                  <c:v>2442.9061837503027</c:v>
                </c:pt>
                <c:pt idx="567">
                  <c:v>2455.1433836727247</c:v>
                </c:pt>
                <c:pt idx="568">
                  <c:v>2467.2212897571526</c:v>
                </c:pt>
                <c:pt idx="569">
                  <c:v>2479.1415457490634</c:v>
                </c:pt>
                <c:pt idx="570">
                  <c:v>2490.905754137988</c:v>
                </c:pt>
                <c:pt idx="571">
                  <c:v>2502.5154774033535</c:v>
                </c:pt>
                <c:pt idx="572">
                  <c:v>2513.9722392113072</c:v>
                </c:pt>
                <c:pt idx="573">
                  <c:v>2525.2775255648039</c:v>
                </c:pt>
                <c:pt idx="574">
                  <c:v>2536.4327859091059</c:v>
                </c:pt>
                <c:pt idx="575">
                  <c:v>2547.4394341947282</c:v>
                </c:pt>
                <c:pt idx="576">
                  <c:v>2558.2988498997615</c:v>
                </c:pt>
                <c:pt idx="577">
                  <c:v>2569.0123790133953</c:v>
                </c:pt>
                <c:pt idx="578">
                  <c:v>2579.5813349823666</c:v>
                </c:pt>
                <c:pt idx="579">
                  <c:v>2590.0069996219795</c:v>
                </c:pt>
                <c:pt idx="580">
                  <c:v>2600.2906239932436</c:v>
                </c:pt>
                <c:pt idx="581">
                  <c:v>2610.4334292476074</c:v>
                </c:pt>
                <c:pt idx="582">
                  <c:v>2620.4366074406857</c:v>
                </c:pt>
                <c:pt idx="583">
                  <c:v>2630.3013223163061</c:v>
                </c:pt>
                <c:pt idx="584">
                  <c:v>2640.0287100621381</c:v>
                </c:pt>
                <c:pt idx="585">
                  <c:v>2649.6198800381003</c:v>
                </c:pt>
                <c:pt idx="586">
                  <c:v>2659.0759154786851</c:v>
                </c:pt>
                <c:pt idx="587">
                  <c:v>2668.397874170284</c:v>
                </c:pt>
                <c:pt idx="588">
                  <c:v>2677.5867891045386</c:v>
                </c:pt>
                <c:pt idx="589">
                  <c:v>2686.6436691087033</c:v>
                </c:pt>
                <c:pt idx="590">
                  <c:v>2695.5694994539444</c:v>
                </c:pt>
                <c:pt idx="591">
                  <c:v>2704.3652424424686</c:v>
                </c:pt>
                <c:pt idx="592">
                  <c:v>2713.0318379743217</c:v>
                </c:pt>
                <c:pt idx="593">
                  <c:v>2721.5702040946653</c:v>
                </c:pt>
                <c:pt idx="594">
                  <c:v>2729.9812375222973</c:v>
                </c:pt>
                <c:pt idx="595">
                  <c:v>2738.2658141601491</c:v>
                </c:pt>
                <c:pt idx="596">
                  <c:v>2746.4247895884532</c:v>
                </c:pt>
                <c:pt idx="597">
                  <c:v>2754.4589995412525</c:v>
                </c:pt>
                <c:pt idx="598">
                  <c:v>2762.3692603668806</c:v>
                </c:pt>
                <c:pt idx="599">
                  <c:v>2770.1563694730216</c:v>
                </c:pt>
                <c:pt idx="600">
                  <c:v>2777.8211057569283</c:v>
                </c:pt>
                <c:pt idx="601">
                  <c:v>2785.3642300213514</c:v>
                </c:pt>
                <c:pt idx="602">
                  <c:v>2792.7864853767055</c:v>
                </c:pt>
                <c:pt idx="603">
                  <c:v>2800.0885976299805</c:v>
                </c:pt>
                <c:pt idx="604">
                  <c:v>2807.2712756608776</c:v>
                </c:pt>
                <c:pt idx="605">
                  <c:v>2814.3352117856307</c:v>
                </c:pt>
                <c:pt idx="606">
                  <c:v>2821.2810821089602</c:v>
                </c:pt>
                <c:pt idx="607">
                  <c:v>2828.1095468645722</c:v>
                </c:pt>
                <c:pt idx="608">
                  <c:v>2834.8212507446174</c:v>
                </c:pt>
                <c:pt idx="609">
                  <c:v>2841.4168232184888</c:v>
                </c:pt>
                <c:pt idx="610">
                  <c:v>2847.8968788413335</c:v>
                </c:pt>
                <c:pt idx="611">
                  <c:v>2854.2620175526322</c:v>
                </c:pt>
                <c:pt idx="612">
                  <c:v>2860.5128249651884</c:v>
                </c:pt>
                <c:pt idx="613">
                  <c:v>2866.6498726448513</c:v>
                </c:pt>
                <c:pt idx="614">
                  <c:v>2872.6737183812888</c:v>
                </c:pt>
                <c:pt idx="615">
                  <c:v>2878.5849064501108</c:v>
                </c:pt>
                <c:pt idx="616">
                  <c:v>2884.3839678666295</c:v>
                </c:pt>
                <c:pt idx="617">
                  <c:v>2890.0714206315383</c:v>
                </c:pt>
                <c:pt idx="618">
                  <c:v>2895.6477699687721</c:v>
                </c:pt>
                <c:pt idx="619">
                  <c:v>2901.1135085558099</c:v>
                </c:pt>
                <c:pt idx="620">
                  <c:v>2906.4691167466653</c:v>
                </c:pt>
                <c:pt idx="621">
                  <c:v>2911.7150627878032</c:v>
                </c:pt>
                <c:pt idx="622">
                  <c:v>2916.8518030272144</c:v>
                </c:pt>
                <c:pt idx="623">
                  <c:v>2921.87978211687</c:v>
                </c:pt>
                <c:pt idx="624">
                  <c:v>2926.7994332087719</c:v>
                </c:pt>
                <c:pt idx="625">
                  <c:v>2931.6111781448067</c:v>
                </c:pt>
                <c:pt idx="626">
                  <c:v>2936.3154276406085</c:v>
                </c:pt>
                <c:pt idx="627">
                  <c:v>2940.912581463625</c:v>
                </c:pt>
                <c:pt idx="628">
                  <c:v>2945.4030286055836</c:v>
                </c:pt>
                <c:pt idx="629">
                  <c:v>2949.7871474495437</c:v>
                </c:pt>
                <c:pt idx="630">
                  <c:v>2954.065305931721</c:v>
                </c:pt>
                <c:pt idx="631">
                  <c:v>2958.2378616982696</c:v>
                </c:pt>
                <c:pt idx="632">
                  <c:v>2962.305162257202</c:v>
                </c:pt>
                <c:pt idx="633">
                  <c:v>2966.2675451256268</c:v>
                </c:pt>
                <c:pt idx="634">
                  <c:v>2970.1253379724908</c:v>
                </c:pt>
                <c:pt idx="635">
                  <c:v>2973.8788587570029</c:v>
                </c:pt>
                <c:pt idx="636">
                  <c:v>2977.5284158629352</c:v>
                </c:pt>
                <c:pt idx="637">
                  <c:v>2981.0743082289832</c:v>
                </c:pt>
                <c:pt idx="638">
                  <c:v>2984.5168254753962</c:v>
                </c:pt>
                <c:pt idx="639">
                  <c:v>2987.8562480270753</c:v>
                </c:pt>
                <c:pt idx="640">
                  <c:v>2991.0928472333685</c:v>
                </c:pt>
                <c:pt idx="641">
                  <c:v>2994.226885484793</c:v>
                </c:pt>
                <c:pt idx="642">
                  <c:v>2997.2586163269411</c:v>
                </c:pt>
                <c:pt idx="643">
                  <c:v>3000.1882845718474</c:v>
                </c:pt>
                <c:pt idx="644">
                  <c:v>3003.0161264071226</c:v>
                </c:pt>
                <c:pt idx="645">
                  <c:v>3005.7423695031976</c:v>
                </c:pt>
                <c:pt idx="646">
                  <c:v>3008.3672331190573</c:v>
                </c:pt>
                <c:pt idx="647">
                  <c:v>3010.890928206903</c:v>
                </c:pt>
                <c:pt idx="648">
                  <c:v>3013.3136575162339</c:v>
                </c:pt>
                <c:pt idx="649">
                  <c:v>3015.6356156979273</c:v>
                </c:pt>
                <c:pt idx="650">
                  <c:v>3017.8569894089692</c:v>
                </c:pt>
                <c:pt idx="651">
                  <c:v>3019.9779574186091</c:v>
                </c:pt>
                <c:pt idx="652">
                  <c:v>3021.9986907168359</c:v>
                </c:pt>
                <c:pt idx="653">
                  <c:v>3023.9193526262193</c:v>
                </c:pt>
                <c:pt idx="654">
                  <c:v>3025.740098918352</c:v>
                </c:pt>
                <c:pt idx="655">
                  <c:v>3027.4610779363352</c:v>
                </c:pt>
                <c:pt idx="656">
                  <c:v>3029.0824307249941</c:v>
                </c:pt>
                <c:pt idx="657">
                  <c:v>3030.6042911708023</c:v>
                </c:pt>
                <c:pt idx="658">
                  <c:v>3032.0267861538114</c:v>
                </c:pt>
                <c:pt idx="659">
                  <c:v>3033.350035714242</c:v>
                </c:pt>
                <c:pt idx="660">
                  <c:v>3034.5741532367729</c:v>
                </c:pt>
                <c:pt idx="661">
                  <c:v>3035.6992456559633</c:v>
                </c:pt>
                <c:pt idx="662">
                  <c:v>3036.7254136866236</c:v>
                </c:pt>
                <c:pt idx="663">
                  <c:v>3037.6527520832678</c:v>
                </c:pt>
                <c:pt idx="664">
                  <c:v>3038.4813499330007</c:v>
                </c:pt>
                <c:pt idx="665">
                  <c:v>3039.2112909862185</c:v>
                </c:pt>
                <c:pt idx="666">
                  <c:v>3039.842654029248</c:v>
                </c:pt>
                <c:pt idx="667">
                  <c:v>3040.3755133024438</c:v>
                </c:pt>
                <c:pt idx="668">
                  <c:v>3040.8099389661788</c:v>
                </c:pt>
                <c:pt idx="669">
                  <c:v>3041.1459976155788</c:v>
                </c:pt>
                <c:pt idx="670">
                  <c:v>3041.3837528427566</c:v>
                </c:pt>
                <c:pt idx="671">
                  <c:v>3041.5232658427863</c:v>
                </c:pt>
                <c:pt idx="672">
                  <c:v>3041.5645960569277</c:v>
                </c:pt>
                <c:pt idx="673">
                  <c:v>3041.5078018439526</c:v>
                </c:pt>
                <c:pt idx="674">
                  <c:v>3041.3529411681816</c:v>
                </c:pt>
                <c:pt idx="675">
                  <c:v>3041.1000722913541</c:v>
                </c:pt>
                <c:pt idx="676">
                  <c:v>3040.7492544549605</c:v>
                </c:pt>
                <c:pt idx="677">
                  <c:v>3040.3005485402296</c:v>
                </c:pt>
                <c:pt idx="678">
                  <c:v>3039.7540176945431</c:v>
                </c:pt>
                <c:pt idx="679">
                  <c:v>3039.109727915315</c:v>
                </c:pt>
                <c:pt idx="680">
                  <c:v>3038.3677485850767</c:v>
                </c:pt>
                <c:pt idx="681">
                  <c:v>3037.5281529542294</c:v>
                </c:pt>
                <c:pt idx="682">
                  <c:v>3036.5910185704206</c:v>
                </c:pt>
                <c:pt idx="683">
                  <c:v>3035.5564276555742</c:v>
                </c:pt>
                <c:pt idx="684">
                  <c:v>3034.4244674331426</c:v>
                </c:pt>
                <c:pt idx="685">
                  <c:v>3033.1952304091938</c:v>
                </c:pt>
                <c:pt idx="686">
                  <c:v>3031.8688146115232</c:v>
                </c:pt>
                <c:pt idx="687">
                  <c:v>3030.4453237911957</c:v>
                </c:pt>
                <c:pt idx="688">
                  <c:v>3028.9248675908698</c:v>
                </c:pt>
                <c:pt idx="689">
                  <c:v>3027.3075616840315</c:v>
                </c:pt>
                <c:pt idx="690">
                  <c:v>3025.5935278889133</c:v>
                </c:pt>
                <c:pt idx="691">
                  <c:v>3023.7828942604965</c:v>
                </c:pt>
                <c:pt idx="692">
                  <c:v>3021.8757951635862</c:v>
                </c:pt>
                <c:pt idx="693">
                  <c:v>3019.8723713295626</c:v>
                </c:pt>
                <c:pt idx="694">
                  <c:v>3017.7727698990529</c:v>
                </c:pt>
                <c:pt idx="695">
                  <c:v>3015.5771444524394</c:v>
                </c:pt>
                <c:pt idx="696">
                  <c:v>3013.2856550298416</c:v>
                </c:pt>
                <c:pt idx="697">
                  <c:v>3010.8984681419538</c:v>
                </c:pt>
                <c:pt idx="698">
                  <c:v>3008.4157567729121</c:v>
                </c:pt>
                <c:pt idx="699">
                  <c:v>3005.8377003761821</c:v>
                </c:pt>
                <c:pt idx="700">
                  <c:v>3003.1644848643055</c:v>
                </c:pt>
                <c:pt idx="701">
                  <c:v>3000.3963025932112</c:v>
                </c:pt>
                <c:pt idx="702">
                  <c:v>2997.5333523416948</c:v>
                </c:pt>
                <c:pt idx="703">
                  <c:v>2994.575839286576</c:v>
                </c:pt>
                <c:pt idx="704">
                  <c:v>2991.5239749739626</c:v>
                </c:pt>
                <c:pt idx="705">
                  <c:v>2988.377977286998</c:v>
                </c:pt>
                <c:pt idx="706">
                  <c:v>2985.1380704104045</c:v>
                </c:pt>
                <c:pt idx="707">
                  <c:v>2981.8044847920946</c:v>
                </c:pt>
                <c:pt idx="708">
                  <c:v>2978.3774571020895</c:v>
                </c:pt>
                <c:pt idx="709">
                  <c:v>2974.8572301889435</c:v>
                </c:pt>
                <c:pt idx="710">
                  <c:v>2971.2440530338581</c:v>
                </c:pt>
                <c:pt idx="711">
                  <c:v>2967.5381807026356</c:v>
                </c:pt>
                <c:pt idx="712">
                  <c:v>2963.7398742956134</c:v>
                </c:pt>
                <c:pt idx="713">
                  <c:v>2959.8494008957014</c:v>
                </c:pt>
                <c:pt idx="714">
                  <c:v>2955.8670335146276</c:v>
                </c:pt>
                <c:pt idx="715">
                  <c:v>2951.7930510374927</c:v>
                </c:pt>
                <c:pt idx="716">
                  <c:v>2947.6277381657205</c:v>
                </c:pt>
                <c:pt idx="717">
                  <c:v>2943.3713853584841</c:v>
                </c:pt>
                <c:pt idx="718">
                  <c:v>2939.0242887726813</c:v>
                </c:pt>
                <c:pt idx="719">
                  <c:v>2934.586750201528</c:v>
                </c:pt>
                <c:pt idx="720">
                  <c:v>2930.0590770118306</c:v>
                </c:pt>
                <c:pt idx="721">
                  <c:v>2925.4415820799964</c:v>
                </c:pt>
                <c:pt idx="722">
                  <c:v>2920.7345837268376</c:v>
                </c:pt>
                <c:pt idx="723">
                  <c:v>2915.9384056512208</c:v>
                </c:pt>
                <c:pt idx="724">
                  <c:v>2911.0533768626078</c:v>
                </c:pt>
                <c:pt idx="725">
                  <c:v>2906.0798316125406</c:v>
                </c:pt>
                <c:pt idx="726">
                  <c:v>2901.0181093251094</c:v>
                </c:pt>
                <c:pt idx="727">
                  <c:v>2895.868554526452</c:v>
                </c:pt>
                <c:pt idx="728">
                  <c:v>2890.6315167733223</c:v>
                </c:pt>
                <c:pt idx="729">
                  <c:v>2885.3073505807706</c:v>
                </c:pt>
                <c:pt idx="730">
                  <c:v>2879.8964153489746</c:v>
                </c:pt>
                <c:pt idx="731">
                  <c:v>2874.3990752892591</c:v>
                </c:pt>
                <c:pt idx="732">
                  <c:v>2868.8156993493426</c:v>
                </c:pt>
                <c:pt idx="733">
                  <c:v>2863.1466611378455</c:v>
                </c:pt>
                <c:pt idx="734">
                  <c:v>2857.3923388481012</c:v>
                </c:pt>
                <c:pt idx="735">
                  <c:v>2851.5531151812984</c:v>
                </c:pt>
                <c:pt idx="736">
                  <c:v>2845.6293772689955</c:v>
                </c:pt>
                <c:pt idx="737">
                  <c:v>2839.621516595038</c:v>
                </c:pt>
                <c:pt idx="738">
                  <c:v>2833.5299289169143</c:v>
                </c:pt>
                <c:pt idx="739">
                  <c:v>2827.3550141865844</c:v>
                </c:pt>
                <c:pt idx="740">
                  <c:v>2821.0971764708129</c:v>
                </c:pt>
                <c:pt idx="741">
                  <c:v>2814.7568238710401</c:v>
                </c:pt>
                <c:pt idx="742">
                  <c:v>2808.3343684428223</c:v>
                </c:pt>
                <c:pt idx="743">
                  <c:v>2801.8302261148779</c:v>
                </c:pt>
                <c:pt idx="744">
                  <c:v>2795.2448166077638</c:v>
                </c:pt>
                <c:pt idx="745">
                  <c:v>2788.578563352221</c:v>
                </c:pt>
                <c:pt idx="746">
                  <c:v>2781.8318934072158</c:v>
                </c:pt>
                <c:pt idx="747">
                  <c:v>2775.0052373777103</c:v>
                </c:pt>
                <c:pt idx="748">
                  <c:v>2768.0990293321906</c:v>
                </c:pt>
                <c:pt idx="749">
                  <c:v>2761.1137067199838</c:v>
                </c:pt>
                <c:pt idx="750">
                  <c:v>2754.0497102883969</c:v>
                </c:pt>
                <c:pt idx="751">
                  <c:v>2746.9074839997006</c:v>
                </c:pt>
                <c:pt idx="752">
                  <c:v>2739.6874749479944</c:v>
                </c:pt>
                <c:pt idx="753">
                  <c:v>2732.3901332759788</c:v>
                </c:pt>
                <c:pt idx="754">
                  <c:v>2725.0159120916628</c:v>
                </c:pt>
                <c:pt idx="755">
                  <c:v>2717.5652673850359</c:v>
                </c:pt>
                <c:pt idx="756">
                  <c:v>2710.0386579447345</c:v>
                </c:pt>
                <c:pt idx="757">
                  <c:v>2702.4365452747275</c:v>
                </c:pt>
                <c:pt idx="758">
                  <c:v>2694.7593935110508</c:v>
                </c:pt>
                <c:pt idx="759">
                  <c:v>2687.0076693386177</c:v>
                </c:pt>
                <c:pt idx="760">
                  <c:v>2679.1818419081301</c:v>
                </c:pt>
                <c:pt idx="761">
                  <c:v>2671.2823827531188</c:v>
                </c:pt>
                <c:pt idx="762">
                  <c:v>2663.309765707138</c:v>
                </c:pt>
                <c:pt idx="763">
                  <c:v>2655.2644668211406</c:v>
                </c:pt>
                <c:pt idx="764">
                  <c:v>2647.1469642810589</c:v>
                </c:pt>
                <c:pt idx="765">
                  <c:v>2638.9577383256155</c:v>
                </c:pt>
                <c:pt idx="766">
                  <c:v>2630.6972711643875</c:v>
                </c:pt>
                <c:pt idx="767">
                  <c:v>2622.366046896153</c:v>
                </c:pt>
                <c:pt idx="768">
                  <c:v>2613.9645514275371</c:v>
                </c:pt>
                <c:pt idx="769">
                  <c:v>2605.4932723919851</c:v>
                </c:pt>
                <c:pt idx="770">
                  <c:v>2596.9526990690847</c:v>
                </c:pt>
                <c:pt idx="771">
                  <c:v>2588.343322304258</c:v>
                </c:pt>
                <c:pt idx="772">
                  <c:v>2579.6656344288476</c:v>
                </c:pt>
                <c:pt idx="773">
                  <c:v>2570.9201291806185</c:v>
                </c:pt>
                <c:pt idx="774">
                  <c:v>2562.1073016246914</c:v>
                </c:pt>
                <c:pt idx="775">
                  <c:v>2553.2276480749379</c:v>
                </c:pt>
                <c:pt idx="776">
                  <c:v>2544.2816660158473</c:v>
                </c:pt>
                <c:pt idx="777">
                  <c:v>2535.2698540248934</c:v>
                </c:pt>
                <c:pt idx="778">
                  <c:v>2526.192711695413</c:v>
                </c:pt>
                <c:pt idx="779">
                  <c:v>2517.0507395600225</c:v>
                </c:pt>
                <c:pt idx="780">
                  <c:v>2507.8444390145833</c:v>
                </c:pt>
                <c:pt idx="781">
                  <c:v>2498.5743122427407</c:v>
                </c:pt>
                <c:pt idx="782">
                  <c:v>2489.2408621410477</c:v>
                </c:pt>
                <c:pt idx="783">
                  <c:v>2479.8445922446967</c:v>
                </c:pt>
                <c:pt idx="784">
                  <c:v>2470.3860066538678</c:v>
                </c:pt>
                <c:pt idx="785">
                  <c:v>2460.8656099607183</c:v>
                </c:pt>
                <c:pt idx="786">
                  <c:v>2451.2839071770222</c:v>
                </c:pt>
                <c:pt idx="787">
                  <c:v>2441.6414036624765</c:v>
                </c:pt>
                <c:pt idx="788">
                  <c:v>2431.9386050536914</c:v>
                </c:pt>
                <c:pt idx="789">
                  <c:v>2422.1760171938731</c:v>
                </c:pt>
                <c:pt idx="790">
                  <c:v>2412.35414606322</c:v>
                </c:pt>
                <c:pt idx="791">
                  <c:v>2402.4734977100361</c:v>
                </c:pt>
                <c:pt idx="792">
                  <c:v>2392.5345781825831</c:v>
                </c:pt>
                <c:pt idx="793">
                  <c:v>2382.5378934616774</c:v>
                </c:pt>
                <c:pt idx="794">
                  <c:v>2372.4839493940453</c:v>
                </c:pt>
                <c:pt idx="795">
                  <c:v>2362.3732516264486</c:v>
                </c:pt>
                <c:pt idx="796">
                  <c:v>2352.2063055405883</c:v>
                </c:pt>
                <c:pt idx="797">
                  <c:v>2341.9836161888011</c:v>
                </c:pt>
                <c:pt idx="798">
                  <c:v>2331.7056882305515</c:v>
                </c:pt>
                <c:pt idx="799">
                  <c:v>2321.3730258697365</c:v>
                </c:pt>
                <c:pt idx="800">
                  <c:v>2310.9861327928056</c:v>
                </c:pt>
                <c:pt idx="801">
                  <c:v>2300.545512107708</c:v>
                </c:pt>
                <c:pt idx="802">
                  <c:v>2290.0516662836708</c:v>
                </c:pt>
                <c:pt idx="803">
                  <c:v>2279.505097091821</c:v>
                </c:pt>
                <c:pt idx="804">
                  <c:v>2268.9063055466522</c:v>
                </c:pt>
                <c:pt idx="805">
                  <c:v>2258.2557918483467</c:v>
                </c:pt>
                <c:pt idx="806">
                  <c:v>2247.5540553259575</c:v>
                </c:pt>
                <c:pt idx="807">
                  <c:v>2236.8015943814548</c:v>
                </c:pt>
                <c:pt idx="808">
                  <c:v>2225.9989064346441</c:v>
                </c:pt>
                <c:pt idx="809">
                  <c:v>2215.1464878689576</c:v>
                </c:pt>
                <c:pt idx="810">
                  <c:v>2204.2448339781263</c:v>
                </c:pt>
                <c:pt idx="811">
                  <c:v>2193.2944389137333</c:v>
                </c:pt>
                <c:pt idx="812">
                  <c:v>2182.2957956336559</c:v>
                </c:pt>
                <c:pt idx="813">
                  <c:v>2171.2493958513942</c:v>
                </c:pt>
                <c:pt idx="814">
                  <c:v>2160.155729986292</c:v>
                </c:pt>
                <c:pt idx="815">
                  <c:v>2149.0152871146538</c:v>
                </c:pt>
                <c:pt idx="816">
                  <c:v>2137.8285549217526</c:v>
                </c:pt>
                <c:pt idx="817">
                  <c:v>2126.5960196547403</c:v>
                </c:pt>
                <c:pt idx="818">
                  <c:v>2115.3181660764503</c:v>
                </c:pt>
                <c:pt idx="819">
                  <c:v>2103.9954774201024</c:v>
                </c:pt>
                <c:pt idx="820">
                  <c:v>2092.6284353449041</c:v>
                </c:pt>
                <c:pt idx="821">
                  <c:v>2081.2175198925515</c:v>
                </c:pt>
                <c:pt idx="822">
                  <c:v>2069.7632094446262</c:v>
                </c:pt>
                <c:pt idx="823">
                  <c:v>2058.265980680892</c:v>
                </c:pt>
                <c:pt idx="824">
                  <c:v>2046.7263085384843</c:v>
                </c:pt>
                <c:pt idx="825">
                  <c:v>2035.1446661719956</c:v>
                </c:pt>
                <c:pt idx="826">
                  <c:v>2023.5215249144524</c:v>
                </c:pt>
                <c:pt idx="827">
                  <c:v>2011.8573542391825</c:v>
                </c:pt>
                <c:pt idx="828">
                  <c:v>2000.1526217225701</c:v>
                </c:pt>
                <c:pt idx="829">
                  <c:v>1988.4077930076949</c:v>
                </c:pt>
                <c:pt idx="830">
                  <c:v>1976.6233317688534</c:v>
                </c:pt>
                <c:pt idx="831">
                  <c:v>1964.7996996769591</c:v>
                </c:pt>
                <c:pt idx="832">
                  <c:v>1952.9373563658148</c:v>
                </c:pt>
                <c:pt idx="833">
                  <c:v>1941.0367593992582</c:v>
                </c:pt>
                <c:pt idx="834">
                  <c:v>1929.0983642391723</c:v>
                </c:pt>
                <c:pt idx="835">
                  <c:v>1917.1226242143571</c:v>
                </c:pt>
                <c:pt idx="836">
                  <c:v>1905.1099904902599</c:v>
                </c:pt>
                <c:pt idx="837">
                  <c:v>1893.0609120395563</c:v>
                </c:pt>
                <c:pt idx="838">
                  <c:v>1880.9758356135783</c:v>
                </c:pt>
                <c:pt idx="839">
                  <c:v>1868.8552057145832</c:v>
                </c:pt>
                <c:pt idx="840">
                  <c:v>1856.6994645688596</c:v>
                </c:pt>
                <c:pt idx="841">
                  <c:v>1844.5090521006607</c:v>
                </c:pt>
                <c:pt idx="842">
                  <c:v>1832.284405906963</c:v>
                </c:pt>
                <c:pt idx="843">
                  <c:v>1820.0259612330412</c:v>
                </c:pt>
                <c:pt idx="844">
                  <c:v>1807.7341509488538</c:v>
                </c:pt>
                <c:pt idx="845">
                  <c:v>1795.4094055262324</c:v>
                </c:pt>
                <c:pt idx="846">
                  <c:v>1783.0521530168692</c:v>
                </c:pt>
                <c:pt idx="847">
                  <c:v>1770.6628190310921</c:v>
                </c:pt>
                <c:pt idx="848">
                  <c:v>1758.2418267174248</c:v>
                </c:pt>
                <c:pt idx="849">
                  <c:v>1745.7895967429204</c:v>
                </c:pt>
                <c:pt idx="850">
                  <c:v>1733.3065472742637</c:v>
                </c:pt>
                <c:pt idx="851">
                  <c:v>1720.7930939596333</c:v>
                </c:pt>
                <c:pt idx="852">
                  <c:v>1708.2496499113151</c:v>
                </c:pt>
                <c:pt idx="853">
                  <c:v>1695.676625689061</c:v>
                </c:pt>
                <c:pt idx="854">
                  <c:v>1683.074429284183</c:v>
                </c:pt>
                <c:pt idx="855">
                  <c:v>1670.4434661043751</c:v>
                </c:pt>
                <c:pt idx="856">
                  <c:v>1657.7841389592554</c:v>
                </c:pt>
                <c:pt idx="857">
                  <c:v>1645.0968480466179</c:v>
                </c:pt>
                <c:pt idx="858">
                  <c:v>1632.3819909393887</c:v>
                </c:pt>
                <c:pt idx="859">
                  <c:v>1619.6399625732745</c:v>
                </c:pt>
                <c:pt idx="860">
                  <c:v>1606.8711552350967</c:v>
                </c:pt>
                <c:pt idx="861">
                  <c:v>1594.0759585518024</c:v>
                </c:pt>
                <c:pt idx="862">
                  <c:v>1581.2547594801422</c:v>
                </c:pt>
                <c:pt idx="863">
                  <c:v>1568.4079422970074</c:v>
                </c:pt>
                <c:pt idx="864">
                  <c:v>1555.5358885904152</c:v>
                </c:pt>
                <c:pt idx="865">
                  <c:v>1542.6389772511368</c:v>
                </c:pt>
                <c:pt idx="866">
                  <c:v>1529.7175844649541</c:v>
                </c:pt>
                <c:pt idx="867">
                  <c:v>1516.7720837055413</c:v>
                </c:pt>
                <c:pt idx="868">
                  <c:v>1503.802845727957</c:v>
                </c:pt>
                <c:pt idx="869">
                  <c:v>1490.8102385627419</c:v>
                </c:pt>
                <c:pt idx="870">
                  <c:v>1477.7946275106103</c:v>
                </c:pt>
                <c:pt idx="871">
                  <c:v>1464.7563751377268</c:v>
                </c:pt>
                <c:pt idx="872">
                  <c:v>1451.6958412715587</c:v>
                </c:pt>
                <c:pt idx="873">
                  <c:v>1438.6133829972955</c:v>
                </c:pt>
                <c:pt idx="874">
                  <c:v>1425.5093546548251</c:v>
                </c:pt>
                <c:pt idx="875">
                  <c:v>1412.384107836258</c:v>
                </c:pt>
                <c:pt idx="876">
                  <c:v>1399.2379913839895</c:v>
                </c:pt>
                <c:pt idx="877">
                  <c:v>1386.0713513892929</c:v>
                </c:pt>
                <c:pt idx="878">
                  <c:v>1372.884531191429</c:v>
                </c:pt>
                <c:pt idx="879">
                  <c:v>1359.6778713772703</c:v>
                </c:pt>
                <c:pt idx="880">
                  <c:v>1346.451709781423</c:v>
                </c:pt>
                <c:pt idx="881">
                  <c:v>1333.2063814868418</c:v>
                </c:pt>
                <c:pt idx="882">
                  <c:v>1319.9422188259284</c:v>
                </c:pt>
                <c:pt idx="883">
                  <c:v>1306.6595513821019</c:v>
                </c:pt>
                <c:pt idx="884">
                  <c:v>1293.3587059918336</c:v>
                </c:pt>
                <c:pt idx="885">
                  <c:v>1280.0400067471369</c:v>
                </c:pt>
                <c:pt idx="886">
                  <c:v>1266.7037749985029</c:v>
                </c:pt>
                <c:pt idx="887">
                  <c:v>1253.3503293582728</c:v>
                </c:pt>
                <c:pt idx="888">
                  <c:v>1239.9799857044368</c:v>
                </c:pt>
                <c:pt idx="889">
                  <c:v>1226.5930571848533</c:v>
                </c:pt>
                <c:pt idx="890">
                  <c:v>1213.1898542218757</c:v>
                </c:pt>
                <c:pt idx="891">
                  <c:v>1199.7706845173814</c:v>
                </c:pt>
                <c:pt idx="892">
                  <c:v>1186.3358530581913</c:v>
                </c:pt>
                <c:pt idx="893">
                  <c:v>1172.8856621218731</c:v>
                </c:pt>
                <c:pt idx="894">
                  <c:v>1159.4204112829179</c:v>
                </c:pt>
                <c:pt idx="895">
                  <c:v>1145.9403974192837</c:v>
                </c:pt>
                <c:pt idx="896">
                  <c:v>1132.4459147192938</c:v>
                </c:pt>
                <c:pt idx="897">
                  <c:v>1118.9372546888851</c:v>
                </c:pt>
                <c:pt idx="898">
                  <c:v>1105.4147061591948</c:v>
                </c:pt>
                <c:pt idx="899">
                  <c:v>1091.8785552944801</c:v>
                </c:pt>
                <c:pt idx="900">
                  <c:v>1078.3290856003593</c:v>
                </c:pt>
                <c:pt idx="901">
                  <c:v>1064.7665779323686</c:v>
                </c:pt>
                <c:pt idx="902">
                  <c:v>1051.191310504825</c:v>
                </c:pt>
                <c:pt idx="903">
                  <c:v>1037.6035588999873</c:v>
                </c:pt>
                <c:pt idx="904">
                  <c:v>1024.003596077509</c:v>
                </c:pt>
                <c:pt idx="905">
                  <c:v>1010.3916923841712</c:v>
                </c:pt>
                <c:pt idx="906">
                  <c:v>996.76811556389191</c:v>
                </c:pt>
                <c:pt idx="907">
                  <c:v>983.13313076800137</c:v>
                </c:pt>
                <c:pt idx="908">
                  <c:v>969.48700056577627</c:v>
                </c:pt>
                <c:pt idx="909">
                  <c:v>955.82998495522577</c:v>
                </c:pt>
                <c:pt idx="910">
                  <c:v>942.16234137412084</c:v>
                </c:pt>
                <c:pt idx="911">
                  <c:v>928.48432471126057</c:v>
                </c:pt>
                <c:pt idx="912">
                  <c:v>914.79618731796688</c:v>
                </c:pt>
                <c:pt idx="913">
                  <c:v>901.09817901980171</c:v>
                </c:pt>
                <c:pt idx="914">
                  <c:v>887.39054712849804</c:v>
                </c:pt>
                <c:pt idx="915">
                  <c:v>873.67353645409912</c:v>
                </c:pt>
                <c:pt idx="916">
                  <c:v>859.94738931729773</c:v>
                </c:pt>
                <c:pt idx="917">
                  <c:v>846.21234556196941</c:v>
                </c:pt>
                <c:pt idx="918">
                  <c:v>832.46864256789195</c:v>
                </c:pt>
                <c:pt idx="919">
                  <c:v>818.71651526364565</c:v>
                </c:pt>
                <c:pt idx="920">
                  <c:v>804.95619613968643</c:v>
                </c:pt>
                <c:pt idx="921">
                  <c:v>791.18791526158645</c:v>
                </c:pt>
                <c:pt idx="922">
                  <c:v>777.41190028343476</c:v>
                </c:pt>
                <c:pt idx="923">
                  <c:v>763.62837646139224</c:v>
                </c:pt>
                <c:pt idx="924">
                  <c:v>749.83756666739487</c:v>
                </c:pt>
                <c:pt idx="925">
                  <c:v>736.03969140299807</c:v>
                </c:pt>
                <c:pt idx="926">
                  <c:v>722.2349688133578</c:v>
                </c:pt>
                <c:pt idx="927">
                  <c:v>708.42361470134017</c:v>
                </c:pt>
                <c:pt idx="928">
                  <c:v>694.60584254175626</c:v>
                </c:pt>
                <c:pt idx="929">
                  <c:v>680.78186349571422</c:v>
                </c:pt>
                <c:pt idx="930">
                  <c:v>666.95188642508435</c:v>
                </c:pt>
                <c:pt idx="931">
                  <c:v>653.11611790707082</c:v>
                </c:pt>
                <c:pt idx="932">
                  <c:v>639.27476224888517</c:v>
                </c:pt>
                <c:pt idx="933">
                  <c:v>625.42802150251566</c:v>
                </c:pt>
                <c:pt idx="934">
                  <c:v>611.57609547958759</c:v>
                </c:pt>
                <c:pt idx="935">
                  <c:v>597.71918176630891</c:v>
                </c:pt>
                <c:pt idx="936">
                  <c:v>583.85747573849665</c:v>
                </c:pt>
                <c:pt idx="937">
                  <c:v>569.99117057667877</c:v>
                </c:pt>
                <c:pt idx="938">
                  <c:v>556.12045728126668</c:v>
                </c:pt>
                <c:pt idx="939">
                  <c:v>542.24552468779314</c:v>
                </c:pt>
                <c:pt idx="940">
                  <c:v>528.36655948221164</c:v>
                </c:pt>
                <c:pt idx="941">
                  <c:v>514.48374621625203</c:v>
                </c:pt>
                <c:pt idx="942">
                  <c:v>500.59726732282786</c:v>
                </c:pt>
                <c:pt idx="943">
                  <c:v>486.70730313149136</c:v>
                </c:pt>
                <c:pt idx="944">
                  <c:v>472.81403188393119</c:v>
                </c:pt>
                <c:pt idx="945">
                  <c:v>458.91762974950922</c:v>
                </c:pt>
                <c:pt idx="946">
                  <c:v>445.01827084083158</c:v>
                </c:pt>
                <c:pt idx="947">
                  <c:v>431.1161272293503</c:v>
                </c:pt>
                <c:pt idx="948">
                  <c:v>417.21136896099148</c:v>
                </c:pt>
                <c:pt idx="949">
                  <c:v>403.30416407180576</c:v>
                </c:pt>
                <c:pt idx="950">
                  <c:v>389.39467860363777</c:v>
                </c:pt>
                <c:pt idx="951">
                  <c:v>375.48307661981005</c:v>
                </c:pt>
                <c:pt idx="952">
                  <c:v>361.56952022081867</c:v>
                </c:pt>
                <c:pt idx="953">
                  <c:v>347.654169560036</c:v>
                </c:pt>
                <c:pt idx="954">
                  <c:v>333.73718285941811</c:v>
                </c:pt>
                <c:pt idx="955">
                  <c:v>319.81871642521241</c:v>
                </c:pt>
                <c:pt idx="956">
                  <c:v>305.89892466366302</c:v>
                </c:pt>
                <c:pt idx="957">
                  <c:v>291.97796009670986</c:v>
                </c:pt>
                <c:pt idx="958">
                  <c:v>278.05597337767887</c:v>
                </c:pt>
                <c:pt idx="959">
                  <c:v>264.1331133069599</c:v>
                </c:pt>
                <c:pt idx="960">
                  <c:v>250.20952684766939</c:v>
                </c:pt>
                <c:pt idx="961">
                  <c:v>236.28535914129475</c:v>
                </c:pt>
                <c:pt idx="962">
                  <c:v>222.36075352331758</c:v>
                </c:pt>
                <c:pt idx="963">
                  <c:v>208.43585153881315</c:v>
                </c:pt>
                <c:pt idx="964">
                  <c:v>194.51079295802305</c:v>
                </c:pt>
                <c:pt idx="965">
                  <c:v>180.58571579189848</c:v>
                </c:pt>
                <c:pt idx="966">
                  <c:v>166.66075630761179</c:v>
                </c:pt>
                <c:pt idx="967">
                  <c:v>152.73604904403339</c:v>
                </c:pt>
                <c:pt idx="968">
                  <c:v>138.81172682717178</c:v>
                </c:pt>
                <c:pt idx="969">
                  <c:v>124.88792078557437</c:v>
                </c:pt>
                <c:pt idx="970">
                  <c:v>110.96476036568657</c:v>
                </c:pt>
                <c:pt idx="971">
                  <c:v>97.042373347167114</c:v>
                </c:pt>
                <c:pt idx="972">
                  <c:v>83.12088585815718</c:v>
                </c:pt>
                <c:pt idx="973">
                  <c:v>69.200422390501473</c:v>
                </c:pt>
                <c:pt idx="974">
                  <c:v>55.281105814918973</c:v>
                </c:pt>
                <c:pt idx="975">
                  <c:v>41.363057396121462</c:v>
                </c:pt>
                <c:pt idx="976">
                  <c:v>27.446396807877889</c:v>
                </c:pt>
                <c:pt idx="977">
                  <c:v>13.531242148022644</c:v>
                </c:pt>
                <c:pt idx="978">
                  <c:v>-0.38229004659402044</c:v>
                </c:pt>
                <c:pt idx="979">
                  <c:v>-0.39620273771871234</c:v>
                </c:pt>
                <c:pt idx="980">
                  <c:v>-0.41011542704878123</c:v>
                </c:pt>
                <c:pt idx="981">
                  <c:v>-0.42402811458411444</c:v>
                </c:pt>
                <c:pt idx="982">
                  <c:v>-0.43794080032459931</c:v>
                </c:pt>
                <c:pt idx="983">
                  <c:v>-0.45185348427012323</c:v>
                </c:pt>
                <c:pt idx="984">
                  <c:v>-0.46576616642057356</c:v>
                </c:pt>
                <c:pt idx="985">
                  <c:v>-0.47967884677583766</c:v>
                </c:pt>
                <c:pt idx="986">
                  <c:v>-0.49359152533580292</c:v>
                </c:pt>
                <c:pt idx="987">
                  <c:v>-0.50750420210035674</c:v>
                </c:pt>
                <c:pt idx="988">
                  <c:v>-0.52141687706938644</c:v>
                </c:pt>
                <c:pt idx="989">
                  <c:v>-0.53532955024277928</c:v>
                </c:pt>
                <c:pt idx="990">
                  <c:v>-0.5492422216204228</c:v>
                </c:pt>
                <c:pt idx="991">
                  <c:v>-0.5631548912022043</c:v>
                </c:pt>
                <c:pt idx="992">
                  <c:v>-0.57706755898801121</c:v>
                </c:pt>
                <c:pt idx="993">
                  <c:v>-0.59098022497773084</c:v>
                </c:pt>
                <c:pt idx="994">
                  <c:v>-0.60489288917125061</c:v>
                </c:pt>
                <c:pt idx="995">
                  <c:v>-0.61880555156845785</c:v>
                </c:pt>
                <c:pt idx="996">
                  <c:v>-0.63271821216923996</c:v>
                </c:pt>
                <c:pt idx="997">
                  <c:v>-0.64663087097348437</c:v>
                </c:pt>
                <c:pt idx="998">
                  <c:v>-0.6605435279810784</c:v>
                </c:pt>
                <c:pt idx="999">
                  <c:v>-0.67445618319190948</c:v>
                </c:pt>
                <c:pt idx="1000">
                  <c:v>-0.6883688366058649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02-4CA2-BA56-E0E46E48A268}"/>
            </c:ext>
          </c:extLst>
        </c:ser>
        <c:ser>
          <c:idx val="4"/>
          <c:order val="3"/>
          <c:tx>
            <c:strRef>
              <c:f>Trajecto!$B$109</c:f>
              <c:strCache>
                <c:ptCount val="1"/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FF66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02-4CA2-BA56-E0E46E48A2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Trajecto!$B$140:$B$146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Trajecto!$C$138:$C$144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02-4CA2-BA56-E0E46E48A268}"/>
            </c:ext>
          </c:extLst>
        </c:ser>
        <c:ser>
          <c:idx val="5"/>
          <c:order val="4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Calculs!$J$4:$J$1004</c:f>
              <c:numCache>
                <c:formatCode>0.00</c:formatCode>
                <c:ptCount val="1001"/>
                <c:pt idx="0">
                  <c:v>0</c:v>
                </c:pt>
                <c:pt idx="1">
                  <c:v>6.9592588447546909E-5</c:v>
                </c:pt>
                <c:pt idx="2">
                  <c:v>4.0215545034946119E-4</c:v>
                </c:pt>
                <c:pt idx="3">
                  <c:v>1.172879364978986E-3</c:v>
                </c:pt>
                <c:pt idx="4">
                  <c:v>2.48462852950594E-3</c:v>
                </c:pt>
                <c:pt idx="5">
                  <c:v>4.4403812879911337E-3</c:v>
                </c:pt>
                <c:pt idx="6">
                  <c:v>7.1432469867924141E-3</c:v>
                </c:pt>
                <c:pt idx="7">
                  <c:v>1.0696482611053213E-2</c:v>
                </c:pt>
                <c:pt idx="8">
                  <c:v>1.520350920987577E-2</c:v>
                </c:pt>
                <c:pt idx="9">
                  <c:v>2.0767928117394252E-2</c:v>
                </c:pt>
                <c:pt idx="10">
                  <c:v>2.7493536976588039E-2</c:v>
                </c:pt>
                <c:pt idx="11">
                  <c:v>3.5454727107106954E-2</c:v>
                </c:pt>
                <c:pt idx="12">
                  <c:v>4.4666784179443614E-2</c:v>
                </c:pt>
                <c:pt idx="13">
                  <c:v>5.5115147665367327E-2</c:v>
                </c:pt>
                <c:pt idx="14">
                  <c:v>6.6784758758921925E-2</c:v>
                </c:pt>
                <c:pt idx="15">
                  <c:v>7.9660285857115168E-2</c:v>
                </c:pt>
                <c:pt idx="16">
                  <c:v>9.3726350724150087E-2</c:v>
                </c:pt>
                <c:pt idx="17">
                  <c:v>0.10896752933945941</c:v>
                </c:pt>
                <c:pt idx="18">
                  <c:v>0.12536835274620342</c:v>
                </c:pt>
                <c:pt idx="19">
                  <c:v>0.14291330790003251</c:v>
                </c:pt>
                <c:pt idx="20">
                  <c:v>0.16158683851791722</c:v>
                </c:pt>
                <c:pt idx="21">
                  <c:v>0.18137334592684917</c:v>
                </c:pt>
                <c:pt idx="22">
                  <c:v>0.20225718991221789</c:v>
                </c:pt>
                <c:pt idx="23">
                  <c:v>0.22422268956566926</c:v>
                </c:pt>
                <c:pt idx="24">
                  <c:v>0.24725412413225328</c:v>
                </c:pt>
                <c:pt idx="25">
                  <c:v>0.27133573385666948</c:v>
                </c:pt>
                <c:pt idx="26">
                  <c:v>0.29645172082842031</c:v>
                </c:pt>
                <c:pt idx="27">
                  <c:v>0.32259024264908276</c:v>
                </c:pt>
                <c:pt idx="28">
                  <c:v>0.34974741509684504</c:v>
                </c:pt>
                <c:pt idx="29">
                  <c:v>0.37796594717522364</c:v>
                </c:pt>
                <c:pt idx="30">
                  <c:v>0.40729014882851039</c:v>
                </c:pt>
                <c:pt idx="31">
                  <c:v>0.4377232935016816</c:v>
                </c:pt>
                <c:pt idx="32">
                  <c:v>0.46926857357445217</c:v>
                </c:pt>
                <c:pt idx="33">
                  <c:v>0.50192907823296296</c:v>
                </c:pt>
                <c:pt idx="34">
                  <c:v>0.53570779902684318</c:v>
                </c:pt>
                <c:pt idx="35">
                  <c:v>0.57060763492669575</c:v>
                </c:pt>
                <c:pt idx="36">
                  <c:v>0.60663139694023893</c:v>
                </c:pt>
                <c:pt idx="37">
                  <c:v>0.64378181233707399</c:v>
                </c:pt>
                <c:pt idx="38">
                  <c:v>0.68206152852515933</c:v>
                </c:pt>
                <c:pt idx="39">
                  <c:v>0.72147311661629165</c:v>
                </c:pt>
                <c:pt idx="40">
                  <c:v>0.76201907471302455</c:v>
                </c:pt>
                <c:pt idx="41">
                  <c:v>0.80370183094532943</c:v>
                </c:pt>
                <c:pt idx="42">
                  <c:v>0.84652374628179472</c:v>
                </c:pt>
                <c:pt idx="43">
                  <c:v>0.89048711713715833</c:v>
                </c:pt>
                <c:pt idx="44">
                  <c:v>0.935594177795398</c:v>
                </c:pt>
                <c:pt idx="45">
                  <c:v>0.98184710266538588</c:v>
                </c:pt>
                <c:pt idx="46">
                  <c:v>1.0292480083841988</c:v>
                </c:pt>
                <c:pt idx="47">
                  <c:v>1.0777989557815135</c:v>
                </c:pt>
                <c:pt idx="48">
                  <c:v>1.1275019517170699</c:v>
                </c:pt>
                <c:pt idx="49">
                  <c:v>1.1783589508019219</c:v>
                </c:pt>
                <c:pt idx="50">
                  <c:v>1.2303718570130888</c:v>
                </c:pt>
                <c:pt idx="51">
                  <c:v>1.2835425252102501</c:v>
                </c:pt>
                <c:pt idx="52">
                  <c:v>1.3378727625622671</c:v>
                </c:pt>
                <c:pt idx="53">
                  <c:v>1.3933643298905627</c:v>
                </c:pt>
                <c:pt idx="54">
                  <c:v>1.4500189429357204</c:v>
                </c:pt>
                <c:pt idx="55">
                  <c:v>1.5078382735530662</c:v>
                </c:pt>
                <c:pt idx="56">
                  <c:v>1.5668239508424726</c:v>
                </c:pt>
                <c:pt idx="57">
                  <c:v>1.6269775622171505</c:v>
                </c:pt>
                <c:pt idx="58">
                  <c:v>1.6883006544157739</c:v>
                </c:pt>
                <c:pt idx="59">
                  <c:v>1.7507947344619046</c:v>
                </c:pt>
                <c:pt idx="60">
                  <c:v>1.8144612705743457</c:v>
                </c:pt>
                <c:pt idx="61">
                  <c:v>1.8793016930317497</c:v>
                </c:pt>
                <c:pt idx="62">
                  <c:v>1.9453173949945302</c:v>
                </c:pt>
                <c:pt idx="63">
                  <c:v>2.0125097332868811</c:v>
                </c:pt>
                <c:pt idx="64">
                  <c:v>2.0808800291414813</c:v>
                </c:pt>
                <c:pt idx="65">
                  <c:v>2.1504295689092645</c:v>
                </c:pt>
                <c:pt idx="66">
                  <c:v>2.2211596047364424</c:v>
                </c:pt>
                <c:pt idx="67">
                  <c:v>2.2930713552108126</c:v>
                </c:pt>
                <c:pt idx="68">
                  <c:v>2.3661660059792204</c:v>
                </c:pt>
                <c:pt idx="69">
                  <c:v>2.4404447103379141</c:v>
                </c:pt>
                <c:pt idx="70">
                  <c:v>2.5159085897974016</c:v>
                </c:pt>
                <c:pt idx="71">
                  <c:v>2.5925587346233026</c:v>
                </c:pt>
                <c:pt idx="72">
                  <c:v>2.6703961545319097</c:v>
                </c:pt>
                <c:pt idx="73">
                  <c:v>2.7494217290962908</c:v>
                </c:pt>
                <c:pt idx="74">
                  <c:v>2.8296362576969791</c:v>
                </c:pt>
                <c:pt idx="75">
                  <c:v>2.9110405097301584</c:v>
                </c:pt>
                <c:pt idx="76">
                  <c:v>2.9936352250639677</c:v>
                </c:pt>
                <c:pt idx="77">
                  <c:v>3.0774211144773687</c:v>
                </c:pt>
                <c:pt idx="78">
                  <c:v>3.1623988600825217</c:v>
                </c:pt>
                <c:pt idx="79">
                  <c:v>3.2485691157315499</c:v>
                </c:pt>
                <c:pt idx="80">
                  <c:v>3.3359325074085171</c:v>
                </c:pt>
                <c:pt idx="81">
                  <c:v>3.424489633607394</c:v>
                </c:pt>
                <c:pt idx="82">
                  <c:v>3.5142410656967424</c:v>
                </c:pt>
                <c:pt idx="83">
                  <c:v>3.6051873482717895</c:v>
                </c:pt>
                <c:pt idx="84">
                  <c:v>3.6973289994945433</c:v>
                </c:pt>
                <c:pt idx="85">
                  <c:v>3.7906665114225402</c:v>
                </c:pt>
                <c:pt idx="86">
                  <c:v>3.8852003503267976</c:v>
                </c:pt>
                <c:pt idx="87">
                  <c:v>3.9809309569995008</c:v>
                </c:pt>
                <c:pt idx="88">
                  <c:v>4.0778587470519261</c:v>
                </c:pt>
                <c:pt idx="89">
                  <c:v>4.175984111203074</c:v>
                </c:pt>
                <c:pt idx="90">
                  <c:v>4.2753074155594586</c:v>
                </c:pt>
                <c:pt idx="91">
                  <c:v>4.3758290018864727</c:v>
                </c:pt>
                <c:pt idx="92">
                  <c:v>4.4775491878717277</c:v>
                </c:pt>
                <c:pt idx="93">
                  <c:v>4.580468267380744</c:v>
                </c:pt>
                <c:pt idx="94">
                  <c:v>4.6845865107053486</c:v>
                </c:pt>
                <c:pt idx="95">
                  <c:v>4.7899041648051126</c:v>
                </c:pt>
                <c:pt idx="96">
                  <c:v>4.8964214535421533</c:v>
                </c:pt>
                <c:pt idx="97">
                  <c:v>5.0041385779095942</c:v>
                </c:pt>
                <c:pt idx="98">
                  <c:v>5.113055716253978</c:v>
                </c:pt>
                <c:pt idx="99">
                  <c:v>5.2231730244918975</c:v>
                </c:pt>
                <c:pt idx="100">
                  <c:v>5.3344906363211049</c:v>
                </c:pt>
                <c:pt idx="101">
                  <c:v>5.4470086634263417</c:v>
                </c:pt>
                <c:pt idx="102">
                  <c:v>5.5607271956801236</c:v>
                </c:pt>
                <c:pt idx="103">
                  <c:v>5.6756463013386975</c:v>
                </c:pt>
                <c:pt idx="104">
                  <c:v>5.7917660272333862</c:v>
                </c:pt>
                <c:pt idx="105">
                  <c:v>5.9090863989575135</c:v>
                </c:pt>
                <c:pt idx="106">
                  <c:v>6.0276074210491046</c:v>
                </c:pt>
                <c:pt idx="107">
                  <c:v>6.1473290771695392</c:v>
                </c:pt>
                <c:pt idx="108">
                  <c:v>6.2682513302783303</c:v>
                </c:pt>
                <c:pt idx="109">
                  <c:v>6.3903741228041948</c:v>
                </c:pt>
                <c:pt idx="110">
                  <c:v>6.5136973768125692</c:v>
                </c:pt>
                <c:pt idx="111">
                  <c:v>6.6382209941697186</c:v>
                </c:pt>
                <c:pt idx="112">
                  <c:v>6.7639448567035885</c:v>
                </c:pt>
                <c:pt idx="113">
                  <c:v>6.8908688263615234</c:v>
                </c:pt>
                <c:pt idx="114">
                  <c:v>7.0189927453649918</c:v>
                </c:pt>
                <c:pt idx="115">
                  <c:v>7.148316436361438</c:v>
                </c:pt>
                <c:pt idx="116">
                  <c:v>7.2788397025733733</c:v>
                </c:pt>
                <c:pt idx="117">
                  <c:v>7.4105623279448301</c:v>
                </c:pt>
                <c:pt idx="118">
                  <c:v>7.543484077285278</c:v>
                </c:pt>
                <c:pt idx="119">
                  <c:v>7.6776046964111089</c:v>
                </c:pt>
                <c:pt idx="120">
                  <c:v>7.8129239122847869</c:v>
                </c:pt>
                <c:pt idx="121">
                  <c:v>7.9494414331517635</c:v>
                </c:pt>
                <c:pt idx="122">
                  <c:v>8.0871569486752399</c:v>
                </c:pt>
                <c:pt idx="123">
                  <c:v>8.2260701300688712</c:v>
                </c:pt>
                <c:pt idx="124">
                  <c:v>8.3661806302274897</c:v>
                </c:pt>
                <c:pt idx="125">
                  <c:v>8.5074880838559253</c:v>
                </c:pt>
                <c:pt idx="126">
                  <c:v>8.6499921075960096</c:v>
                </c:pt>
                <c:pt idx="127">
                  <c:v>8.7936923001518181</c:v>
                </c:pt>
                <c:pt idx="128">
                  <c:v>8.9385882424132426</c:v>
                </c:pt>
                <c:pt idx="129">
                  <c:v>9.0846792530837046</c:v>
                </c:pt>
                <c:pt idx="130">
                  <c:v>9.2319641435110977</c:v>
                </c:pt>
                <c:pt idx="131">
                  <c:v>9.380441461367548</c:v>
                </c:pt>
                <c:pt idx="132">
                  <c:v>9.5301097351468904</c:v>
                </c:pt>
                <c:pt idx="133">
                  <c:v>9.680967474328412</c:v>
                </c:pt>
                <c:pt idx="134">
                  <c:v>9.8330131695388623</c:v>
                </c:pt>
                <c:pt idx="135">
                  <c:v>9.9862452927127787</c:v>
                </c:pt>
                <c:pt idx="136">
                  <c:v>10.140662297251204</c:v>
                </c:pt>
                <c:pt idx="137">
                  <c:v>10.296262618178851</c:v>
                </c:pt>
                <c:pt idx="138">
                  <c:v>10.453044672299761</c:v>
                </c:pt>
                <c:pt idx="139">
                  <c:v>10.611006858351525</c:v>
                </c:pt>
                <c:pt idx="140">
                  <c:v>10.770147557158101</c:v>
                </c:pt>
                <c:pt idx="141">
                  <c:v>10.930465131781297</c:v>
                </c:pt>
                <c:pt idx="142">
                  <c:v>11.091957927670951</c:v>
                </c:pt>
                <c:pt idx="143">
                  <c:v>11.254624272813855</c:v>
                </c:pt>
                <c:pt idx="144">
                  <c:v>11.41846247788148</c:v>
                </c:pt>
                <c:pt idx="145">
                  <c:v>11.58347083637652</c:v>
                </c:pt>
                <c:pt idx="146">
                  <c:v>11.749647624778321</c:v>
                </c:pt>
                <c:pt idx="147">
                  <c:v>11.916991102687208</c:v>
                </c:pt>
                <c:pt idx="148">
                  <c:v>12.085499512967761</c:v>
                </c:pt>
                <c:pt idx="149">
                  <c:v>12.25517108189108</c:v>
                </c:pt>
                <c:pt idx="150">
                  <c:v>12.426004019276046</c:v>
                </c:pt>
                <c:pt idx="151">
                  <c:v>12.59799651862965</c:v>
                </c:pt>
                <c:pt idx="152">
                  <c:v>12.771146757286374</c:v>
                </c:pt>
                <c:pt idx="153">
                  <c:v>12.945452896546692</c:v>
                </c:pt>
                <c:pt idx="154">
                  <c:v>13.120913081814706</c:v>
                </c:pt>
                <c:pt idx="155">
                  <c:v>13.297525442734928</c:v>
                </c:pt>
                <c:pt idx="156">
                  <c:v>13.47528809332826</c:v>
                </c:pt>
                <c:pt idx="157">
                  <c:v>13.654199132127173</c:v>
                </c:pt>
                <c:pt idx="158">
                  <c:v>13.834256642310132</c:v>
                </c:pt>
                <c:pt idx="159">
                  <c:v>14.015458691835258</c:v>
                </c:pt>
                <c:pt idx="160">
                  <c:v>14.197803333573288</c:v>
                </c:pt>
                <c:pt idx="161">
                  <c:v>14.38128860543981</c:v>
                </c:pt>
                <c:pt idx="162">
                  <c:v>14.565912530526832</c:v>
                </c:pt>
                <c:pt idx="163">
                  <c:v>14.751673117233675</c:v>
                </c:pt>
                <c:pt idx="164">
                  <c:v>14.938568359397225</c:v>
                </c:pt>
                <c:pt idx="165">
                  <c:v>15.12659623642155</c:v>
                </c:pt>
                <c:pt idx="166">
                  <c:v>15.315754713406909</c:v>
                </c:pt>
                <c:pt idx="167">
                  <c:v>15.506041741278155</c:v>
                </c:pt>
                <c:pt idx="168">
                  <c:v>15.69745525691256</c:v>
                </c:pt>
                <c:pt idx="169">
                  <c:v>15.889993183267071</c:v>
                </c:pt>
                <c:pt idx="170">
                  <c:v>16.083653429505006</c:v>
                </c:pt>
                <c:pt idx="171">
                  <c:v>16.278433891122202</c:v>
                </c:pt>
                <c:pt idx="172">
                  <c:v>16.474332450072644</c:v>
                </c:pt>
                <c:pt idx="173">
                  <c:v>16.671346974893574</c:v>
                </c:pt>
                <c:pt idx="174">
                  <c:v>16.86947532083007</c:v>
                </c:pt>
                <c:pt idx="175">
                  <c:v>17.068715329959151</c:v>
                </c:pt>
                <c:pt idx="176">
                  <c:v>17.269064831313393</c:v>
                </c:pt>
                <c:pt idx="177">
                  <c:v>17.470521641004044</c:v>
                </c:pt>
                <c:pt idx="178">
                  <c:v>17.673083562343688</c:v>
                </c:pt>
                <c:pt idx="179">
                  <c:v>17.876748385968448</c:v>
                </c:pt>
                <c:pt idx="180">
                  <c:v>18.081513889959727</c:v>
                </c:pt>
                <c:pt idx="181">
                  <c:v>18.287377839965512</c:v>
                </c:pt>
                <c:pt idx="182">
                  <c:v>18.494337989321224</c:v>
                </c:pt>
                <c:pt idx="183">
                  <c:v>18.70239207917016</c:v>
                </c:pt>
                <c:pt idx="184">
                  <c:v>18.911537838583495</c:v>
                </c:pt>
                <c:pt idx="185">
                  <c:v>19.121772984679858</c:v>
                </c:pt>
                <c:pt idx="186">
                  <c:v>19.333095222744515</c:v>
                </c:pt>
                <c:pt idx="187">
                  <c:v>19.545502246348125</c:v>
                </c:pt>
                <c:pt idx="188">
                  <c:v>19.758991737465106</c:v>
                </c:pt>
                <c:pt idx="189">
                  <c:v>19.973561366591593</c:v>
                </c:pt>
                <c:pt idx="190">
                  <c:v>20.18920879286301</c:v>
                </c:pt>
                <c:pt idx="191">
                  <c:v>20.405931664171241</c:v>
                </c:pt>
                <c:pt idx="192">
                  <c:v>20.623727617281432</c:v>
                </c:pt>
                <c:pt idx="193">
                  <c:v>20.84259427794839</c:v>
                </c:pt>
                <c:pt idx="194">
                  <c:v>21.062529261032623</c:v>
                </c:pt>
                <c:pt idx="195">
                  <c:v>21.283530170615986</c:v>
                </c:pt>
                <c:pt idx="196">
                  <c:v>21.505594600116972</c:v>
                </c:pt>
                <c:pt idx="197">
                  <c:v>21.728720132405602</c:v>
                </c:pt>
                <c:pt idx="198">
                  <c:v>21.952904339917989</c:v>
                </c:pt>
                <c:pt idx="199">
                  <c:v>22.178144784770492</c:v>
                </c:pt>
                <c:pt idx="200">
                  <c:v>22.404439018873539</c:v>
                </c:pt>
                <c:pt idx="201">
                  <c:v>22.631784584045068</c:v>
                </c:pt>
                <c:pt idx="202">
                  <c:v>22.860179012123609</c:v>
                </c:pt>
                <c:pt idx="203">
                  <c:v>23.089619825081016</c:v>
                </c:pt>
                <c:pt idx="204">
                  <c:v>23.320104535134824</c:v>
                </c:pt>
                <c:pt idx="205">
                  <c:v>23.551630644860264</c:v>
                </c:pt>
                <c:pt idx="206">
                  <c:v>23.784195584116681</c:v>
                </c:pt>
                <c:pt idx="207">
                  <c:v>24.017796646870739</c:v>
                </c:pt>
                <c:pt idx="208">
                  <c:v>24.252431054422377</c:v>
                </c:pt>
                <c:pt idx="209">
                  <c:v>24.488096018737899</c:v>
                </c:pt>
                <c:pt idx="210">
                  <c:v>24.724788742569402</c:v>
                </c:pt>
                <c:pt idx="211">
                  <c:v>24.962506419573788</c:v>
                </c:pt>
                <c:pt idx="212">
                  <c:v>25.201246234431348</c:v>
                </c:pt>
                <c:pt idx="213">
                  <c:v>25.441005362963917</c:v>
                </c:pt>
                <c:pt idx="214">
                  <c:v>25.681780972252614</c:v>
                </c:pt>
                <c:pt idx="215">
                  <c:v>25.923570220755156</c:v>
                </c:pt>
                <c:pt idx="216">
                  <c:v>26.166370258422738</c:v>
                </c:pt>
                <c:pt idx="217">
                  <c:v>26.410178226816502</c:v>
                </c:pt>
                <c:pt idx="218">
                  <c:v>26.654991259223564</c:v>
                </c:pt>
                <c:pt idx="219">
                  <c:v>26.90080648077263</c:v>
                </c:pt>
                <c:pt idx="220">
                  <c:v>27.147621008549173</c:v>
                </c:pt>
                <c:pt idx="221">
                  <c:v>27.395431951710176</c:v>
                </c:pt>
                <c:pt idx="222">
                  <c:v>27.644236411598456</c:v>
                </c:pt>
                <c:pt idx="223">
                  <c:v>27.894031481856558</c:v>
                </c:pt>
                <c:pt idx="224">
                  <c:v>28.144814248540204</c:v>
                </c:pt>
                <c:pt idx="225">
                  <c:v>28.396581790231306</c:v>
                </c:pt>
                <c:pt idx="226">
                  <c:v>28.649331178150565</c:v>
                </c:pt>
                <c:pt idx="227">
                  <c:v>28.903059476269611</c:v>
                </c:pt>
                <c:pt idx="228">
                  <c:v>29.157763741422716</c:v>
                </c:pt>
                <c:pt idx="229">
                  <c:v>29.413441023418052</c:v>
                </c:pt>
                <c:pt idx="230">
                  <c:v>29.67008836514853</c:v>
                </c:pt>
                <c:pt idx="231">
                  <c:v>29.927702802702171</c:v>
                </c:pt>
                <c:pt idx="232">
                  <c:v>30.186281365472063</c:v>
                </c:pt>
                <c:pt idx="233">
                  <c:v>30.445821076265826</c:v>
                </c:pt>
                <c:pt idx="234">
                  <c:v>30.706318951414669</c:v>
                </c:pt>
                <c:pt idx="235">
                  <c:v>30.967772000881983</c:v>
                </c:pt>
                <c:pt idx="236">
                  <c:v>31.230177228371463</c:v>
                </c:pt>
                <c:pt idx="237">
                  <c:v>31.493531631434813</c:v>
                </c:pt>
                <c:pt idx="238">
                  <c:v>31.75783220157895</c:v>
                </c:pt>
                <c:pt idx="239">
                  <c:v>32.02307592437279</c:v>
                </c:pt>
                <c:pt idx="240">
                  <c:v>32.289259779553554</c:v>
                </c:pt>
                <c:pt idx="241">
                  <c:v>32.5563807411326</c:v>
                </c:pt>
                <c:pt idx="242">
                  <c:v>32.824435553993276</c:v>
                </c:pt>
                <c:pt idx="243">
                  <c:v>33.093420510255243</c:v>
                </c:pt>
                <c:pt idx="244">
                  <c:v>33.363331672865371</c:v>
                </c:pt>
                <c:pt idx="245">
                  <c:v>33.634165099435975</c:v>
                </c:pt>
                <c:pt idx="246">
                  <c:v>33.905916842377763</c:v>
                </c:pt>
                <c:pt idx="247">
                  <c:v>34.17858294903202</c:v>
                </c:pt>
                <c:pt idx="248">
                  <c:v>34.452159461802019</c:v>
                </c:pt>
                <c:pt idx="249">
                  <c:v>34.726642418283717</c:v>
                </c:pt>
                <c:pt idx="250">
                  <c:v>35.002027851395674</c:v>
                </c:pt>
                <c:pt idx="251">
                  <c:v>35.278311789508209</c:v>
                </c:pt>
                <c:pt idx="252">
                  <c:v>35.555490256571801</c:v>
                </c:pt>
                <c:pt idx="253">
                  <c:v>35.833559272244749</c:v>
                </c:pt>
                <c:pt idx="254">
                  <c:v>36.112514852020006</c:v>
                </c:pt>
                <c:pt idx="255">
                  <c:v>36.392353007351311</c:v>
                </c:pt>
                <c:pt idx="256">
                  <c:v>36.673069745778527</c:v>
                </c:pt>
                <c:pt idx="257">
                  <c:v>36.954661071052179</c:v>
                </c:pt>
                <c:pt idx="258">
                  <c:v>37.237122983257258</c:v>
                </c:pt>
                <c:pt idx="259">
                  <c:v>37.520451478936238</c:v>
                </c:pt>
                <c:pt idx="260">
                  <c:v>37.804642551211295</c:v>
                </c:pt>
                <c:pt idx="261">
                  <c:v>38.089692189905762</c:v>
                </c:pt>
                <c:pt idx="262">
                  <c:v>38.375596381664799</c:v>
                </c:pt>
                <c:pt idx="263">
                  <c:v>38.662351110075278</c:v>
                </c:pt>
                <c:pt idx="264">
                  <c:v>38.94995235578488</c:v>
                </c:pt>
                <c:pt idx="265">
                  <c:v>39.238396096620406</c:v>
                </c:pt>
                <c:pt idx="266">
                  <c:v>39.527678307705294</c:v>
                </c:pt>
                <c:pt idx="267">
                  <c:v>39.817794961576332</c:v>
                </c:pt>
                <c:pt idx="268">
                  <c:v>40.108742028299623</c:v>
                </c:pt>
                <c:pt idx="269">
                  <c:v>40.400515475585692</c:v>
                </c:pt>
                <c:pt idx="270">
                  <c:v>40.693111268903834</c:v>
                </c:pt>
                <c:pt idx="271">
                  <c:v>40.986525371595668</c:v>
                </c:pt>
                <c:pt idx="272">
                  <c:v>41.280753744987869</c:v>
                </c:pt>
                <c:pt idx="273">
                  <c:v>41.575792348504102</c:v>
                </c:pt>
                <c:pt idx="274">
                  <c:v>41.871637139776169</c:v>
                </c:pt>
                <c:pt idx="275">
                  <c:v>42.168284074754339</c:v>
                </c:pt>
                <c:pt idx="276">
                  <c:v>42.465729107816877</c:v>
                </c:pt>
                <c:pt idx="277">
                  <c:v>42.76396819187876</c:v>
                </c:pt>
                <c:pt idx="278">
                  <c:v>43.062997278499587</c:v>
                </c:pt>
                <c:pt idx="279">
                  <c:v>43.362812317990695</c:v>
                </c:pt>
                <c:pt idx="280">
                  <c:v>43.663409259521437</c:v>
                </c:pt>
                <c:pt idx="281">
                  <c:v>43.964784051224676</c:v>
                </c:pt>
                <c:pt idx="282">
                  <c:v>44.266932640301455</c:v>
                </c:pt>
                <c:pt idx="283">
                  <c:v>44.569850973124836</c:v>
                </c:pt>
                <c:pt idx="284">
                  <c:v>44.87353526424522</c:v>
                </c:pt>
                <c:pt idx="285">
                  <c:v>45.177982265501512</c:v>
                </c:pt>
                <c:pt idx="286">
                  <c:v>45.483188996947497</c:v>
                </c:pt>
                <c:pt idx="287">
                  <c:v>45.789152477656756</c:v>
                </c:pt>
                <c:pt idx="288">
                  <c:v>46.095869725794813</c:v>
                </c:pt>
                <c:pt idx="289">
                  <c:v>46.403337758690789</c:v>
                </c:pt>
                <c:pt idx="290">
                  <c:v>46.711553592908544</c:v>
                </c:pt>
                <c:pt idx="291">
                  <c:v>47.020514244317354</c:v>
                </c:pt>
                <c:pt idx="292">
                  <c:v>47.330216728162085</c:v>
                </c:pt>
                <c:pt idx="293">
                  <c:v>47.640658059132882</c:v>
                </c:pt>
                <c:pt idx="294">
                  <c:v>47.951835251434353</c:v>
                </c:pt>
                <c:pt idx="295">
                  <c:v>48.263745318854291</c:v>
                </c:pt>
                <c:pt idx="296">
                  <c:v>48.576385274831857</c:v>
                </c:pt>
                <c:pt idx="297">
                  <c:v>48.889752132525317</c:v>
                </c:pt>
                <c:pt idx="298">
                  <c:v>49.203842904879252</c:v>
                </c:pt>
                <c:pt idx="299">
                  <c:v>49.518654604691299</c:v>
                </c:pt>
                <c:pt idx="300">
                  <c:v>49.834184244678383</c:v>
                </c:pt>
                <c:pt idx="301">
                  <c:v>50.150428837542442</c:v>
                </c:pt>
                <c:pt idx="302">
                  <c:v>50.467385396035695</c:v>
                </c:pt>
                <c:pt idx="303">
                  <c:v>50.785050933025381</c:v>
                </c:pt>
                <c:pt idx="304">
                  <c:v>51.103422461558011</c:v>
                </c:pt>
                <c:pt idx="305">
                  <c:v>51.422496994923151</c:v>
                </c:pt>
                <c:pt idx="306">
                  <c:v>51.742271546716673</c:v>
                </c:pt>
                <c:pt idx="307">
                  <c:v>52.06274313090352</c:v>
                </c:pt>
                <c:pt idx="308">
                  <c:v>52.383908761879994</c:v>
                </c:pt>
                <c:pt idx="309">
                  <c:v>52.705765454535538</c:v>
                </c:pt>
                <c:pt idx="310">
                  <c:v>53.028310224314026</c:v>
                </c:pt>
                <c:pt idx="311">
                  <c:v>53.351540087274536</c:v>
                </c:pt>
                <c:pt idx="312">
                  <c:v>53.675452060151663</c:v>
                </c:pt>
                <c:pt idx="313">
                  <c:v>54.000043160415323</c:v>
                </c:pt>
                <c:pt idx="314">
                  <c:v>54.325310406330047</c:v>
                </c:pt>
                <c:pt idx="315">
                  <c:v>54.651250817013803</c:v>
                </c:pt>
                <c:pt idx="316">
                  <c:v>54.977861412496324</c:v>
                </c:pt>
                <c:pt idx="317">
                  <c:v>55.305139213776911</c:v>
                </c:pt>
                <c:pt idx="318">
                  <c:v>55.633081242881794</c:v>
                </c:pt>
                <c:pt idx="319">
                  <c:v>55.961684522920947</c:v>
                </c:pt>
                <c:pt idx="320">
                  <c:v>56.290946078144458</c:v>
                </c:pt>
                <c:pt idx="321">
                  <c:v>56.620862933998353</c:v>
                </c:pt>
                <c:pt idx="322">
                  <c:v>56.951432117179998</c:v>
                </c:pt>
                <c:pt idx="323">
                  <c:v>57.282650655692933</c:v>
                </c:pt>
                <c:pt idx="324">
                  <c:v>57.614515578901283</c:v>
                </c:pt>
                <c:pt idx="325">
                  <c:v>57.947023917583635</c:v>
                </c:pt>
                <c:pt idx="326">
                  <c:v>58.280172720881552</c:v>
                </c:pt>
                <c:pt idx="327">
                  <c:v>58.613959073246448</c:v>
                </c:pt>
                <c:pt idx="328">
                  <c:v>58.948380077565936</c:v>
                </c:pt>
                <c:pt idx="329">
                  <c:v>59.283432838290281</c:v>
                </c:pt>
                <c:pt idx="330">
                  <c:v>59.619114461482582</c:v>
                </c:pt>
                <c:pt idx="331">
                  <c:v>59.955422054868478</c:v>
                </c:pt>
                <c:pt idx="332">
                  <c:v>60.292352727885401</c:v>
                </c:pt>
                <c:pt idx="333">
                  <c:v>60.629903591731342</c:v>
                </c:pt>
                <c:pt idx="334">
                  <c:v>60.968071759413192</c:v>
                </c:pt>
                <c:pt idx="335">
                  <c:v>61.306854345794562</c:v>
                </c:pt>
                <c:pt idx="336">
                  <c:v>61.646248467643176</c:v>
                </c:pt>
                <c:pt idx="337">
                  <c:v>61.986251243677799</c:v>
                </c:pt>
                <c:pt idx="338">
                  <c:v>62.326859794614677</c:v>
                </c:pt>
                <c:pt idx="339">
                  <c:v>62.668071243213546</c:v>
                </c:pt>
                <c:pt idx="340">
                  <c:v>63.009882714323162</c:v>
                </c:pt>
                <c:pt idx="341">
                  <c:v>63.35229133492637</c:v>
                </c:pt>
                <c:pt idx="342">
                  <c:v>63.695294234184722</c:v>
                </c:pt>
                <c:pt idx="343">
                  <c:v>64.038888543482628</c:v>
                </c:pt>
                <c:pt idx="344">
                  <c:v>64.383071396471081</c:v>
                </c:pt>
                <c:pt idx="345">
                  <c:v>64.727839929110857</c:v>
                </c:pt>
                <c:pt idx="346">
                  <c:v>65.07319127971536</c:v>
                </c:pt>
                <c:pt idx="347">
                  <c:v>65.419122588992906</c:v>
                </c:pt>
                <c:pt idx="348">
                  <c:v>65.765631000088632</c:v>
                </c:pt>
                <c:pt idx="349">
                  <c:v>66.112713658625935</c:v>
                </c:pt>
                <c:pt idx="350">
                  <c:v>66.460367712747427</c:v>
                </c:pt>
                <c:pt idx="351">
                  <c:v>66.808590313155506</c:v>
                </c:pt>
                <c:pt idx="352">
                  <c:v>67.157378613152417</c:v>
                </c:pt>
                <c:pt idx="353">
                  <c:v>67.50672976867989</c:v>
                </c:pt>
                <c:pt idx="354">
                  <c:v>67.856640938358353</c:v>
                </c:pt>
                <c:pt idx="355">
                  <c:v>68.207109283525668</c:v>
                </c:pt>
                <c:pt idx="356">
                  <c:v>68.558131968275433</c:v>
                </c:pt>
                <c:pt idx="357">
                  <c:v>68.90970615949486</c:v>
                </c:pt>
                <c:pt idx="358">
                  <c:v>69.26182902690222</c:v>
                </c:pt>
                <c:pt idx="359">
                  <c:v>69.614497743083817</c:v>
                </c:pt>
                <c:pt idx="360">
                  <c:v>69.967709483530527</c:v>
                </c:pt>
                <c:pt idx="361">
                  <c:v>70.321461426673935</c:v>
                </c:pt>
                <c:pt idx="362">
                  <c:v>70.675750753922017</c:v>
                </c:pt>
                <c:pt idx="363">
                  <c:v>71.030574649694387</c:v>
                </c:pt>
                <c:pt idx="364">
                  <c:v>71.385930301457122</c:v>
                </c:pt>
                <c:pt idx="365">
                  <c:v>71.741814899757145</c:v>
                </c:pt>
                <c:pt idx="366">
                  <c:v>72.098226075289318</c:v>
                </c:pt>
                <c:pt idx="367">
                  <c:v>72.45516233576997</c:v>
                </c:pt>
                <c:pt idx="368">
                  <c:v>72.812622627854566</c:v>
                </c:pt>
                <c:pt idx="369">
                  <c:v>73.170605899237927</c:v>
                </c:pt>
                <c:pt idx="370">
                  <c:v>73.529111098666391</c:v>
                </c:pt>
                <c:pt idx="371">
                  <c:v>73.888137175949836</c:v>
                </c:pt>
                <c:pt idx="372">
                  <c:v>74.247683081973619</c:v>
                </c:pt>
                <c:pt idx="373">
                  <c:v>74.607747768710425</c:v>
                </c:pt>
                <c:pt idx="374">
                  <c:v>74.968330189231978</c:v>
                </c:pt>
                <c:pt idx="375">
                  <c:v>75.329429297720736</c:v>
                </c:pt>
                <c:pt idx="376">
                  <c:v>75.691044049481391</c:v>
                </c:pt>
                <c:pt idx="377">
                  <c:v>76.053173400952318</c:v>
                </c:pt>
                <c:pt idx="378">
                  <c:v>76.415816309716959</c:v>
                </c:pt>
                <c:pt idx="379">
                  <c:v>76.778971734515039</c:v>
                </c:pt>
                <c:pt idx="380">
                  <c:v>77.142638635253732</c:v>
                </c:pt>
                <c:pt idx="381">
                  <c:v>77.506815497845281</c:v>
                </c:pt>
                <c:pt idx="382">
                  <c:v>77.871499859292712</c:v>
                </c:pt>
                <c:pt idx="383">
                  <c:v>78.23668878412316</c:v>
                </c:pt>
                <c:pt idx="384">
                  <c:v>78.602379340583241</c:v>
                </c:pt>
                <c:pt idx="385">
                  <c:v>78.968568600670309</c:v>
                </c:pt>
                <c:pt idx="386">
                  <c:v>79.335253640163273</c:v>
                </c:pt>
                <c:pt idx="387">
                  <c:v>79.702431538652959</c:v>
                </c:pt>
                <c:pt idx="388">
                  <c:v>80.070099379572014</c:v>
                </c:pt>
                <c:pt idx="389">
                  <c:v>80.438254250224389</c:v>
                </c:pt>
                <c:pt idx="390">
                  <c:v>80.806893241814379</c:v>
                </c:pt>
                <c:pt idx="391">
                  <c:v>81.176013449475207</c:v>
                </c:pt>
                <c:pt idx="392">
                  <c:v>81.545611972297209</c:v>
                </c:pt>
                <c:pt idx="393">
                  <c:v>81.915685913355532</c:v>
                </c:pt>
                <c:pt idx="394">
                  <c:v>82.286232379737484</c:v>
                </c:pt>
                <c:pt idx="395">
                  <c:v>82.657248482569329</c:v>
                </c:pt>
                <c:pt idx="396">
                  <c:v>83.0287313370428</c:v>
                </c:pt>
                <c:pt idx="397">
                  <c:v>83.400678062441074</c:v>
                </c:pt>
                <c:pt idx="398">
                  <c:v>83.773085782164372</c:v>
                </c:pt>
                <c:pt idx="399">
                  <c:v>84.145951623755124</c:v>
                </c:pt>
                <c:pt idx="400">
                  <c:v>84.519272718922736</c:v>
                </c:pt>
                <c:pt idx="401">
                  <c:v>84.893045827007811</c:v>
                </c:pt>
                <c:pt idx="402">
                  <c:v>85.26726695870785</c:v>
                </c:pt>
                <c:pt idx="403">
                  <c:v>85.641931753764439</c:v>
                </c:pt>
                <c:pt idx="404">
                  <c:v>86.01703585839789</c:v>
                </c:pt>
                <c:pt idx="405">
                  <c:v>86.392574925349251</c:v>
                </c:pt>
                <c:pt idx="406">
                  <c:v>86.768544613921534</c:v>
                </c:pt>
                <c:pt idx="407">
                  <c:v>87.144940590020042</c:v>
                </c:pt>
                <c:pt idx="408">
                  <c:v>87.521758526191945</c:v>
                </c:pt>
                <c:pt idx="409">
                  <c:v>87.898994101664968</c:v>
                </c:pt>
                <c:pt idx="410">
                  <c:v>88.276643002385256</c:v>
                </c:pt>
                <c:pt idx="411">
                  <c:v>88.654698832990491</c:v>
                </c:pt>
                <c:pt idx="412">
                  <c:v>89.033151030493684</c:v>
                </c:pt>
                <c:pt idx="413">
                  <c:v>89.411986958960128</c:v>
                </c:pt>
                <c:pt idx="414">
                  <c:v>89.791194002572951</c:v>
                </c:pt>
                <c:pt idx="415">
                  <c:v>90.170759565866277</c:v>
                </c:pt>
                <c:pt idx="416">
                  <c:v>90.550671073952486</c:v>
                </c:pt>
                <c:pt idx="417">
                  <c:v>90.930915972743534</c:v>
                </c:pt>
                <c:pt idx="418">
                  <c:v>91.311481729166488</c:v>
                </c:pt>
                <c:pt idx="419">
                  <c:v>91.692355831373149</c:v>
                </c:pt>
                <c:pt idx="420">
                  <c:v>92.073524597531019</c:v>
                </c:pt>
                <c:pt idx="421">
                  <c:v>92.454971985879723</c:v>
                </c:pt>
                <c:pt idx="422">
                  <c:v>92.836680790567286</c:v>
                </c:pt>
                <c:pt idx="423">
                  <c:v>93.21863383629811</c:v>
                </c:pt>
                <c:pt idx="424">
                  <c:v>93.600813978688564</c:v>
                </c:pt>
                <c:pt idx="425">
                  <c:v>93.983204104612028</c:v>
                </c:pt>
                <c:pt idx="426">
                  <c:v>94.365787132533342</c:v>
                </c:pt>
                <c:pt idx="427">
                  <c:v>94.748546012832804</c:v>
                </c:pt>
                <c:pt idx="428">
                  <c:v>95.131463728119712</c:v>
                </c:pt>
                <c:pt idx="429">
                  <c:v>95.514523293535589</c:v>
                </c:pt>
                <c:pt idx="430">
                  <c:v>95.897707757047129</c:v>
                </c:pt>
                <c:pt idx="431">
                  <c:v>96.281000199728922</c:v>
                </c:pt>
                <c:pt idx="432">
                  <c:v>96.66438180882497</c:v>
                </c:pt>
                <c:pt idx="433">
                  <c:v>97.047829953626476</c:v>
                </c:pt>
                <c:pt idx="434">
                  <c:v>97.431320120968266</c:v>
                </c:pt>
                <c:pt idx="435">
                  <c:v>97.814827848065576</c:v>
                </c:pt>
                <c:pt idx="436">
                  <c:v>98.198328723094761</c:v>
                </c:pt>
                <c:pt idx="437">
                  <c:v>98.581798385752862</c:v>
                </c:pt>
                <c:pt idx="438">
                  <c:v>98.965212527796282</c:v>
                </c:pt>
                <c:pt idx="439">
                  <c:v>99.348546893558677</c:v>
                </c:pt>
                <c:pt idx="440">
                  <c:v>99.731777280448185</c:v>
                </c:pt>
                <c:pt idx="441">
                  <c:v>100.11487953942422</c:v>
                </c:pt>
                <c:pt idx="442">
                  <c:v>100.49783074939688</c:v>
                </c:pt>
                <c:pt idx="443">
                  <c:v>100.88061038938136</c:v>
                </c:pt>
                <c:pt idx="444">
                  <c:v>101.26319915934153</c:v>
                </c:pt>
                <c:pt idx="445">
                  <c:v>101.64557780314284</c:v>
                </c:pt>
                <c:pt idx="446">
                  <c:v>102.02772710874127</c:v>
                </c:pt>
                <c:pt idx="447">
                  <c:v>102.40962790835982</c:v>
                </c:pt>
                <c:pt idx="448">
                  <c:v>102.79126107865292</c:v>
                </c:pt>
                <c:pt idx="449">
                  <c:v>103.17260754085876</c:v>
                </c:pt>
                <c:pt idx="450">
                  <c:v>103.5536482609396</c:v>
                </c:pt>
                <c:pt idx="451">
                  <c:v>103.93436424971023</c:v>
                </c:pt>
                <c:pt idx="452">
                  <c:v>104.31473656295478</c:v>
                </c:pt>
                <c:pt idx="453">
                  <c:v>104.69474798780902</c:v>
                </c:pt>
                <c:pt idx="454">
                  <c:v>105.07438472539816</c:v>
                </c:pt>
                <c:pt idx="455">
                  <c:v>105.45363469584179</c:v>
                </c:pt>
                <c:pt idx="456">
                  <c:v>105.83248584691881</c:v>
                </c:pt>
                <c:pt idx="457">
                  <c:v>106.21092615400725</c:v>
                </c:pt>
                <c:pt idx="458">
                  <c:v>106.58894362001992</c:v>
                </c:pt>
                <c:pt idx="459">
                  <c:v>106.96652627533621</c:v>
                </c:pt>
                <c:pt idx="460">
                  <c:v>107.34366217772991</c:v>
                </c:pt>
                <c:pt idx="461">
                  <c:v>107.72034093320448</c:v>
                </c:pt>
                <c:pt idx="462">
                  <c:v>108.09655521328821</c:v>
                </c:pt>
                <c:pt idx="463">
                  <c:v>108.47229922592631</c:v>
                </c:pt>
                <c:pt idx="464">
                  <c:v>108.8475671899099</c:v>
                </c:pt>
                <c:pt idx="465">
                  <c:v>109.22235333479566</c:v>
                </c:pt>
                <c:pt idx="466">
                  <c:v>109.59665062132612</c:v>
                </c:pt>
                <c:pt idx="467">
                  <c:v>109.97044946485741</c:v>
                </c:pt>
                <c:pt idx="468">
                  <c:v>110.3437247647491</c:v>
                </c:pt>
                <c:pt idx="469">
                  <c:v>110.71644041757989</c:v>
                </c:pt>
                <c:pt idx="470">
                  <c:v>111.08858106096145</c:v>
                </c:pt>
                <c:pt idx="471">
                  <c:v>111.46014882563458</c:v>
                </c:pt>
                <c:pt idx="472">
                  <c:v>111.83114583058841</c:v>
                </c:pt>
                <c:pt idx="473">
                  <c:v>112.20157418314793</c:v>
                </c:pt>
                <c:pt idx="474">
                  <c:v>112.57143597906058</c:v>
                </c:pt>
                <c:pt idx="475">
                  <c:v>112.94073330258227</c:v>
                </c:pt>
                <c:pt idx="476">
                  <c:v>113.30946822656237</c:v>
                </c:pt>
                <c:pt idx="477">
                  <c:v>113.67764281252802</c:v>
                </c:pt>
                <c:pt idx="478">
                  <c:v>114.04525911076766</c:v>
                </c:pt>
                <c:pt idx="479">
                  <c:v>114.41231916041376</c:v>
                </c:pt>
                <c:pt idx="480">
                  <c:v>114.77882498952478</c:v>
                </c:pt>
                <c:pt idx="481">
                  <c:v>115.1447786151664</c:v>
                </c:pt>
                <c:pt idx="482">
                  <c:v>115.51018204349199</c:v>
                </c:pt>
                <c:pt idx="483">
                  <c:v>115.87503726982231</c:v>
                </c:pt>
                <c:pt idx="484">
                  <c:v>116.23934627872454</c:v>
                </c:pt>
                <c:pt idx="485">
                  <c:v>116.60311104409053</c:v>
                </c:pt>
                <c:pt idx="486">
                  <c:v>116.96633352921435</c:v>
                </c:pt>
                <c:pt idx="487">
                  <c:v>117.3290156868692</c:v>
                </c:pt>
                <c:pt idx="488">
                  <c:v>117.69115945938347</c:v>
                </c:pt>
                <c:pt idx="489">
                  <c:v>118.05276677871628</c:v>
                </c:pt>
                <c:pt idx="490">
                  <c:v>118.41383956653216</c:v>
                </c:pt>
                <c:pt idx="491">
                  <c:v>118.77437973427526</c:v>
                </c:pt>
                <c:pt idx="492">
                  <c:v>119.13438918324269</c:v>
                </c:pt>
                <c:pt idx="493">
                  <c:v>119.49386980465731</c:v>
                </c:pt>
                <c:pt idx="494">
                  <c:v>119.85282347973984</c:v>
                </c:pt>
                <c:pt idx="495">
                  <c:v>120.21125207978032</c:v>
                </c:pt>
                <c:pt idx="496">
                  <c:v>120.56915746620894</c:v>
                </c:pt>
                <c:pt idx="497">
                  <c:v>120.9265414906662</c:v>
                </c:pt>
                <c:pt idx="498">
                  <c:v>121.28340599507248</c:v>
                </c:pt>
                <c:pt idx="499">
                  <c:v>121.63975281169701</c:v>
                </c:pt>
                <c:pt idx="500">
                  <c:v>121.99558376322612</c:v>
                </c:pt>
                <c:pt idx="501">
                  <c:v>125.52566111237144</c:v>
                </c:pt>
                <c:pt idx="502">
                  <c:v>129.00531435236806</c:v>
                </c:pt>
                <c:pt idx="503">
                  <c:v>132.43627952284609</c:v>
                </c:pt>
                <c:pt idx="504">
                  <c:v>135.82020516783027</c:v>
                </c:pt>
                <c:pt idx="505">
                  <c:v>139.15865822168067</c:v>
                </c:pt>
                <c:pt idx="506">
                  <c:v>142.45312940419817</c:v>
                </c:pt>
                <c:pt idx="507">
                  <c:v>145.70503817351332</c:v>
                </c:pt>
                <c:pt idx="508">
                  <c:v>148.91573727982447</c:v>
                </c:pt>
                <c:pt idx="509">
                  <c:v>152.08651695821382</c:v>
                </c:pt>
                <c:pt idx="510">
                  <c:v>155.21860879454582</c:v>
                </c:pt>
                <c:pt idx="511">
                  <c:v>158.31318929475603</c:v>
                </c:pt>
                <c:pt idx="512">
                  <c:v>161.37138318459515</c:v>
                </c:pt>
                <c:pt idx="513">
                  <c:v>164.39426646404206</c:v>
                </c:pt>
                <c:pt idx="514">
                  <c:v>167.3828692380884</c:v>
                </c:pt>
                <c:pt idx="515">
                  <c:v>170.33817834337938</c:v>
                </c:pt>
                <c:pt idx="516">
                  <c:v>173.2611397882352</c:v>
                </c:pt>
                <c:pt idx="517">
                  <c:v>176.15266102183861</c:v>
                </c:pt>
                <c:pt idx="518">
                  <c:v>179.01361304683192</c:v>
                </c:pt>
                <c:pt idx="519">
                  <c:v>181.84483238819362</c:v>
                </c:pt>
                <c:pt idx="520">
                  <c:v>184.64712293004231</c:v>
                </c:pt>
                <c:pt idx="521">
                  <c:v>187.42125763092417</c:v>
                </c:pt>
                <c:pt idx="522">
                  <c:v>190.1679801271645</c:v>
                </c:pt>
                <c:pt idx="523">
                  <c:v>192.88800623299016</c:v>
                </c:pt>
                <c:pt idx="524">
                  <c:v>195.58202534534678</c:v>
                </c:pt>
                <c:pt idx="525">
                  <c:v>198.25070176063011</c:v>
                </c:pt>
                <c:pt idx="526">
                  <c:v>200.89467590991907</c:v>
                </c:pt>
                <c:pt idx="527">
                  <c:v>203.51456551872712</c:v>
                </c:pt>
                <c:pt idx="528">
                  <c:v>206.11096669677511</c:v>
                </c:pt>
                <c:pt idx="529">
                  <c:v>208.68445496282368</c:v>
                </c:pt>
                <c:pt idx="530">
                  <c:v>211.23558620918413</c:v>
                </c:pt>
                <c:pt idx="531">
                  <c:v>213.76489761014562</c:v>
                </c:pt>
                <c:pt idx="532">
                  <c:v>216.27290847821212</c:v>
                </c:pt>
                <c:pt idx="533">
                  <c:v>218.76012107172929</c:v>
                </c:pt>
                <c:pt idx="534">
                  <c:v>221.22702135719754</c:v>
                </c:pt>
                <c:pt idx="535">
                  <c:v>223.67407972930769</c:v>
                </c:pt>
                <c:pt idx="536">
                  <c:v>226.10175169150071</c:v>
                </c:pt>
                <c:pt idx="537">
                  <c:v>228.51047849963757</c:v>
                </c:pt>
                <c:pt idx="538">
                  <c:v>230.90068777116909</c:v>
                </c:pt>
                <c:pt idx="539">
                  <c:v>233.27279406201578</c:v>
                </c:pt>
                <c:pt idx="540">
                  <c:v>235.62719941320441</c:v>
                </c:pt>
                <c:pt idx="541">
                  <c:v>237.96429386915696</c:v>
                </c:pt>
                <c:pt idx="542">
                  <c:v>240.28445596938997</c:v>
                </c:pt>
                <c:pt idx="543">
                  <c:v>242.58805321525625</c:v>
                </c:pt>
                <c:pt idx="544">
                  <c:v>244.87544251324445</c:v>
                </c:pt>
                <c:pt idx="545">
                  <c:v>247.14697059624535</c:v>
                </c:pt>
                <c:pt idx="546">
                  <c:v>249.40297442409556</c:v>
                </c:pt>
                <c:pt idx="547">
                  <c:v>251.64378156461896</c:v>
                </c:pt>
                <c:pt idx="548">
                  <c:v>253.86971055630266</c:v>
                </c:pt>
                <c:pt idx="549">
                  <c:v>256.08107125366763</c:v>
                </c:pt>
                <c:pt idx="550">
                  <c:v>258.27816515632287</c:v>
                </c:pt>
                <c:pt idx="551">
                  <c:v>260.46128572262677</c:v>
                </c:pt>
                <c:pt idx="552">
                  <c:v>262.63071866881825</c:v>
                </c:pt>
                <c:pt idx="553">
                  <c:v>264.78674225442461</c:v>
                </c:pt>
                <c:pt idx="554">
                  <c:v>266.92962755470052</c:v>
                </c:pt>
                <c:pt idx="555">
                  <c:v>269.05963872080486</c:v>
                </c:pt>
                <c:pt idx="556">
                  <c:v>271.17703322837713</c:v>
                </c:pt>
                <c:pt idx="557">
                  <c:v>273.2820621151339</c:v>
                </c:pt>
                <c:pt idx="558">
                  <c:v>275.37497020806688</c:v>
                </c:pt>
                <c:pt idx="559">
                  <c:v>277.45599634078911</c:v>
                </c:pt>
                <c:pt idx="560">
                  <c:v>279.52537356154147</c:v>
                </c:pt>
                <c:pt idx="561">
                  <c:v>281.58332933234146</c:v>
                </c:pt>
                <c:pt idx="562">
                  <c:v>283.63008571972716</c:v>
                </c:pt>
                <c:pt idx="563">
                  <c:v>285.66585957752204</c:v>
                </c:pt>
                <c:pt idx="564">
                  <c:v>287.69086272202179</c:v>
                </c:pt>
                <c:pt idx="565">
                  <c:v>289.70530209998037</c:v>
                </c:pt>
                <c:pt idx="566">
                  <c:v>291.70937994975077</c:v>
                </c:pt>
                <c:pt idx="567">
                  <c:v>293.7032939559158</c:v>
                </c:pt>
                <c:pt idx="568">
                  <c:v>295.68723739772463</c:v>
                </c:pt>
                <c:pt idx="569">
                  <c:v>297.66139929163364</c:v>
                </c:pt>
                <c:pt idx="570">
                  <c:v>299.62596452823254</c:v>
                </c:pt>
                <c:pt idx="571">
                  <c:v>301.58111400382182</c:v>
                </c:pt>
                <c:pt idx="572">
                  <c:v>303.52702474689261</c:v>
                </c:pt>
                <c:pt idx="573">
                  <c:v>305.46387003974587</c:v>
                </c:pt>
                <c:pt idx="574">
                  <c:v>307.39181953547603</c:v>
                </c:pt>
                <c:pt idx="575">
                  <c:v>309.31103937053047</c:v>
                </c:pt>
                <c:pt idx="576">
                  <c:v>311.22169227304653</c:v>
                </c:pt>
                <c:pt idx="577">
                  <c:v>313.12393766715581</c:v>
                </c:pt>
                <c:pt idx="578">
                  <c:v>315.01793177343592</c:v>
                </c:pt>
                <c:pt idx="579">
                  <c:v>316.90382770568056</c:v>
                </c:pt>
                <c:pt idx="580">
                  <c:v>318.78177556414937</c:v>
                </c:pt>
                <c:pt idx="581">
                  <c:v>320.65192252545131</c:v>
                </c:pt>
                <c:pt idx="582">
                  <c:v>322.51441292920663</c:v>
                </c:pt>
                <c:pt idx="583">
                  <c:v>324.36938836162574</c:v>
                </c:pt>
                <c:pt idx="584">
                  <c:v>326.21698773613582</c:v>
                </c:pt>
                <c:pt idx="585">
                  <c:v>328.05734737117933</c:v>
                </c:pt>
                <c:pt idx="586">
                  <c:v>329.89060106530286</c:v>
                </c:pt>
                <c:pt idx="587">
                  <c:v>331.71688016964788</c:v>
                </c:pt>
                <c:pt idx="588">
                  <c:v>333.53631365795047</c:v>
                </c:pt>
                <c:pt idx="589">
                  <c:v>335.34902819415061</c:v>
                </c:pt>
                <c:pt idx="590">
                  <c:v>337.1551481977076</c:v>
                </c:pt>
                <c:pt idx="591">
                  <c:v>338.95479590671289</c:v>
                </c:pt>
                <c:pt idx="592">
                  <c:v>340.74809143888683</c:v>
                </c:pt>
                <c:pt idx="593">
                  <c:v>342.5351528505422</c:v>
                </c:pt>
                <c:pt idx="594">
                  <c:v>344.31609619359295</c:v>
                </c:pt>
                <c:pt idx="595">
                  <c:v>346.09103557068238</c:v>
                </c:pt>
                <c:pt idx="596">
                  <c:v>347.86008318850179</c:v>
                </c:pt>
                <c:pt idx="597">
                  <c:v>349.62334940936694</c:v>
                </c:pt>
                <c:pt idx="598">
                  <c:v>351.38094280111591</c:v>
                </c:pt>
                <c:pt idx="599">
                  <c:v>353.13297018538924</c:v>
                </c:pt>
                <c:pt idx="600">
                  <c:v>354.87953668435006</c:v>
                </c:pt>
                <c:pt idx="601">
                  <c:v>356.62074576589811</c:v>
                </c:pt>
                <c:pt idx="602">
                  <c:v>358.35669928743027</c:v>
                </c:pt>
                <c:pt idx="603">
                  <c:v>360.08749753819563</c:v>
                </c:pt>
                <c:pt idx="604">
                  <c:v>361.81323928029207</c:v>
                </c:pt>
                <c:pt idx="605">
                  <c:v>363.53402178834756</c:v>
                </c:pt>
                <c:pt idx="606">
                  <c:v>365.24994088792761</c:v>
                </c:pt>
                <c:pt idx="607">
                  <c:v>366.9610909927074</c:v>
                </c:pt>
                <c:pt idx="608">
                  <c:v>368.66756514044505</c:v>
                </c:pt>
                <c:pt idx="609">
                  <c:v>370.36945502778968</c:v>
                </c:pt>
                <c:pt idx="610">
                  <c:v>372.06685104395632</c:v>
                </c:pt>
                <c:pt idx="611">
                  <c:v>373.75984230329675</c:v>
                </c:pt>
                <c:pt idx="612">
                  <c:v>375.44851667679313</c:v>
                </c:pt>
                <c:pt idx="613">
                  <c:v>377.1329608224994</c:v>
                </c:pt>
                <c:pt idx="614">
                  <c:v>378.81326021495283</c:v>
                </c:pt>
                <c:pt idx="615">
                  <c:v>380.48949917357578</c:v>
                </c:pt>
                <c:pt idx="616">
                  <c:v>382.16176089008525</c:v>
                </c:pt>
                <c:pt idx="617">
                  <c:v>383.83012745492556</c:v>
                </c:pt>
                <c:pt idx="618">
                  <c:v>385.49467988273716</c:v>
                </c:pt>
                <c:pt idx="619">
                  <c:v>387.15549813687113</c:v>
                </c:pt>
                <c:pt idx="620">
                  <c:v>388.8126611529575</c:v>
                </c:pt>
                <c:pt idx="621">
                  <c:v>390.46624686153126</c:v>
                </c:pt>
                <c:pt idx="622">
                  <c:v>392.11633220971828</c:v>
                </c:pt>
                <c:pt idx="623">
                  <c:v>393.76299318197874</c:v>
                </c:pt>
                <c:pt idx="624">
                  <c:v>395.40630481990348</c:v>
                </c:pt>
                <c:pt idx="625">
                  <c:v>397.04634124105439</c:v>
                </c:pt>
                <c:pt idx="626">
                  <c:v>398.6831756568356</c:v>
                </c:pt>
                <c:pt idx="627">
                  <c:v>400.31688038937904</c:v>
                </c:pt>
                <c:pt idx="628">
                  <c:v>401.9475268874213</c:v>
                </c:pt>
                <c:pt idx="629">
                  <c:v>403.57518574114619</c:v>
                </c:pt>
                <c:pt idx="630">
                  <c:v>405.19992669595848</c:v>
                </c:pt>
                <c:pt idx="631">
                  <c:v>406.82181866515077</c:v>
                </c:pt>
                <c:pt idx="632">
                  <c:v>408.44092974141682</c:v>
                </c:pt>
                <c:pt idx="633">
                  <c:v>410.05732720715713</c:v>
                </c:pt>
                <c:pt idx="634">
                  <c:v>411.67107754351423</c:v>
                </c:pt>
                <c:pt idx="635">
                  <c:v>413.28224643806482</c:v>
                </c:pt>
                <c:pt idx="636">
                  <c:v>414.89089879108559</c:v>
                </c:pt>
                <c:pt idx="637">
                  <c:v>416.49709872029655</c:v>
                </c:pt>
                <c:pt idx="638">
                  <c:v>418.10090956397278</c:v>
                </c:pt>
                <c:pt idx="639">
                  <c:v>419.70239388229925</c:v>
                </c:pt>
                <c:pt idx="640">
                  <c:v>421.30161345682609</c:v>
                </c:pt>
                <c:pt idx="641">
                  <c:v>422.89862928786249</c:v>
                </c:pt>
                <c:pt idx="642">
                  <c:v>424.49350158962443</c:v>
                </c:pt>
                <c:pt idx="643">
                  <c:v>426.08628978292739</c:v>
                </c:pt>
                <c:pt idx="644">
                  <c:v>427.67705248518672</c:v>
                </c:pt>
                <c:pt idx="645">
                  <c:v>429.26584749745689</c:v>
                </c:pt>
                <c:pt idx="646">
                  <c:v>430.85273178820654</c:v>
                </c:pt>
                <c:pt idx="647">
                  <c:v>432.43776147348655</c:v>
                </c:pt>
                <c:pt idx="648">
                  <c:v>434.02099179310608</c:v>
                </c:pt>
                <c:pt idx="649">
                  <c:v>435.60247708238398</c:v>
                </c:pt>
                <c:pt idx="650">
                  <c:v>437.18227073899283</c:v>
                </c:pt>
                <c:pt idx="651">
                  <c:v>438.76042518435798</c:v>
                </c:pt>
                <c:pt idx="652">
                  <c:v>440.33699181901881</c:v>
                </c:pt>
                <c:pt idx="653">
                  <c:v>441.91202097130127</c:v>
                </c:pt>
                <c:pt idx="654">
                  <c:v>443.4855618385983</c:v>
                </c:pt>
                <c:pt idx="655">
                  <c:v>445.05766242050544</c:v>
                </c:pt>
                <c:pt idx="656">
                  <c:v>446.62836944302546</c:v>
                </c:pt>
                <c:pt idx="657">
                  <c:v>448.19772827304064</c:v>
                </c:pt>
                <c:pt idx="658">
                  <c:v>449.76578282227058</c:v>
                </c:pt>
                <c:pt idx="659">
                  <c:v>451.33257543999764</c:v>
                </c:pt>
                <c:pt idx="660">
                  <c:v>452.89814679397318</c:v>
                </c:pt>
                <c:pt idx="661">
                  <c:v>454.46253573913475</c:v>
                </c:pt>
                <c:pt idx="662">
                  <c:v>456.0257791740936</c:v>
                </c:pt>
                <c:pt idx="663">
                  <c:v>457.58791188581756</c:v>
                </c:pt>
                <c:pt idx="664">
                  <c:v>459.14896638355714</c:v>
                </c:pt>
                <c:pt idx="665">
                  <c:v>460.70897272385315</c:v>
                </c:pt>
                <c:pt idx="666">
                  <c:v>462.26795832941536</c:v>
                </c:pt>
                <c:pt idx="667">
                  <c:v>463.82594780573095</c:v>
                </c:pt>
                <c:pt idx="668">
                  <c:v>465.38296276037624</c:v>
                </c:pt>
                <c:pt idx="669">
                  <c:v>466.9390216310394</c:v>
                </c:pt>
                <c:pt idx="670">
                  <c:v>468.49413952905536</c:v>
                </c:pt>
                <c:pt idx="671">
                  <c:v>470.04832810562738</c:v>
                </c:pt>
                <c:pt idx="672">
                  <c:v>471.60159544769635</c:v>
                </c:pt>
                <c:pt idx="673">
                  <c:v>473.15394600951606</c:v>
                </c:pt>
                <c:pt idx="674">
                  <c:v>474.70538058440468</c:v>
                </c:pt>
                <c:pt idx="675">
                  <c:v>476.25589631899953</c:v>
                </c:pt>
                <c:pt idx="676">
                  <c:v>477.80548676989218</c:v>
                </c:pt>
                <c:pt idx="677">
                  <c:v>479.35414200008643</c:v>
                </c:pt>
                <c:pt idx="678">
                  <c:v>480.9018487106124</c:v>
                </c:pt>
                <c:pt idx="679">
                  <c:v>482.44859040109537</c:v>
                </c:pt>
                <c:pt idx="680">
                  <c:v>483.99434755223444</c:v>
                </c:pt>
                <c:pt idx="681">
                  <c:v>485.53909782299098</c:v>
                </c:pt>
                <c:pt idx="682">
                  <c:v>487.08281625571004</c:v>
                </c:pt>
                <c:pt idx="683">
                  <c:v>488.62547548322874</c:v>
                </c:pt>
                <c:pt idx="684">
                  <c:v>490.16704593308594</c:v>
                </c:pt>
                <c:pt idx="685">
                  <c:v>491.70749602507209</c:v>
                </c:pt>
                <c:pt idx="686">
                  <c:v>493.24679235943273</c:v>
                </c:pt>
                <c:pt idx="687">
                  <c:v>494.7848998939848</c:v>
                </c:pt>
                <c:pt idx="688">
                  <c:v>496.3217821091871</c:v>
                </c:pt>
                <c:pt idx="689">
                  <c:v>497.85740116081854</c:v>
                </c:pt>
                <c:pt idx="690">
                  <c:v>499.39171802037254</c:v>
                </c:pt>
                <c:pt idx="691">
                  <c:v>500.92469260359354</c:v>
                </c:pt>
                <c:pt idx="692">
                  <c:v>502.45628388779005</c:v>
                </c:pt>
                <c:pt idx="693">
                  <c:v>503.98645001867959</c:v>
                </c:pt>
                <c:pt idx="694">
                  <c:v>505.51514840757937</c:v>
                </c:pt>
                <c:pt idx="695">
                  <c:v>507.04233581976871</c:v>
                </c:pt>
                <c:pt idx="696">
                  <c:v>508.56796845483018</c:v>
                </c:pt>
                <c:pt idx="697">
                  <c:v>510.09200201973852</c:v>
                </c:pt>
                <c:pt idx="698">
                  <c:v>511.61439179541492</c:v>
                </c:pt>
                <c:pt idx="699">
                  <c:v>513.13509269740871</c:v>
                </c:pt>
                <c:pt idx="700">
                  <c:v>514.65405933131012</c:v>
                </c:pt>
                <c:pt idx="701">
                  <c:v>516.17124604343894</c:v>
                </c:pt>
                <c:pt idx="702">
                  <c:v>517.6866069673024</c:v>
                </c:pt>
                <c:pt idx="703">
                  <c:v>519.20009606626013</c:v>
                </c:pt>
                <c:pt idx="704">
                  <c:v>520.71166717278993</c:v>
                </c:pt>
                <c:pt idx="705">
                  <c:v>522.22127402470426</c:v>
                </c:pt>
                <c:pt idx="706">
                  <c:v>523.7288702986275</c:v>
                </c:pt>
                <c:pt idx="707">
                  <c:v>525.23440964101064</c:v>
                </c:pt>
                <c:pt idx="708">
                  <c:v>526.73784569692873</c:v>
                </c:pt>
                <c:pt idx="709">
                  <c:v>528.23913213687786</c:v>
                </c:pt>
                <c:pt idx="710">
                  <c:v>529.73822268176457</c:v>
                </c:pt>
                <c:pt idx="711">
                  <c:v>531.2350711262601</c:v>
                </c:pt>
                <c:pt idx="712">
                  <c:v>532.72963136066983</c:v>
                </c:pt>
                <c:pt idx="713">
                  <c:v>534.22185739145459</c:v>
                </c:pt>
                <c:pt idx="714">
                  <c:v>535.71170336052273</c:v>
                </c:pt>
                <c:pt idx="715">
                  <c:v>537.19912356340103</c:v>
                </c:pt>
                <c:pt idx="716">
                  <c:v>538.68407246637889</c:v>
                </c:pt>
                <c:pt idx="717">
                  <c:v>540.16650472271135</c:v>
                </c:pt>
                <c:pt idx="718">
                  <c:v>541.64637518795678</c:v>
                </c:pt>
                <c:pt idx="719">
                  <c:v>543.12363893451641</c:v>
                </c:pt>
                <c:pt idx="720">
                  <c:v>544.59825126543728</c:v>
                </c:pt>
                <c:pt idx="721">
                  <c:v>546.07016772753298</c:v>
                </c:pt>
                <c:pt idx="722">
                  <c:v>547.53934412387014</c:v>
                </c:pt>
                <c:pt idx="723">
                  <c:v>549.00573652566538</c:v>
                </c:pt>
                <c:pt idx="724">
                  <c:v>550.46930128363181</c:v>
                </c:pt>
                <c:pt idx="725">
                  <c:v>551.92999503881072</c:v>
                </c:pt>
                <c:pt idx="726">
                  <c:v>553.38777473292021</c:v>
                </c:pt>
                <c:pt idx="727">
                  <c:v>554.84259761825001</c:v>
                </c:pt>
                <c:pt idx="728">
                  <c:v>556.29442126712831</c:v>
                </c:pt>
                <c:pt idx="729">
                  <c:v>557.74320358098498</c:v>
                </c:pt>
                <c:pt idx="730">
                  <c:v>559.18890279903144</c:v>
                </c:pt>
                <c:pt idx="731">
                  <c:v>560.63147750657799</c:v>
                </c:pt>
                <c:pt idx="732">
                  <c:v>562.07088664300511</c:v>
                </c:pt>
                <c:pt idx="733">
                  <c:v>563.507089509406</c:v>
                </c:pt>
                <c:pt idx="734">
                  <c:v>564.94004577591409</c:v>
                </c:pt>
                <c:pt idx="735">
                  <c:v>566.36971548872953</c:v>
                </c:pt>
                <c:pt idx="736">
                  <c:v>567.79605907685698</c:v>
                </c:pt>
                <c:pt idx="737">
                  <c:v>569.2190373585654</c:v>
                </c:pt>
                <c:pt idx="738">
                  <c:v>570.63861154758092</c:v>
                </c:pt>
                <c:pt idx="739">
                  <c:v>572.05474325902173</c:v>
                </c:pt>
                <c:pt idx="740">
                  <c:v>573.46739451508415</c:v>
                </c:pt>
                <c:pt idx="741">
                  <c:v>574.87652775048741</c:v>
                </c:pt>
                <c:pt idx="742">
                  <c:v>576.28210581768531</c:v>
                </c:pt>
                <c:pt idx="743">
                  <c:v>577.68409199185101</c:v>
                </c:pt>
                <c:pt idx="744">
                  <c:v>579.08244997564213</c:v>
                </c:pt>
                <c:pt idx="745">
                  <c:v>580.4771439037512</c:v>
                </c:pt>
                <c:pt idx="746">
                  <c:v>581.86813834724796</c:v>
                </c:pt>
                <c:pt idx="747">
                  <c:v>583.25539831771778</c:v>
                </c:pt>
                <c:pt idx="748">
                  <c:v>584.63888927120206</c:v>
                </c:pt>
                <c:pt idx="749">
                  <c:v>586.01857711194464</c:v>
                </c:pt>
                <c:pt idx="750">
                  <c:v>587.39442819594842</c:v>
                </c:pt>
                <c:pt idx="751">
                  <c:v>588.76640933434646</c:v>
                </c:pt>
                <c:pt idx="752">
                  <c:v>590.13448779659166</c:v>
                </c:pt>
                <c:pt idx="753">
                  <c:v>591.49863131346831</c:v>
                </c:pt>
                <c:pt idx="754">
                  <c:v>592.85880807992896</c:v>
                </c:pt>
                <c:pt idx="755">
                  <c:v>594.21498675776013</c:v>
                </c:pt>
                <c:pt idx="756">
                  <c:v>595.56713647808044</c:v>
                </c:pt>
                <c:pt idx="757">
                  <c:v>596.91522684367305</c:v>
                </c:pt>
                <c:pt idx="758">
                  <c:v>598.25922793115649</c:v>
                </c:pt>
                <c:pt idx="759">
                  <c:v>599.5991102929961</c:v>
                </c:pt>
                <c:pt idx="760">
                  <c:v>600.93484495935888</c:v>
                </c:pt>
                <c:pt idx="761">
                  <c:v>602.26640343981489</c:v>
                </c:pt>
                <c:pt idx="762">
                  <c:v>603.5937577248867</c:v>
                </c:pt>
                <c:pt idx="763">
                  <c:v>604.91688028745057</c:v>
                </c:pt>
                <c:pt idx="764">
                  <c:v>606.23574408399099</c:v>
                </c:pt>
                <c:pt idx="765">
                  <c:v>607.55032255571143</c:v>
                </c:pt>
                <c:pt idx="766">
                  <c:v>608.86058962950312</c:v>
                </c:pt>
                <c:pt idx="767">
                  <c:v>610.16651971877491</c:v>
                </c:pt>
                <c:pt idx="768">
                  <c:v>611.46808772414568</c:v>
                </c:pt>
                <c:pt idx="769">
                  <c:v>612.76526903400179</c:v>
                </c:pt>
                <c:pt idx="770">
                  <c:v>614.05803952492238</c:v>
                </c:pt>
                <c:pt idx="771">
                  <c:v>615.34637556197333</c:v>
                </c:pt>
                <c:pt idx="772">
                  <c:v>616.6302539988734</c:v>
                </c:pt>
                <c:pt idx="773">
                  <c:v>617.90965217803398</c:v>
                </c:pt>
                <c:pt idx="774">
                  <c:v>619.18454793047442</c:v>
                </c:pt>
                <c:pt idx="775">
                  <c:v>620.45491957561524</c:v>
                </c:pt>
                <c:pt idx="776">
                  <c:v>621.72074592095157</c:v>
                </c:pt>
                <c:pt idx="777">
                  <c:v>622.98200626160838</c:v>
                </c:pt>
                <c:pt idx="778">
                  <c:v>624.23868037977968</c:v>
                </c:pt>
                <c:pt idx="779">
                  <c:v>625.4907485440541</c:v>
                </c:pt>
                <c:pt idx="780">
                  <c:v>626.73819150862801</c:v>
                </c:pt>
                <c:pt idx="781">
                  <c:v>627.98099051240933</c:v>
                </c:pt>
                <c:pt idx="782">
                  <c:v>629.21912727801327</c:v>
                </c:pt>
                <c:pt idx="783">
                  <c:v>630.45258401065166</c:v>
                </c:pt>
                <c:pt idx="784">
                  <c:v>631.68134339691926</c:v>
                </c:pt>
                <c:pt idx="785">
                  <c:v>632.9053886034776</c:v>
                </c:pt>
                <c:pt idx="786">
                  <c:v>634.12470327563915</c:v>
                </c:pt>
                <c:pt idx="787">
                  <c:v>635.33927153585341</c:v>
                </c:pt>
                <c:pt idx="788">
                  <c:v>636.54907798209706</c:v>
                </c:pt>
                <c:pt idx="789">
                  <c:v>637.7541076861703</c:v>
                </c:pt>
                <c:pt idx="790">
                  <c:v>638.95434619190098</c:v>
                </c:pt>
                <c:pt idx="791">
                  <c:v>640.14977951325886</c:v>
                </c:pt>
                <c:pt idx="792">
                  <c:v>641.34039413238168</c:v>
                </c:pt>
                <c:pt idx="793">
                  <c:v>642.52617699751522</c:v>
                </c:pt>
                <c:pt idx="794">
                  <c:v>643.70711552086914</c:v>
                </c:pt>
                <c:pt idx="795">
                  <c:v>644.88319757639044</c:v>
                </c:pt>
                <c:pt idx="796">
                  <c:v>646.05441149745707</c:v>
                </c:pt>
                <c:pt idx="797">
                  <c:v>647.22074607449269</c:v>
                </c:pt>
                <c:pt idx="798">
                  <c:v>648.38219055250534</c:v>
                </c:pt>
                <c:pt idx="799">
                  <c:v>649.53873462855165</c:v>
                </c:pt>
                <c:pt idx="800">
                  <c:v>650.6903684491283</c:v>
                </c:pt>
                <c:pt idx="801">
                  <c:v>651.83708260749302</c:v>
                </c:pt>
                <c:pt idx="802">
                  <c:v>652.97886814091669</c:v>
                </c:pt>
                <c:pt idx="803">
                  <c:v>654.11571652786881</c:v>
                </c:pt>
                <c:pt idx="804">
                  <c:v>655.24761968513758</c:v>
                </c:pt>
                <c:pt idx="805">
                  <c:v>656.37456996488754</c:v>
                </c:pt>
                <c:pt idx="806">
                  <c:v>657.49656015165544</c:v>
                </c:pt>
                <c:pt idx="807">
                  <c:v>658.61358345928704</c:v>
                </c:pt>
                <c:pt idx="808">
                  <c:v>659.72563352781651</c:v>
                </c:pt>
                <c:pt idx="809">
                  <c:v>660.8327044202897</c:v>
                </c:pt>
                <c:pt idx="810">
                  <c:v>661.93479061953417</c:v>
                </c:pt>
                <c:pt idx="811">
                  <c:v>663.03188702487694</c:v>
                </c:pt>
                <c:pt idx="812">
                  <c:v>664.12398894881187</c:v>
                </c:pt>
                <c:pt idx="813">
                  <c:v>665.21109211361897</c:v>
                </c:pt>
                <c:pt idx="814">
                  <c:v>666.29319264793696</c:v>
                </c:pt>
                <c:pt idx="815">
                  <c:v>667.37028708329046</c:v>
                </c:pt>
                <c:pt idx="816">
                  <c:v>668.44237235057517</c:v>
                </c:pt>
                <c:pt idx="817">
                  <c:v>669.50944577650046</c:v>
                </c:pt>
                <c:pt idx="818">
                  <c:v>670.57150507999302</c:v>
                </c:pt>
                <c:pt idx="819">
                  <c:v>671.62854836856241</c:v>
                </c:pt>
                <c:pt idx="820">
                  <c:v>672.68057413463021</c:v>
                </c:pt>
                <c:pt idx="821">
                  <c:v>673.72758125182452</c:v>
                </c:pt>
                <c:pt idx="822">
                  <c:v>674.76956897124205</c:v>
                </c:pt>
                <c:pt idx="823">
                  <c:v>675.80653691767816</c:v>
                </c:pt>
                <c:pt idx="824">
                  <c:v>676.83848508582764</c:v>
                </c:pt>
                <c:pt idx="825">
                  <c:v>677.86541383645726</c:v>
                </c:pt>
                <c:pt idx="826">
                  <c:v>678.8873238925521</c:v>
                </c:pt>
                <c:pt idx="827">
                  <c:v>679.90421633543644</c:v>
                </c:pt>
                <c:pt idx="828">
                  <c:v>680.91609260087182</c:v>
                </c:pt>
                <c:pt idx="829">
                  <c:v>681.92295447513288</c:v>
                </c:pt>
                <c:pt idx="830">
                  <c:v>682.92480409106292</c:v>
                </c:pt>
                <c:pt idx="831">
                  <c:v>683.92164392411053</c:v>
                </c:pt>
                <c:pt idx="832">
                  <c:v>684.91347678834916</c:v>
                </c:pt>
                <c:pt idx="833">
                  <c:v>685.90030583248029</c:v>
                </c:pt>
                <c:pt idx="834">
                  <c:v>686.88213453582227</c:v>
                </c:pt>
                <c:pt idx="835">
                  <c:v>687.8589667042861</c:v>
                </c:pt>
                <c:pt idx="836">
                  <c:v>688.83080646633948</c:v>
                </c:pt>
                <c:pt idx="837">
                  <c:v>689.79765826896028</c:v>
                </c:pt>
                <c:pt idx="838">
                  <c:v>690.75952687358097</c:v>
                </c:pt>
                <c:pt idx="839">
                  <c:v>691.7164173520257</c:v>
                </c:pt>
                <c:pt idx="840">
                  <c:v>692.66833508244054</c:v>
                </c:pt>
                <c:pt idx="841">
                  <c:v>693.61528574521878</c:v>
                </c:pt>
                <c:pt idx="842">
                  <c:v>694.55727531892217</c:v>
                </c:pt>
                <c:pt idx="843">
                  <c:v>695.49431007619967</c:v>
                </c:pt>
                <c:pt idx="844">
                  <c:v>696.42639657970449</c:v>
                </c:pt>
                <c:pt idx="845">
                  <c:v>697.35354167801131</c:v>
                </c:pt>
                <c:pt idx="846">
                  <c:v>698.2757525015337</c:v>
                </c:pt>
                <c:pt idx="847">
                  <c:v>699.19303645844411</c:v>
                </c:pt>
                <c:pt idx="848">
                  <c:v>700.10540123059661</c:v>
                </c:pt>
                <c:pt idx="849">
                  <c:v>701.01285476945407</c:v>
                </c:pt>
                <c:pt idx="850">
                  <c:v>701.91540529202075</c:v>
                </c:pt>
                <c:pt idx="851">
                  <c:v>702.81306127678067</c:v>
                </c:pt>
                <c:pt idx="852">
                  <c:v>703.70583145964406</c:v>
                </c:pt>
                <c:pt idx="853">
                  <c:v>704.59372482990159</c:v>
                </c:pt>
                <c:pt idx="854">
                  <c:v>705.47675062618816</c:v>
                </c:pt>
                <c:pt idx="855">
                  <c:v>706.35491833245715</c:v>
                </c:pt>
                <c:pt idx="856">
                  <c:v>707.22823767396562</c:v>
                </c:pt>
                <c:pt idx="857">
                  <c:v>708.09671861327149</c:v>
                </c:pt>
                <c:pt idx="858">
                  <c:v>708.9603713462443</c:v>
                </c:pt>
                <c:pt idx="859">
                  <c:v>709.81920629808951</c:v>
                </c:pt>
                <c:pt idx="860">
                  <c:v>710.67323411938719</c:v>
                </c:pt>
                <c:pt idx="861">
                  <c:v>711.52246568214707</c:v>
                </c:pt>
                <c:pt idx="862">
                  <c:v>712.36691207587899</c:v>
                </c:pt>
                <c:pt idx="863">
                  <c:v>713.20658460368122</c:v>
                </c:pt>
                <c:pt idx="864">
                  <c:v>714.04149477834642</c:v>
                </c:pt>
                <c:pt idx="865">
                  <c:v>714.87165431848587</c:v>
                </c:pt>
                <c:pt idx="866">
                  <c:v>715.69707514467348</c:v>
                </c:pt>
                <c:pt idx="867">
                  <c:v>716.51776937560942</c:v>
                </c:pt>
                <c:pt idx="868">
                  <c:v>717.33374932430479</c:v>
                </c:pt>
                <c:pt idx="869">
                  <c:v>718.14502749428721</c:v>
                </c:pt>
                <c:pt idx="870">
                  <c:v>718.95161657582855</c:v>
                </c:pt>
                <c:pt idx="871">
                  <c:v>719.75352944219526</c:v>
                </c:pt>
                <c:pt idx="872">
                  <c:v>720.55077914592164</c:v>
                </c:pt>
                <c:pt idx="873">
                  <c:v>721.34337891510711</c:v>
                </c:pt>
                <c:pt idx="874">
                  <c:v>722.13134214973729</c:v>
                </c:pt>
                <c:pt idx="875">
                  <c:v>722.91468241803</c:v>
                </c:pt>
                <c:pt idx="876">
                  <c:v>723.69341345280668</c:v>
                </c:pt>
                <c:pt idx="877">
                  <c:v>724.46754914788949</c:v>
                </c:pt>
                <c:pt idx="878">
                  <c:v>725.23710355452431</c:v>
                </c:pt>
                <c:pt idx="879">
                  <c:v>726.00209087783094</c:v>
                </c:pt>
                <c:pt idx="880">
                  <c:v>726.76252547327988</c:v>
                </c:pt>
                <c:pt idx="881">
                  <c:v>727.51842184319685</c:v>
                </c:pt>
                <c:pt idx="882">
                  <c:v>728.26979463329519</c:v>
                </c:pt>
                <c:pt idx="883">
                  <c:v>729.0166586292363</c:v>
                </c:pt>
                <c:pt idx="884">
                  <c:v>729.75902875321924</c:v>
                </c:pt>
                <c:pt idx="885">
                  <c:v>730.49692006059843</c:v>
                </c:pt>
                <c:pt idx="886">
                  <c:v>731.23034773653126</c:v>
                </c:pt>
                <c:pt idx="887">
                  <c:v>731.95932709265526</c:v>
                </c:pt>
                <c:pt idx="888">
                  <c:v>732.68387356379469</c:v>
                </c:pt>
                <c:pt idx="889">
                  <c:v>733.40400270469775</c:v>
                </c:pt>
                <c:pt idx="890">
                  <c:v>734.11973018680385</c:v>
                </c:pt>
                <c:pt idx="891">
                  <c:v>734.83107179504157</c:v>
                </c:pt>
                <c:pt idx="892">
                  <c:v>735.53804342465764</c:v>
                </c:pt>
                <c:pt idx="893">
                  <c:v>736.24066107807653</c:v>
                </c:pt>
                <c:pt idx="894">
                  <c:v>736.93894086179205</c:v>
                </c:pt>
                <c:pt idx="895">
                  <c:v>737.63289898328946</c:v>
                </c:pt>
                <c:pt idx="896">
                  <c:v>738.32255174800002</c:v>
                </c:pt>
                <c:pt idx="897">
                  <c:v>739.00791555628666</c:v>
                </c:pt>
                <c:pt idx="898">
                  <c:v>739.68900690046166</c:v>
                </c:pt>
                <c:pt idx="899">
                  <c:v>740.36584236183671</c:v>
                </c:pt>
                <c:pt idx="900">
                  <c:v>741.03843860780455</c:v>
                </c:pt>
                <c:pt idx="901">
                  <c:v>741.70681238895327</c:v>
                </c:pt>
                <c:pt idx="902">
                  <c:v>742.37098053621241</c:v>
                </c:pt>
                <c:pt idx="903">
                  <c:v>743.03095995803176</c:v>
                </c:pt>
                <c:pt idx="904">
                  <c:v>743.68676763759277</c:v>
                </c:pt>
                <c:pt idx="905">
                  <c:v>744.33842063005181</c:v>
                </c:pt>
                <c:pt idx="906">
                  <c:v>744.98593605981637</c:v>
                </c:pt>
                <c:pt idx="907">
                  <c:v>745.62933111785378</c:v>
                </c:pt>
                <c:pt idx="908">
                  <c:v>746.26862305903228</c:v>
                </c:pt>
                <c:pt idx="909">
                  <c:v>746.90382919949479</c:v>
                </c:pt>
                <c:pt idx="910">
                  <c:v>747.53496691406508</c:v>
                </c:pt>
                <c:pt idx="911">
                  <c:v>748.16205363368636</c:v>
                </c:pt>
                <c:pt idx="912">
                  <c:v>748.78510684289279</c:v>
                </c:pt>
                <c:pt idx="913">
                  <c:v>749.40414407731305</c:v>
                </c:pt>
                <c:pt idx="914">
                  <c:v>750.01918292120627</c:v>
                </c:pt>
                <c:pt idx="915">
                  <c:v>750.63024100503048</c:v>
                </c:pt>
                <c:pt idx="916">
                  <c:v>751.2373360030432</c:v>
                </c:pt>
                <c:pt idx="917">
                  <c:v>751.8404856309345</c:v>
                </c:pt>
                <c:pt idx="918">
                  <c:v>752.43970764349183</c:v>
                </c:pt>
                <c:pt idx="919">
                  <c:v>753.03501983229705</c:v>
                </c:pt>
                <c:pt idx="920">
                  <c:v>753.6264400234553</c:v>
                </c:pt>
                <c:pt idx="921">
                  <c:v>754.21398607535571</c:v>
                </c:pt>
                <c:pt idx="922">
                  <c:v>754.79767587646393</c:v>
                </c:pt>
                <c:pt idx="923">
                  <c:v>755.37752734314608</c:v>
                </c:pt>
                <c:pt idx="924">
                  <c:v>755.95355841752428</c:v>
                </c:pt>
                <c:pt idx="925">
                  <c:v>756.52578706536315</c:v>
                </c:pt>
                <c:pt idx="926">
                  <c:v>757.09423127398816</c:v>
                </c:pt>
                <c:pt idx="927">
                  <c:v>757.65890905023434</c:v>
                </c:pt>
                <c:pt idx="928">
                  <c:v>758.21983841842621</c:v>
                </c:pt>
                <c:pt idx="929">
                  <c:v>758.77703741838809</c:v>
                </c:pt>
                <c:pt idx="930">
                  <c:v>759.33052410348557</c:v>
                </c:pt>
                <c:pt idx="931">
                  <c:v>759.88031653869666</c:v>
                </c:pt>
                <c:pt idx="932">
                  <c:v>760.42643279871356</c:v>
                </c:pt>
                <c:pt idx="933">
                  <c:v>760.96889096607435</c:v>
                </c:pt>
                <c:pt idx="934">
                  <c:v>761.50770912932433</c:v>
                </c:pt>
                <c:pt idx="935">
                  <c:v>762.04290538120733</c:v>
                </c:pt>
                <c:pt idx="936">
                  <c:v>762.57449781688604</c:v>
                </c:pt>
                <c:pt idx="937">
                  <c:v>763.10250453219192</c:v>
                </c:pt>
                <c:pt idx="938">
                  <c:v>763.62694362190405</c:v>
                </c:pt>
                <c:pt idx="939">
                  <c:v>764.14783317805666</c:v>
                </c:pt>
                <c:pt idx="940">
                  <c:v>764.66519128827554</c:v>
                </c:pt>
                <c:pt idx="941">
                  <c:v>765.17903603414265</c:v>
                </c:pt>
                <c:pt idx="942">
                  <c:v>765.68938548958886</c:v>
                </c:pt>
                <c:pt idx="943">
                  <c:v>766.19625771931476</c:v>
                </c:pt>
                <c:pt idx="944">
                  <c:v>766.69967077723925</c:v>
                </c:pt>
                <c:pt idx="945">
                  <c:v>767.19964270497553</c:v>
                </c:pt>
                <c:pt idx="946">
                  <c:v>767.69619153033454</c:v>
                </c:pt>
                <c:pt idx="947">
                  <c:v>768.18933526585499</c:v>
                </c:pt>
                <c:pt idx="948">
                  <c:v>768.67909190736088</c:v>
                </c:pt>
                <c:pt idx="949">
                  <c:v>769.165479432545</c:v>
                </c:pt>
                <c:pt idx="950">
                  <c:v>769.64851579957895</c:v>
                </c:pt>
                <c:pt idx="951">
                  <c:v>770.12821894574938</c:v>
                </c:pt>
                <c:pt idx="952">
                  <c:v>770.60460678612003</c:v>
                </c:pt>
                <c:pt idx="953">
                  <c:v>771.07769721221928</c:v>
                </c:pt>
                <c:pt idx="954">
                  <c:v>771.54750809075279</c:v>
                </c:pt>
                <c:pt idx="955">
                  <c:v>772.01405726234213</c:v>
                </c:pt>
                <c:pt idx="956">
                  <c:v>772.47736254028723</c:v>
                </c:pt>
                <c:pt idx="957">
                  <c:v>772.93744170935395</c:v>
                </c:pt>
                <c:pt idx="958">
                  <c:v>773.3943125245861</c:v>
                </c:pt>
                <c:pt idx="959">
                  <c:v>773.8479927101414</c:v>
                </c:pt>
                <c:pt idx="960">
                  <c:v>774.29849995815107</c:v>
                </c:pt>
                <c:pt idx="961">
                  <c:v>774.74585192760355</c:v>
                </c:pt>
                <c:pt idx="962">
                  <c:v>775.19006624325118</c:v>
                </c:pt>
                <c:pt idx="963">
                  <c:v>775.63116049453993</c:v>
                </c:pt>
                <c:pt idx="964">
                  <c:v>776.06915223456213</c:v>
                </c:pt>
                <c:pt idx="965">
                  <c:v>776.50405897903192</c:v>
                </c:pt>
                <c:pt idx="966">
                  <c:v>776.93589820528257</c:v>
                </c:pt>
                <c:pt idx="967">
                  <c:v>777.36468735128653</c:v>
                </c:pt>
                <c:pt idx="968">
                  <c:v>777.79044381469646</c:v>
                </c:pt>
                <c:pt idx="969">
                  <c:v>778.2131849519086</c:v>
                </c:pt>
                <c:pt idx="970">
                  <c:v>778.63292807714708</c:v>
                </c:pt>
                <c:pt idx="971">
                  <c:v>779.04969046156918</c:v>
                </c:pt>
                <c:pt idx="972">
                  <c:v>779.46348933239165</c:v>
                </c:pt>
                <c:pt idx="973">
                  <c:v>779.87434187203723</c:v>
                </c:pt>
                <c:pt idx="974">
                  <c:v>780.28226521730221</c:v>
                </c:pt>
                <c:pt idx="975">
                  <c:v>780.68727645854278</c:v>
                </c:pt>
                <c:pt idx="976">
                  <c:v>781.0893926388826</c:v>
                </c:pt>
                <c:pt idx="977">
                  <c:v>781.48863075343854</c:v>
                </c:pt>
                <c:pt idx="978">
                  <c:v>781.88500774856686</c:v>
                </c:pt>
                <c:pt idx="979">
                  <c:v>781.88500774856686</c:v>
                </c:pt>
                <c:pt idx="980">
                  <c:v>781.88500774856686</c:v>
                </c:pt>
                <c:pt idx="981">
                  <c:v>781.88500774856686</c:v>
                </c:pt>
                <c:pt idx="982">
                  <c:v>781.88500774856686</c:v>
                </c:pt>
                <c:pt idx="983">
                  <c:v>781.88500774856686</c:v>
                </c:pt>
                <c:pt idx="984">
                  <c:v>781.88500774856686</c:v>
                </c:pt>
                <c:pt idx="985">
                  <c:v>781.88500774856686</c:v>
                </c:pt>
                <c:pt idx="986">
                  <c:v>781.88500774856686</c:v>
                </c:pt>
                <c:pt idx="987">
                  <c:v>781.88500774856686</c:v>
                </c:pt>
                <c:pt idx="988">
                  <c:v>781.88500774856686</c:v>
                </c:pt>
                <c:pt idx="989">
                  <c:v>781.88500774856686</c:v>
                </c:pt>
                <c:pt idx="990">
                  <c:v>781.88500774856686</c:v>
                </c:pt>
                <c:pt idx="991">
                  <c:v>781.88500774856686</c:v>
                </c:pt>
                <c:pt idx="992">
                  <c:v>781.88500774856686</c:v>
                </c:pt>
                <c:pt idx="993">
                  <c:v>781.88500774856686</c:v>
                </c:pt>
                <c:pt idx="994">
                  <c:v>781.88500774856686</c:v>
                </c:pt>
                <c:pt idx="995">
                  <c:v>781.88500774856686</c:v>
                </c:pt>
                <c:pt idx="996">
                  <c:v>781.88500774856686</c:v>
                </c:pt>
                <c:pt idx="997">
                  <c:v>781.88500774856686</c:v>
                </c:pt>
                <c:pt idx="998">
                  <c:v>781.88500774856686</c:v>
                </c:pt>
                <c:pt idx="999">
                  <c:v>781.88500774856686</c:v>
                </c:pt>
                <c:pt idx="1000">
                  <c:v>781.88500774856686</c:v>
                </c:pt>
              </c:numCache>
            </c:numRef>
          </c:xVal>
          <c:yVal>
            <c:numRef>
              <c:f>Calculs!$AE$4:$AE$1004</c:f>
              <c:numCache>
                <c:formatCode>0</c:formatCode>
                <c:ptCount val="1001"/>
                <c:pt idx="0">
                  <c:v>0</c:v>
                </c:pt>
                <c:pt idx="1">
                  <c:v>7.9551017983196934E-4</c:v>
                </c:pt>
                <c:pt idx="2">
                  <c:v>4.5969806451097925E-3</c:v>
                </c:pt>
                <c:pt idx="3">
                  <c:v>1.3406949949768451E-2</c:v>
                </c:pt>
                <c:pt idx="4">
                  <c:v>2.8401219250121523E-2</c:v>
                </c:pt>
                <c:pt idx="5">
                  <c:v>5.0756894473462134E-2</c:v>
                </c:pt>
                <c:pt idx="6">
                  <c:v>8.1652578986609478E-2</c:v>
                </c:pt>
                <c:pt idx="7">
                  <c:v>0.12226856376226272</c:v>
                </c:pt>
                <c:pt idx="8">
                  <c:v>0.17378701513006151</c:v>
                </c:pt>
                <c:pt idx="9">
                  <c:v>0.23739216019483012</c:v>
                </c:pt>
                <c:pt idx="10">
                  <c:v>0.31427047000019614</c:v>
                </c:pt>
                <c:pt idx="11">
                  <c:v>0.40527228320445341</c:v>
                </c:pt>
                <c:pt idx="12">
                  <c:v>0.51057232448723888</c:v>
                </c:pt>
                <c:pt idx="13">
                  <c:v>0.63000415809525101</c:v>
                </c:pt>
                <c:pt idx="14">
                  <c:v>0.76339565266121023</c:v>
                </c:pt>
                <c:pt idx="15">
                  <c:v>0.91057155858677497</c:v>
                </c:pt>
                <c:pt idx="16">
                  <c:v>1.0713560932387671</c:v>
                </c:pt>
                <c:pt idx="17">
                  <c:v>1.2455729506424484</c:v>
                </c:pt>
                <c:pt idx="18">
                  <c:v>1.4330453111800932</c:v>
                </c:pt>
                <c:pt idx="19">
                  <c:v>1.6335958512925897</c:v>
                </c:pt>
                <c:pt idx="20">
                  <c:v>1.8470467531818142</c:v>
                </c:pt>
                <c:pt idx="21">
                  <c:v>2.0732197145115308</c:v>
                </c:pt>
                <c:pt idx="22">
                  <c:v>2.3119359581045873</c:v>
                </c:pt>
                <c:pt idx="23">
                  <c:v>2.5630162416341902</c:v>
                </c:pt>
                <c:pt idx="24">
                  <c:v>2.8262808673070552</c:v>
                </c:pt>
                <c:pt idx="25">
                  <c:v>3.1015496915362473</c:v>
                </c:pt>
                <c:pt idx="26">
                  <c:v>3.3886421346015396</c:v>
                </c:pt>
                <c:pt idx="27">
                  <c:v>3.6874228307268293</c:v>
                </c:pt>
                <c:pt idx="28">
                  <c:v>3.9978473810024013</c:v>
                </c:pt>
                <c:pt idx="29">
                  <c:v>4.3199131395194454</c:v>
                </c:pt>
                <c:pt idx="30">
                  <c:v>4.6536172071448449</c:v>
                </c:pt>
                <c:pt idx="31">
                  <c:v>4.9989601612126009</c:v>
                </c:pt>
                <c:pt idx="32">
                  <c:v>5.3559424720361681</c:v>
                </c:pt>
                <c:pt idx="33">
                  <c:v>5.7245645047271552</c:v>
                </c:pt>
                <c:pt idx="34">
                  <c:v>6.1048265185892134</c:v>
                </c:pt>
                <c:pt idx="35">
                  <c:v>6.4967286665539499</c:v>
                </c:pt>
                <c:pt idx="36">
                  <c:v>6.9002709946546332</c:v>
                </c:pt>
                <c:pt idx="37">
                  <c:v>7.3154534415340731</c:v>
                </c:pt>
                <c:pt idx="38">
                  <c:v>7.7422758379835255</c:v>
                </c:pt>
                <c:pt idx="39">
                  <c:v>8.1807379065099113</c:v>
                </c:pt>
                <c:pt idx="40">
                  <c:v>8.6308392609289761</c:v>
                </c:pt>
                <c:pt idx="41">
                  <c:v>9.0925794059823275</c:v>
                </c:pt>
                <c:pt idx="42">
                  <c:v>9.5659577369765305</c:v>
                </c:pt>
                <c:pt idx="43">
                  <c:v>10.050973539442658</c:v>
                </c:pt>
                <c:pt idx="44">
                  <c:v>10.547625988814906</c:v>
                </c:pt>
                <c:pt idx="45">
                  <c:v>11.055914150126995</c:v>
                </c:pt>
                <c:pt idx="46">
                  <c:v>11.575836977725285</c:v>
                </c:pt>
                <c:pt idx="47">
                  <c:v>12.107393314997577</c:v>
                </c:pt>
                <c:pt idx="48">
                  <c:v>12.650581894116762</c:v>
                </c:pt>
                <c:pt idx="49">
                  <c:v>13.205401335798495</c:v>
                </c:pt>
                <c:pt idx="50">
                  <c:v>13.771850149072204</c:v>
                </c:pt>
                <c:pt idx="51">
                  <c:v>14.349926731064793</c:v>
                </c:pt>
                <c:pt idx="52">
                  <c:v>14.939629366796469</c:v>
                </c:pt>
                <c:pt idx="53">
                  <c:v>15.540956228988179</c:v>
                </c:pt>
                <c:pt idx="54">
                  <c:v>16.153905377880172</c:v>
                </c:pt>
                <c:pt idx="55">
                  <c:v>16.778474761061283</c:v>
                </c:pt>
                <c:pt idx="56">
                  <c:v>17.414662213308553</c:v>
                </c:pt>
                <c:pt idx="57">
                  <c:v>18.062465456436811</c:v>
                </c:pt>
                <c:pt idx="58">
                  <c:v>18.72188209915792</c:v>
                </c:pt>
                <c:pt idx="59">
                  <c:v>19.392909636949394</c:v>
                </c:pt>
                <c:pt idx="60">
                  <c:v>20.075545451932118</c:v>
                </c:pt>
                <c:pt idx="61">
                  <c:v>20.769786812756912</c:v>
                </c:pt>
                <c:pt idx="62">
                  <c:v>21.475630874499739</c:v>
                </c:pt>
                <c:pt idx="63">
                  <c:v>22.193074678565338</c:v>
                </c:pt>
                <c:pt idx="64">
                  <c:v>22.922115152599083</c:v>
                </c:pt>
                <c:pt idx="65">
                  <c:v>23.662749110406921</c:v>
                </c:pt>
                <c:pt idx="66">
                  <c:v>24.414973251883193</c:v>
                </c:pt>
                <c:pt idx="67">
                  <c:v>25.178784162946222</c:v>
                </c:pt>
                <c:pt idx="68">
                  <c:v>25.954178315481506</c:v>
                </c:pt>
                <c:pt idx="69">
                  <c:v>26.741152067292397</c:v>
                </c:pt>
                <c:pt idx="70">
                  <c:v>27.539701662058153</c:v>
                </c:pt>
                <c:pt idx="71">
                  <c:v>28.349823229299233</c:v>
                </c:pt>
                <c:pt idx="72">
                  <c:v>29.171512258083826</c:v>
                </c:pt>
                <c:pt idx="73">
                  <c:v>30.004763069772565</c:v>
                </c:pt>
                <c:pt idx="74">
                  <c:v>30.84956934302107</c:v>
                </c:pt>
                <c:pt idx="75">
                  <c:v>31.705924639788361</c:v>
                </c:pt>
                <c:pt idx="76">
                  <c:v>32.573822405397408</c:v>
                </c:pt>
                <c:pt idx="77">
                  <c:v>33.453255968602654</c:v>
                </c:pt>
                <c:pt idx="78">
                  <c:v>34.344218541664418</c:v>
                </c:pt>
                <c:pt idx="79">
                  <c:v>35.246703220430092</c:v>
                </c:pt>
                <c:pt idx="80">
                  <c:v>36.160702984422102</c:v>
                </c:pt>
                <c:pt idx="81">
                  <c:v>37.086210696932518</c:v>
                </c:pt>
                <c:pt idx="82">
                  <c:v>38.023219105124284</c:v>
                </c:pt>
                <c:pt idx="83">
                  <c:v>38.971720840139</c:v>
                </c:pt>
                <c:pt idx="84">
                  <c:v>39.931708417211176</c:v>
                </c:pt>
                <c:pt idx="85">
                  <c:v>40.903174235788939</c:v>
                </c:pt>
                <c:pt idx="86">
                  <c:v>41.8861105796611</c:v>
                </c:pt>
                <c:pt idx="87">
                  <c:v>42.880509617090574</c:v>
                </c:pt>
                <c:pt idx="88">
                  <c:v>43.886363400954053</c:v>
                </c:pt>
                <c:pt idx="89">
                  <c:v>44.903663868887918</c:v>
                </c:pt>
                <c:pt idx="90">
                  <c:v>45.93240284344035</c:v>
                </c:pt>
                <c:pt idx="91">
                  <c:v>46.972572032229557</c:v>
                </c:pt>
                <c:pt idx="92">
                  <c:v>48.024163028108106</c:v>
                </c:pt>
                <c:pt idx="93">
                  <c:v>49.087167309333324</c:v>
                </c:pt>
                <c:pt idx="94">
                  <c:v>50.161576239743674</c:v>
                </c:pt>
                <c:pt idx="95">
                  <c:v>51.247381068941131</c:v>
                </c:pt>
                <c:pt idx="96">
                  <c:v>52.344572932479487</c:v>
                </c:pt>
                <c:pt idx="97">
                  <c:v>53.453142852058527</c:v>
                </c:pt>
                <c:pt idx="98">
                  <c:v>54.573081735724081</c:v>
                </c:pt>
                <c:pt idx="99">
                  <c:v>55.704380378073886</c:v>
                </c:pt>
                <c:pt idx="100">
                  <c:v>56.847029460469216</c:v>
                </c:pt>
                <c:pt idx="101">
                  <c:v>58.001019551252256</c:v>
                </c:pt>
                <c:pt idx="102">
                  <c:v>59.166341105969195</c:v>
                </c:pt>
                <c:pt idx="103">
                  <c:v>60.342984467598995</c:v>
                </c:pt>
                <c:pt idx="104">
                  <c:v>61.530939866787755</c:v>
                </c:pt>
                <c:pt idx="105">
                  <c:v>62.730197422088715</c:v>
                </c:pt>
                <c:pt idx="106">
                  <c:v>63.940747140207819</c:v>
                </c:pt>
                <c:pt idx="107">
                  <c:v>65.162578916254773</c:v>
                </c:pt>
                <c:pt idx="108">
                  <c:v>66.395682533999675</c:v>
                </c:pt>
                <c:pt idx="109">
                  <c:v>67.64004766613499</c:v>
                </c:pt>
                <c:pt idx="110">
                  <c:v>68.895663874543061</c:v>
                </c:pt>
                <c:pt idx="111">
                  <c:v>70.162520610568976</c:v>
                </c:pt>
                <c:pt idx="112">
                  <c:v>71.440607215298755</c:v>
                </c:pt>
                <c:pt idx="113">
                  <c:v>72.729912919842917</c:v>
                </c:pt>
                <c:pt idx="114">
                  <c:v>74.0304268456253</c:v>
                </c:pt>
                <c:pt idx="115">
                  <c:v>75.342138004677139</c:v>
                </c:pt>
                <c:pt idx="116">
                  <c:v>76.66503529993642</c:v>
                </c:pt>
                <c:pt idx="117">
                  <c:v>77.999107525552333</c:v>
                </c:pt>
                <c:pt idx="118">
                  <c:v>79.344343367194924</c:v>
                </c:pt>
                <c:pt idx="119">
                  <c:v>80.700731402369897</c:v>
                </c:pt>
                <c:pt idx="120">
                  <c:v>82.068260100738428</c:v>
                </c:pt>
                <c:pt idx="121">
                  <c:v>83.446917824442096</c:v>
                </c:pt>
                <c:pt idx="122">
                  <c:v>84.836692828432788</c:v>
                </c:pt>
                <c:pt idx="123">
                  <c:v>86.237573260807565</c:v>
                </c:pt>
                <c:pt idx="124">
                  <c:v>87.649547163148554</c:v>
                </c:pt>
                <c:pt idx="125">
                  <c:v>89.07260247086765</c:v>
                </c:pt>
                <c:pt idx="126">
                  <c:v>90.506727013556144</c:v>
                </c:pt>
                <c:pt idx="127">
                  <c:v>91.951908515339184</c:v>
                </c:pt>
                <c:pt idx="128">
                  <c:v>93.408134595235055</c:v>
                </c:pt>
                <c:pt idx="129">
                  <c:v>94.875390311136059</c:v>
                </c:pt>
                <c:pt idx="130">
                  <c:v>96.353655700702035</c:v>
                </c:pt>
                <c:pt idx="131">
                  <c:v>97.842908235197584</c:v>
                </c:pt>
                <c:pt idx="132">
                  <c:v>99.343125276582242</c:v>
                </c:pt>
                <c:pt idx="133">
                  <c:v>100.85428407820518</c:v>
                </c:pt>
                <c:pt idx="134">
                  <c:v>102.37636178550432</c:v>
                </c:pt>
                <c:pt idx="135">
                  <c:v>103.90933543670967</c:v>
                </c:pt>
                <c:pt idx="136">
                  <c:v>105.45318196355095</c:v>
                </c:pt>
                <c:pt idx="137">
                  <c:v>107.00787819196927</c:v>
                </c:pt>
                <c:pt idx="138">
                  <c:v>108.57340084283292</c:v>
                </c:pt>
                <c:pt idx="139">
                  <c:v>110.14972653265716</c:v>
                </c:pt>
                <c:pt idx="140">
                  <c:v>111.73683177432785</c:v>
                </c:pt>
                <c:pt idx="141">
                  <c:v>113.33469297782908</c:v>
                </c:pt>
                <c:pt idx="142">
                  <c:v>114.94328645097441</c:v>
                </c:pt>
                <c:pt idx="143">
                  <c:v>116.56258840014196</c:v>
                </c:pt>
                <c:pt idx="144">
                  <c:v>118.19257493101301</c:v>
                </c:pt>
                <c:pt idx="145">
                  <c:v>119.83322204931429</c:v>
                </c:pt>
                <c:pt idx="146">
                  <c:v>121.4845056615636</c:v>
                </c:pt>
                <c:pt idx="147">
                  <c:v>123.14640157581906</c:v>
                </c:pt>
                <c:pt idx="148">
                  <c:v>124.81888550243146</c:v>
                </c:pt>
                <c:pt idx="149">
                  <c:v>126.50193305480009</c:v>
                </c:pt>
                <c:pt idx="150">
                  <c:v>128.19551975013169</c:v>
                </c:pt>
                <c:pt idx="151">
                  <c:v>129.89962101020248</c:v>
                </c:pt>
                <c:pt idx="152">
                  <c:v>131.61421216212335</c:v>
                </c:pt>
                <c:pt idx="153">
                  <c:v>133.33926843910797</c:v>
                </c:pt>
                <c:pt idx="154">
                  <c:v>135.07476498124382</c:v>
                </c:pt>
                <c:pt idx="155">
                  <c:v>136.82067683626607</c:v>
                </c:pt>
                <c:pt idx="156">
                  <c:v>138.57697896033426</c:v>
                </c:pt>
                <c:pt idx="157">
                  <c:v>140.34364621881156</c:v>
                </c:pt>
                <c:pt idx="158">
                  <c:v>142.12065338704687</c:v>
                </c:pt>
                <c:pt idx="159">
                  <c:v>143.90797515115923</c:v>
                </c:pt>
                <c:pt idx="160">
                  <c:v>145.70558610882495</c:v>
                </c:pt>
                <c:pt idx="161">
                  <c:v>147.51346077006687</c:v>
                </c:pt>
                <c:pt idx="162">
                  <c:v>149.33157355804627</c:v>
                </c:pt>
                <c:pt idx="163">
                  <c:v>151.15989880985683</c:v>
                </c:pt>
                <c:pt idx="164">
                  <c:v>152.9984107773208</c:v>
                </c:pt>
                <c:pt idx="165">
                  <c:v>154.84708362778741</c:v>
                </c:pt>
                <c:pt idx="166">
                  <c:v>156.70589144493326</c:v>
                </c:pt>
                <c:pt idx="167">
                  <c:v>158.57480822956464</c:v>
                </c:pt>
                <c:pt idx="168">
                  <c:v>160.45380790042185</c:v>
                </c:pt>
                <c:pt idx="169">
                  <c:v>162.34286429498536</c:v>
                </c:pt>
                <c:pt idx="170">
                  <c:v>164.24195117028367</c:v>
                </c:pt>
                <c:pt idx="171">
                  <c:v>166.15104220370281</c:v>
                </c:pt>
                <c:pt idx="172">
                  <c:v>168.0701109937977</c:v>
                </c:pt>
                <c:pt idx="173">
                  <c:v>169.99913106110483</c:v>
                </c:pt>
                <c:pt idx="174">
                  <c:v>171.93807584895654</c:v>
                </c:pt>
                <c:pt idx="175">
                  <c:v>173.88691872429666</c:v>
                </c:pt>
                <c:pt idx="176">
                  <c:v>175.84563297849755</c:v>
                </c:pt>
                <c:pt idx="177">
                  <c:v>177.81419182817839</c:v>
                </c:pt>
                <c:pt idx="178">
                  <c:v>179.79256841602469</c:v>
                </c:pt>
                <c:pt idx="179">
                  <c:v>181.78073581160885</c:v>
                </c:pt>
                <c:pt idx="180">
                  <c:v>183.77866701221194</c:v>
                </c:pt>
                <c:pt idx="181">
                  <c:v>185.78633494364632</c:v>
                </c:pt>
                <c:pt idx="182">
                  <c:v>187.80371246107936</c:v>
                </c:pt>
                <c:pt idx="183">
                  <c:v>189.8307723498578</c:v>
                </c:pt>
                <c:pt idx="184">
                  <c:v>191.86748732633311</c:v>
                </c:pt>
                <c:pt idx="185">
                  <c:v>193.91383003868748</c:v>
                </c:pt>
                <c:pt idx="186">
                  <c:v>195.96977306776049</c:v>
                </c:pt>
                <c:pt idx="187">
                  <c:v>198.03528892787631</c:v>
                </c:pt>
                <c:pt idx="188">
                  <c:v>200.11035006767145</c:v>
                </c:pt>
                <c:pt idx="189">
                  <c:v>202.19492887092306</c:v>
                </c:pt>
                <c:pt idx="190">
                  <c:v>204.28899765737751</c:v>
                </c:pt>
                <c:pt idx="191">
                  <c:v>206.39252868357926</c:v>
                </c:pt>
                <c:pt idx="192">
                  <c:v>208.50549414370008</c:v>
                </c:pt>
                <c:pt idx="193">
                  <c:v>210.62786617036846</c:v>
                </c:pt>
                <c:pt idx="194">
                  <c:v>212.75961683549909</c:v>
                </c:pt>
                <c:pt idx="195">
                  <c:v>214.90071815112233</c:v>
                </c:pt>
                <c:pt idx="196">
                  <c:v>217.0511420702139</c:v>
                </c:pt>
                <c:pt idx="197">
                  <c:v>219.21086048752423</c:v>
                </c:pt>
                <c:pt idx="198">
                  <c:v>221.37984524040786</c:v>
                </c:pt>
                <c:pt idx="199">
                  <c:v>223.55806810965257</c:v>
                </c:pt>
                <c:pt idx="200">
                  <c:v>225.74550082030828</c:v>
                </c:pt>
                <c:pt idx="201">
                  <c:v>227.94211504251555</c:v>
                </c:pt>
                <c:pt idx="202">
                  <c:v>230.14788239233383</c:v>
                </c:pt>
                <c:pt idx="203">
                  <c:v>232.36277443256904</c:v>
                </c:pt>
                <c:pt idx="204">
                  <c:v>234.58676267360093</c:v>
                </c:pt>
                <c:pt idx="205">
                  <c:v>236.81981857420953</c:v>
                </c:pt>
                <c:pt idx="206">
                  <c:v>239.06191293311676</c:v>
                </c:pt>
                <c:pt idx="207">
                  <c:v>241.31301528033208</c:v>
                </c:pt>
                <c:pt idx="208">
                  <c:v>243.57309448764053</c:v>
                </c:pt>
                <c:pt idx="209">
                  <c:v>245.84211937932093</c:v>
                </c:pt>
                <c:pt idx="210">
                  <c:v>248.12005873304085</c:v>
                </c:pt>
                <c:pt idx="211">
                  <c:v>250.40688128075013</c:v>
                </c:pt>
                <c:pt idx="212">
                  <c:v>252.70255570957312</c:v>
                </c:pt>
                <c:pt idx="213">
                  <c:v>255.00705066269913</c:v>
                </c:pt>
                <c:pt idx="214">
                  <c:v>257.32033474027162</c:v>
                </c:pt>
                <c:pt idx="215">
                  <c:v>259.64237650027547</c:v>
                </c:pt>
                <c:pt idx="216">
                  <c:v>261.97314445942271</c:v>
                </c:pt>
                <c:pt idx="217">
                  <c:v>264.31260709403642</c:v>
                </c:pt>
                <c:pt idx="218">
                  <c:v>266.66073284093289</c:v>
                </c:pt>
                <c:pt idx="219">
                  <c:v>269.01749009830166</c:v>
                </c:pt>
                <c:pt idx="220">
                  <c:v>271.38284722658398</c:v>
                </c:pt>
                <c:pt idx="221">
                  <c:v>273.75677254934885</c:v>
                </c:pt>
                <c:pt idx="222">
                  <c:v>276.1392343541674</c:v>
                </c:pt>
                <c:pt idx="223">
                  <c:v>278.53020089348485</c:v>
                </c:pt>
                <c:pt idx="224">
                  <c:v>280.92964038549042</c:v>
                </c:pt>
                <c:pt idx="225">
                  <c:v>283.33752101498487</c:v>
                </c:pt>
                <c:pt idx="226">
                  <c:v>285.75381093424608</c:v>
                </c:pt>
                <c:pt idx="227">
                  <c:v>288.1784782638918</c:v>
                </c:pt>
                <c:pt idx="228">
                  <c:v>290.61149109374037</c:v>
                </c:pt>
                <c:pt idx="229">
                  <c:v>293.05281748366883</c:v>
                </c:pt>
                <c:pt idx="230">
                  <c:v>295.50242546446856</c:v>
                </c:pt>
                <c:pt idx="231">
                  <c:v>297.96028303869832</c:v>
                </c:pt>
                <c:pt idx="232">
                  <c:v>300.42635818153468</c:v>
                </c:pt>
                <c:pt idx="233">
                  <c:v>302.90061884161969</c:v>
                </c:pt>
                <c:pt idx="234">
                  <c:v>305.38303294190615</c:v>
                </c:pt>
                <c:pt idx="235">
                  <c:v>307.87356838049959</c:v>
                </c:pt>
                <c:pt idx="236">
                  <c:v>310.37219303149789</c:v>
                </c:pt>
                <c:pt idx="237">
                  <c:v>312.87887474582777</c:v>
                </c:pt>
                <c:pt idx="238">
                  <c:v>315.39358135207857</c:v>
                </c:pt>
                <c:pt idx="239">
                  <c:v>317.91628065733266</c:v>
                </c:pt>
                <c:pt idx="240">
                  <c:v>320.44694044799326</c:v>
                </c:pt>
                <c:pt idx="241">
                  <c:v>322.98552849060906</c:v>
                </c:pt>
                <c:pt idx="242">
                  <c:v>325.53201040899722</c:v>
                </c:pt>
                <c:pt idx="243">
                  <c:v>328.08634756159699</c:v>
                </c:pt>
                <c:pt idx="244">
                  <c:v>330.64849916902807</c:v>
                </c:pt>
                <c:pt idx="245">
                  <c:v>333.21842444153123</c:v>
                </c:pt>
                <c:pt idx="246">
                  <c:v>335.79608258001269</c:v>
                </c:pt>
                <c:pt idx="247">
                  <c:v>338.38143277708326</c:v>
                </c:pt>
                <c:pt idx="248">
                  <c:v>340.97443421809157</c:v>
                </c:pt>
                <c:pt idx="249">
                  <c:v>343.57504608215203</c:v>
                </c:pt>
                <c:pt idx="250">
                  <c:v>346.18322754316677</c:v>
                </c:pt>
                <c:pt idx="251">
                  <c:v>348.79893777084214</c:v>
                </c:pt>
                <c:pt idx="252">
                  <c:v>351.42213593169924</c:v>
                </c:pt>
                <c:pt idx="253">
                  <c:v>354.05278119007863</c:v>
                </c:pt>
                <c:pt idx="254">
                  <c:v>356.69083270913922</c:v>
                </c:pt>
                <c:pt idx="255">
                  <c:v>359.33624965185123</c:v>
                </c:pt>
                <c:pt idx="256">
                  <c:v>361.98899118198324</c:v>
                </c:pt>
                <c:pt idx="257">
                  <c:v>364.64901646508298</c:v>
                </c:pt>
                <c:pt idx="258">
                  <c:v>367.31628466945227</c:v>
                </c:pt>
                <c:pt idx="259">
                  <c:v>369.99075496711589</c:v>
                </c:pt>
                <c:pt idx="260">
                  <c:v>372.67238653478415</c:v>
                </c:pt>
                <c:pt idx="261">
                  <c:v>375.36113855480926</c:v>
                </c:pt>
                <c:pt idx="262">
                  <c:v>378.05697021613571</c:v>
                </c:pt>
                <c:pt idx="263">
                  <c:v>380.75984071524414</c:v>
                </c:pt>
                <c:pt idx="264">
                  <c:v>383.46970925708894</c:v>
                </c:pt>
                <c:pt idx="265">
                  <c:v>386.1865350560297</c:v>
                </c:pt>
                <c:pt idx="266">
                  <c:v>388.910277336756</c:v>
                </c:pt>
                <c:pt idx="267">
                  <c:v>391.6408953352061</c:v>
                </c:pt>
                <c:pt idx="268">
                  <c:v>394.37834829947883</c:v>
                </c:pt>
                <c:pt idx="269">
                  <c:v>397.1225954907394</c:v>
                </c:pt>
                <c:pt idx="270">
                  <c:v>399.87359618411836</c:v>
                </c:pt>
                <c:pt idx="271">
                  <c:v>402.63130966960426</c:v>
                </c:pt>
                <c:pt idx="272">
                  <c:v>405.39569525292961</c:v>
                </c:pt>
                <c:pt idx="273">
                  <c:v>408.16671225645035</c:v>
                </c:pt>
                <c:pt idx="274">
                  <c:v>410.94432002001861</c:v>
                </c:pt>
                <c:pt idx="275">
                  <c:v>413.72847790184875</c:v>
                </c:pt>
                <c:pt idx="276">
                  <c:v>416.51914527937703</c:v>
                </c:pt>
                <c:pt idx="277">
                  <c:v>419.3162815501143</c:v>
                </c:pt>
                <c:pt idx="278">
                  <c:v>422.11984613249206</c:v>
                </c:pt>
                <c:pt idx="279">
                  <c:v>424.9297984667017</c:v>
                </c:pt>
                <c:pt idx="280">
                  <c:v>427.74609801552714</c:v>
                </c:pt>
                <c:pt idx="281">
                  <c:v>430.56870426517065</c:v>
                </c:pt>
                <c:pt idx="282">
                  <c:v>433.39757672607175</c:v>
                </c:pt>
                <c:pt idx="283">
                  <c:v>436.23267493371935</c:v>
                </c:pt>
                <c:pt idx="284">
                  <c:v>439.07396096575485</c:v>
                </c:pt>
                <c:pt idx="285">
                  <c:v>441.92140195746595</c:v>
                </c:pt>
                <c:pt idx="286">
                  <c:v>444.77496758027593</c:v>
                </c:pt>
                <c:pt idx="287">
                  <c:v>447.63462752171773</c:v>
                </c:pt>
                <c:pt idx="288">
                  <c:v>450.50035148599227</c:v>
                </c:pt>
                <c:pt idx="289">
                  <c:v>453.37210919452264</c:v>
                </c:pt>
                <c:pt idx="290">
                  <c:v>456.2498703865042</c:v>
                </c:pt>
                <c:pt idx="291">
                  <c:v>459.13360481945074</c:v>
                </c:pt>
                <c:pt idx="292">
                  <c:v>462.023282269736</c:v>
                </c:pt>
                <c:pt idx="293">
                  <c:v>464.91887253313138</c:v>
                </c:pt>
                <c:pt idx="294">
                  <c:v>467.8203454253395</c:v>
                </c:pt>
                <c:pt idx="295">
                  <c:v>470.72767078252326</c:v>
                </c:pt>
                <c:pt idx="296">
                  <c:v>473.64081846183109</c:v>
                </c:pt>
                <c:pt idx="297">
                  <c:v>476.5597583419177</c:v>
                </c:pt>
                <c:pt idx="298">
                  <c:v>479.48446032346072</c:v>
                </c:pt>
                <c:pt idx="299">
                  <c:v>482.41489432967325</c:v>
                </c:pt>
                <c:pt idx="300">
                  <c:v>485.35103030681199</c:v>
                </c:pt>
                <c:pt idx="301">
                  <c:v>488.29283822468119</c:v>
                </c:pt>
                <c:pt idx="302">
                  <c:v>491.24028807713245</c:v>
                </c:pt>
                <c:pt idx="303">
                  <c:v>494.19334988256031</c:v>
                </c:pt>
                <c:pt idx="304">
                  <c:v>497.15199368439346</c:v>
                </c:pt>
                <c:pt idx="305">
                  <c:v>500.11618955158167</c:v>
                </c:pt>
                <c:pt idx="306">
                  <c:v>503.08590757907876</c:v>
                </c:pt>
                <c:pt idx="307">
                  <c:v>506.06111788832106</c:v>
                </c:pt>
                <c:pt idx="308">
                  <c:v>509.04179062770157</c:v>
                </c:pt>
                <c:pt idx="309">
                  <c:v>512.02789597304024</c:v>
                </c:pt>
                <c:pt idx="310">
                  <c:v>515.01940412804936</c:v>
                </c:pt>
                <c:pt idx="311">
                  <c:v>518.01628532479538</c:v>
                </c:pt>
                <c:pt idx="312">
                  <c:v>521.0185098241559</c:v>
                </c:pt>
                <c:pt idx="313">
                  <c:v>524.026047916273</c:v>
                </c:pt>
                <c:pt idx="314">
                  <c:v>527.03886992100161</c:v>
                </c:pt>
                <c:pt idx="315">
                  <c:v>530.05694618835412</c:v>
                </c:pt>
                <c:pt idx="316">
                  <c:v>533.08024709894062</c:v>
                </c:pt>
                <c:pt idx="317">
                  <c:v>536.10874306440451</c:v>
                </c:pt>
                <c:pt idx="318">
                  <c:v>539.14240452785464</c:v>
                </c:pt>
                <c:pt idx="319">
                  <c:v>542.18120196429254</c:v>
                </c:pt>
                <c:pt idx="320">
                  <c:v>545.22510588103557</c:v>
                </c:pt>
                <c:pt idx="321">
                  <c:v>548.27408681813574</c:v>
                </c:pt>
                <c:pt idx="322">
                  <c:v>551.32811534879465</c:v>
                </c:pt>
                <c:pt idx="323">
                  <c:v>554.38716207977359</c:v>
                </c:pt>
                <c:pt idx="324">
                  <c:v>557.45119765180004</c:v>
                </c:pt>
                <c:pt idx="325">
                  <c:v>560.52019273996939</c:v>
                </c:pt>
                <c:pt idx="326">
                  <c:v>563.59411821005699</c:v>
                </c:pt>
                <c:pt idx="327">
                  <c:v>566.67294527466584</c:v>
                </c:pt>
                <c:pt idx="328">
                  <c:v>569.75664533721852</c:v>
                </c:pt>
                <c:pt idx="329">
                  <c:v>572.84518983609951</c:v>
                </c:pt>
                <c:pt idx="330">
                  <c:v>575.93855024502682</c:v>
                </c:pt>
                <c:pt idx="331">
                  <c:v>579.03669807341885</c:v>
                </c:pt>
                <c:pt idx="332">
                  <c:v>582.13960486675751</c:v>
                </c:pt>
                <c:pt idx="333">
                  <c:v>585.24724220694736</c:v>
                </c:pt>
                <c:pt idx="334">
                  <c:v>588.35958171267043</c:v>
                </c:pt>
                <c:pt idx="335">
                  <c:v>591.47659503973739</c:v>
                </c:pt>
                <c:pt idx="336">
                  <c:v>594.59825388143463</c:v>
                </c:pt>
                <c:pt idx="337">
                  <c:v>597.72452996886682</c:v>
                </c:pt>
                <c:pt idx="338">
                  <c:v>600.85539507129636</c:v>
                </c:pt>
                <c:pt idx="339">
                  <c:v>603.99082099647808</c:v>
                </c:pt>
                <c:pt idx="340">
                  <c:v>607.13077959099007</c:v>
                </c:pt>
                <c:pt idx="341">
                  <c:v>610.27524274056111</c:v>
                </c:pt>
                <c:pt idx="342">
                  <c:v>613.4241823703934</c:v>
                </c:pt>
                <c:pt idx="343">
                  <c:v>616.57757044548168</c:v>
                </c:pt>
                <c:pt idx="344">
                  <c:v>619.73537897092842</c:v>
                </c:pt>
                <c:pt idx="345">
                  <c:v>622.89757999225515</c:v>
                </c:pt>
                <c:pt idx="346">
                  <c:v>626.06414559570942</c:v>
                </c:pt>
                <c:pt idx="347">
                  <c:v>629.23504790856862</c:v>
                </c:pt>
                <c:pt idx="348">
                  <c:v>632.4102590994388</c:v>
                </c:pt>
                <c:pt idx="349">
                  <c:v>635.58975137855089</c:v>
                </c:pt>
                <c:pt idx="350">
                  <c:v>638.773496998052</c:v>
                </c:pt>
                <c:pt idx="351">
                  <c:v>641.96146825229323</c:v>
                </c:pt>
                <c:pt idx="352">
                  <c:v>645.15363747811364</c:v>
                </c:pt>
                <c:pt idx="353">
                  <c:v>648.34997705512046</c:v>
                </c:pt>
                <c:pt idx="354">
                  <c:v>651.5504594059654</c:v>
                </c:pt>
                <c:pt idx="355">
                  <c:v>654.75505699661676</c:v>
                </c:pt>
                <c:pt idx="356">
                  <c:v>657.96374233662834</c:v>
                </c:pt>
                <c:pt idx="357">
                  <c:v>661.17648797940421</c:v>
                </c:pt>
                <c:pt idx="358">
                  <c:v>664.39326652245984</c:v>
                </c:pt>
                <c:pt idx="359">
                  <c:v>667.61405060767913</c:v>
                </c:pt>
                <c:pt idx="360">
                  <c:v>670.83881292156821</c:v>
                </c:pt>
                <c:pt idx="361">
                  <c:v>674.06752619550502</c:v>
                </c:pt>
                <c:pt idx="362">
                  <c:v>677.30016320598543</c:v>
                </c:pt>
                <c:pt idx="363">
                  <c:v>680.53669677486562</c:v>
                </c:pt>
                <c:pt idx="364">
                  <c:v>683.77709976960057</c:v>
                </c:pt>
                <c:pt idx="365">
                  <c:v>687.02134510347923</c:v>
                </c:pt>
                <c:pt idx="366">
                  <c:v>690.26940971924967</c:v>
                </c:pt>
                <c:pt idx="367">
                  <c:v>693.52127856737684</c:v>
                </c:pt>
                <c:pt idx="368">
                  <c:v>696.77694060822057</c:v>
                </c:pt>
                <c:pt idx="369">
                  <c:v>700.03638481950395</c:v>
                </c:pt>
                <c:pt idx="370">
                  <c:v>703.29960019639248</c:v>
                </c:pt>
                <c:pt idx="371">
                  <c:v>706.56657575157203</c:v>
                </c:pt>
                <c:pt idx="372">
                  <c:v>709.83730051532598</c:v>
                </c:pt>
                <c:pt idx="373">
                  <c:v>713.11176353561132</c:v>
                </c:pt>
                <c:pt idx="374">
                  <c:v>716.38995387813452</c:v>
                </c:pt>
                <c:pt idx="375">
                  <c:v>719.67186062642566</c:v>
                </c:pt>
                <c:pt idx="376">
                  <c:v>722.95747288191239</c:v>
                </c:pt>
                <c:pt idx="377">
                  <c:v>726.24677976399289</c:v>
                </c:pt>
                <c:pt idx="378">
                  <c:v>729.53977041010774</c:v>
                </c:pt>
                <c:pt idx="379">
                  <c:v>732.83643397581136</c:v>
                </c:pt>
                <c:pt idx="380">
                  <c:v>736.13675963484229</c:v>
                </c:pt>
                <c:pt idx="381">
                  <c:v>739.4407322675703</c:v>
                </c:pt>
                <c:pt idx="382">
                  <c:v>742.74832815552952</c:v>
                </c:pt>
                <c:pt idx="383">
                  <c:v>746.05951930953643</c:v>
                </c:pt>
                <c:pt idx="384">
                  <c:v>749.37427779178961</c:v>
                </c:pt>
                <c:pt idx="385">
                  <c:v>752.69257571607443</c:v>
                </c:pt>
                <c:pt idx="386">
                  <c:v>756.01438524796424</c:v>
                </c:pt>
                <c:pt idx="387">
                  <c:v>759.33967860501718</c:v>
                </c:pt>
                <c:pt idx="388">
                  <c:v>762.66842805697013</c:v>
                </c:pt>
                <c:pt idx="389">
                  <c:v>766.00060592592774</c:v>
                </c:pt>
                <c:pt idx="390">
                  <c:v>769.33618458654894</c:v>
                </c:pt>
                <c:pt idx="391">
                  <c:v>772.67513646622876</c:v>
                </c:pt>
                <c:pt idx="392">
                  <c:v>776.01743404527701</c:v>
                </c:pt>
                <c:pt idx="393">
                  <c:v>779.36304985709285</c:v>
                </c:pt>
                <c:pt idx="394">
                  <c:v>782.71195648833623</c:v>
                </c:pt>
                <c:pt idx="395">
                  <c:v>786.06412657909539</c:v>
                </c:pt>
                <c:pt idx="396">
                  <c:v>789.41953282305042</c:v>
                </c:pt>
                <c:pt idx="397">
                  <c:v>792.77814796763391</c:v>
                </c:pt>
                <c:pt idx="398">
                  <c:v>796.13994481418752</c:v>
                </c:pt>
                <c:pt idx="399">
                  <c:v>799.50489621811505</c:v>
                </c:pt>
                <c:pt idx="400">
                  <c:v>802.87297508903237</c:v>
                </c:pt>
                <c:pt idx="401">
                  <c:v>806.24415099410623</c:v>
                </c:pt>
                <c:pt idx="402">
                  <c:v>809.6183867667138</c:v>
                </c:pt>
                <c:pt idx="403">
                  <c:v>812.99564191727802</c:v>
                </c:pt>
                <c:pt idx="404">
                  <c:v>816.37587603884538</c:v>
                </c:pt>
                <c:pt idx="405">
                  <c:v>819.75904880735732</c:v>
                </c:pt>
                <c:pt idx="406">
                  <c:v>823.14511998191347</c:v>
                </c:pt>
                <c:pt idx="407">
                  <c:v>826.53404940502912</c:v>
                </c:pt>
                <c:pt idx="408">
                  <c:v>829.92579700288445</c:v>
                </c:pt>
                <c:pt idx="409">
                  <c:v>833.3203227855679</c:v>
                </c:pt>
                <c:pt idx="410">
                  <c:v>836.71758684731185</c:v>
                </c:pt>
                <c:pt idx="411">
                  <c:v>840.1175305855686</c:v>
                </c:pt>
                <c:pt idx="412">
                  <c:v>843.52005795171067</c:v>
                </c:pt>
                <c:pt idx="413">
                  <c:v>846.92505431313396</c:v>
                </c:pt>
                <c:pt idx="414">
                  <c:v>850.33240528453723</c:v>
                </c:pt>
                <c:pt idx="415">
                  <c:v>853.7419967297285</c:v>
                </c:pt>
                <c:pt idx="416">
                  <c:v>857.15371476338169</c:v>
                </c:pt>
                <c:pt idx="417">
                  <c:v>860.5674457527424</c:v>
                </c:pt>
                <c:pt idx="418">
                  <c:v>863.98307631928424</c:v>
                </c:pt>
                <c:pt idx="419">
                  <c:v>867.40049334031517</c:v>
                </c:pt>
                <c:pt idx="420">
                  <c:v>870.81957326204031</c:v>
                </c:pt>
                <c:pt idx="421">
                  <c:v>874.24017143316973</c:v>
                </c:pt>
                <c:pt idx="422">
                  <c:v>877.6621328450459</c:v>
                </c:pt>
                <c:pt idx="423">
                  <c:v>881.0853028518743</c:v>
                </c:pt>
                <c:pt idx="424">
                  <c:v>884.50952717355756</c:v>
                </c:pt>
                <c:pt idx="425">
                  <c:v>887.93465189843914</c:v>
                </c:pt>
                <c:pt idx="426">
                  <c:v>891.3605234859582</c:v>
                </c:pt>
                <c:pt idx="427">
                  <c:v>894.7869887692143</c:v>
                </c:pt>
                <c:pt idx="428">
                  <c:v>898.21389495744484</c:v>
                </c:pt>
                <c:pt idx="429">
                  <c:v>901.6410896384142</c:v>
                </c:pt>
                <c:pt idx="430">
                  <c:v>905.06842078071634</c:v>
                </c:pt>
                <c:pt idx="431">
                  <c:v>908.49573673599082</c:v>
                </c:pt>
                <c:pt idx="432">
                  <c:v>911.92286901082491</c:v>
                </c:pt>
                <c:pt idx="433">
                  <c:v>915.34961507862499</c:v>
                </c:pt>
                <c:pt idx="434">
                  <c:v>918.77575570328543</c:v>
                </c:pt>
                <c:pt idx="435">
                  <c:v>922.20107222423758</c:v>
                </c:pt>
                <c:pt idx="436">
                  <c:v>925.62534656122943</c:v>
                </c:pt>
                <c:pt idx="437">
                  <c:v>929.04836121892822</c:v>
                </c:pt>
                <c:pt idx="438">
                  <c:v>932.46989929134531</c:v>
                </c:pt>
                <c:pt idx="439">
                  <c:v>935.88974446608654</c:v>
                </c:pt>
                <c:pt idx="440">
                  <c:v>939.30768102842853</c:v>
                </c:pt>
                <c:pt idx="441">
                  <c:v>942.72349386522285</c:v>
                </c:pt>
                <c:pt idx="442">
                  <c:v>946.13697893422545</c:v>
                </c:pt>
                <c:pt idx="443">
                  <c:v>949.54795370440308</c:v>
                </c:pt>
                <c:pt idx="444">
                  <c:v>952.95624663154194</c:v>
                </c:pt>
                <c:pt idx="445">
                  <c:v>956.36168666172034</c:v>
                </c:pt>
                <c:pt idx="446">
                  <c:v>959.76410323275718</c:v>
                </c:pt>
                <c:pt idx="447">
                  <c:v>963.16332627555823</c:v>
                </c:pt>
                <c:pt idx="448">
                  <c:v>966.55918621536193</c:v>
                </c:pt>
                <c:pt idx="449">
                  <c:v>969.95151397288544</c:v>
                </c:pt>
                <c:pt idx="450">
                  <c:v>973.34014096537271</c:v>
                </c:pt>
                <c:pt idx="451">
                  <c:v>976.72489910754462</c:v>
                </c:pt>
                <c:pt idx="452">
                  <c:v>980.10562081245394</c:v>
                </c:pt>
                <c:pt idx="453">
                  <c:v>983.48215397757838</c:v>
                </c:pt>
                <c:pt idx="454">
                  <c:v>986.85437692458504</c:v>
                </c:pt>
                <c:pt idx="455">
                  <c:v>990.22218331897454</c:v>
                </c:pt>
                <c:pt idx="456">
                  <c:v>993.58546713534849</c:v>
                </c:pt>
                <c:pt idx="457">
                  <c:v>996.94412265679148</c:v>
                </c:pt>
                <c:pt idx="458">
                  <c:v>1000.2980444742217</c:v>
                </c:pt>
                <c:pt idx="459">
                  <c:v>1003.6471274857109</c:v>
                </c:pt>
                <c:pt idx="460">
                  <c:v>1006.9912668957747</c:v>
                </c:pt>
                <c:pt idx="461">
                  <c:v>1010.3303716988762</c:v>
                </c:pt>
                <c:pt idx="462">
                  <c:v>1013.6643781196631</c:v>
                </c:pt>
                <c:pt idx="463">
                  <c:v>1016.9932360401639</c:v>
                </c:pt>
                <c:pt idx="464">
                  <c:v>1020.3168954702556</c:v>
                </c:pt>
                <c:pt idx="465">
                  <c:v>1023.6353065469464</c:v>
                </c:pt>
                <c:pt idx="466">
                  <c:v>1026.9484082064639</c:v>
                </c:pt>
                <c:pt idx="467">
                  <c:v>1030.256116893034</c:v>
                </c:pt>
                <c:pt idx="468">
                  <c:v>1033.5582118204468</c:v>
                </c:pt>
                <c:pt idx="469">
                  <c:v>1036.8543749797363</c:v>
                </c:pt>
                <c:pt idx="470">
                  <c:v>1040.1444719614792</c:v>
                </c:pt>
                <c:pt idx="471">
                  <c:v>1043.4285231193505</c:v>
                </c:pt>
                <c:pt idx="472">
                  <c:v>1046.7065486942458</c:v>
                </c:pt>
                <c:pt idx="473">
                  <c:v>1049.9785688151203</c:v>
                </c:pt>
                <c:pt idx="474">
                  <c:v>1053.2446034998193</c:v>
                </c:pt>
                <c:pt idx="475">
                  <c:v>1056.5046726559019</c:v>
                </c:pt>
                <c:pt idx="476">
                  <c:v>1059.7587960814574</c:v>
                </c:pt>
                <c:pt idx="477">
                  <c:v>1063.0069934659123</c:v>
                </c:pt>
                <c:pt idx="478">
                  <c:v>1066.2492843908319</c:v>
                </c:pt>
                <c:pt idx="479">
                  <c:v>1069.4856883307134</c:v>
                </c:pt>
                <c:pt idx="480">
                  <c:v>1072.716224653771</c:v>
                </c:pt>
                <c:pt idx="481">
                  <c:v>1075.9409126227156</c:v>
                </c:pt>
                <c:pt idx="482">
                  <c:v>1079.1597713955259</c:v>
                </c:pt>
                <c:pt idx="483">
                  <c:v>1082.3728200262124</c:v>
                </c:pt>
                <c:pt idx="484">
                  <c:v>1085.5800774655752</c:v>
                </c:pt>
                <c:pt idx="485">
                  <c:v>1088.7815625619544</c:v>
                </c:pt>
                <c:pt idx="486">
                  <c:v>1091.9772940619735</c:v>
                </c:pt>
                <c:pt idx="487">
                  <c:v>1095.1672906112763</c:v>
                </c:pt>
                <c:pt idx="488">
                  <c:v>1098.3515707552569</c:v>
                </c:pt>
                <c:pt idx="489">
                  <c:v>1101.5301529397839</c:v>
                </c:pt>
                <c:pt idx="490">
                  <c:v>1104.7030555119154</c:v>
                </c:pt>
                <c:pt idx="491">
                  <c:v>1107.8702967206116</c:v>
                </c:pt>
                <c:pt idx="492">
                  <c:v>1111.0318947174371</c:v>
                </c:pt>
                <c:pt idx="493">
                  <c:v>1114.1878675572598</c:v>
                </c:pt>
                <c:pt idx="494">
                  <c:v>1117.338233198941</c:v>
                </c:pt>
                <c:pt idx="495">
                  <c:v>1120.4830095060213</c:v>
                </c:pt>
                <c:pt idx="496">
                  <c:v>1123.6222142473996</c:v>
                </c:pt>
                <c:pt idx="497">
                  <c:v>1126.7558650980054</c:v>
                </c:pt>
                <c:pt idx="498">
                  <c:v>1129.8839796394664</c:v>
                </c:pt>
                <c:pt idx="499">
                  <c:v>1133.0065753607689</c:v>
                </c:pt>
                <c:pt idx="500">
                  <c:v>1136.1236696589131</c:v>
                </c:pt>
                <c:pt idx="501">
                  <c:v>1166.9933745316325</c:v>
                </c:pt>
                <c:pt idx="502">
                  <c:v>1197.324024968339</c:v>
                </c:pt>
                <c:pt idx="503">
                  <c:v>1227.1321752253491</c:v>
                </c:pt>
                <c:pt idx="504">
                  <c:v>1256.4335402738652</c:v>
                </c:pt>
                <c:pt idx="505">
                  <c:v>1285.2430521758179</c:v>
                </c:pt>
                <c:pt idx="506">
                  <c:v>1313.5749117582604</c:v>
                </c:pt>
                <c:pt idx="507">
                  <c:v>1341.4426360519772</c:v>
                </c:pt>
                <c:pt idx="508">
                  <c:v>1368.8591019067758</c:v>
                </c:pt>
                <c:pt idx="509">
                  <c:v>1395.8365861496115</c:v>
                </c:pt>
                <c:pt idx="510">
                  <c:v>1422.3868026112341</c:v>
                </c:pt>
                <c:pt idx="511">
                  <c:v>1448.5209363116428</c:v>
                </c:pt>
                <c:pt idx="512">
                  <c:v>1474.2496750635746</c:v>
                </c:pt>
                <c:pt idx="513">
                  <c:v>1499.5832387259472</c:v>
                </c:pt>
                <c:pt idx="514">
                  <c:v>1524.5314063151184</c:v>
                </c:pt>
                <c:pt idx="515">
                  <c:v>1549.1035411605933</c:v>
                </c:pt>
                <c:pt idx="516">
                  <c:v>1573.3086142730256</c:v>
                </c:pt>
                <c:pt idx="517">
                  <c:v>1597.1552260757098</c:v>
                </c:pt>
                <c:pt idx="518">
                  <c:v>1620.6516266359888</c:v>
                </c:pt>
                <c:pt idx="519">
                  <c:v>1643.8057345198495</c:v>
                </c:pt>
                <c:pt idx="520">
                  <c:v>1666.6251543812725</c:v>
                </c:pt>
                <c:pt idx="521">
                  <c:v>1689.1171933874439</c:v>
                </c:pt>
                <c:pt idx="522">
                  <c:v>1711.2888765715952</c:v>
                </c:pt>
                <c:pt idx="523">
                  <c:v>1733.1469611968694</c:v>
                </c:pt>
                <c:pt idx="524">
                  <c:v>1754.6979502071074</c:v>
                </c:pt>
                <c:pt idx="525">
                  <c:v>1775.9481048337102</c:v>
                </c:pt>
                <c:pt idx="526">
                  <c:v>1796.9034564216686</c:v>
                </c:pt>
                <c:pt idx="527">
                  <c:v>1817.5698175323955</c:v>
                </c:pt>
                <c:pt idx="528">
                  <c:v>1837.95279237607</c:v>
                </c:pt>
                <c:pt idx="529">
                  <c:v>1858.0577866217511</c:v>
                </c:pt>
                <c:pt idx="530">
                  <c:v>1877.8900166295027</c:v>
                </c:pt>
                <c:pt idx="531">
                  <c:v>1897.4545181451226</c:v>
                </c:pt>
                <c:pt idx="532">
                  <c:v>1916.7561544947685</c:v>
                </c:pt>
                <c:pt idx="533">
                  <c:v>1935.7996243137759</c:v>
                </c:pt>
                <c:pt idx="534">
                  <c:v>1954.5894688412363</c:v>
                </c:pt>
                <c:pt idx="535">
                  <c:v>1973.1300788094265</c:v>
                </c:pt>
                <c:pt idx="536">
                  <c:v>1991.4257009549181</c:v>
                </c:pt>
                <c:pt idx="537">
                  <c:v>2009.4804441761401</c:v>
                </c:pt>
                <c:pt idx="538">
                  <c:v>2027.2982853602853</c:v>
                </c:pt>
                <c:pt idx="539">
                  <c:v>2044.8830749007318</c:v>
                </c:pt>
                <c:pt idx="540">
                  <c:v>2062.2385419245788</c:v>
                </c:pt>
                <c:pt idx="541">
                  <c:v>2079.3682992484605</c:v>
                </c:pt>
                <c:pt idx="542">
                  <c:v>2096.2758480794728</c:v>
                </c:pt>
                <c:pt idx="543">
                  <c:v>2112.9645824768481</c:v>
                </c:pt>
                <c:pt idx="544">
                  <c:v>2129.4377935888911</c:v>
                </c:pt>
                <c:pt idx="545">
                  <c:v>2145.6986736786735</c:v>
                </c:pt>
                <c:pt idx="546">
                  <c:v>2161.7503199510402</c:v>
                </c:pt>
                <c:pt idx="547">
                  <c:v>2177.5957381926164</c:v>
                </c:pt>
                <c:pt idx="548">
                  <c:v>2193.2378462357037</c:v>
                </c:pt>
                <c:pt idx="549">
                  <c:v>2208.6794772562225</c:v>
                </c:pt>
                <c:pt idx="550">
                  <c:v>2223.9233829151676</c:v>
                </c:pt>
                <c:pt idx="551">
                  <c:v>2238.9722363524293</c:v>
                </c:pt>
                <c:pt idx="552">
                  <c:v>2253.82863504124</c:v>
                </c:pt>
                <c:pt idx="553">
                  <c:v>2268.4951035109739</c:v>
                </c:pt>
                <c:pt idx="554">
                  <c:v>2282.9740959455289</c:v>
                </c:pt>
                <c:pt idx="555">
                  <c:v>2297.2679986640587</c:v>
                </c:pt>
                <c:pt idx="556">
                  <c:v>2311.3791324903946</c:v>
                </c:pt>
                <c:pt idx="557">
                  <c:v>2325.3097550170955</c:v>
                </c:pt>
                <c:pt idx="558">
                  <c:v>2339.0620627697062</c:v>
                </c:pt>
                <c:pt idx="559">
                  <c:v>2352.6381932764475</c:v>
                </c:pt>
                <c:pt idx="560">
                  <c:v>2366.0402270482532</c:v>
                </c:pt>
                <c:pt idx="561">
                  <c:v>2379.2701894737665</c:v>
                </c:pt>
                <c:pt idx="562">
                  <c:v>2392.3300526336361</c:v>
                </c:pt>
                <c:pt idx="563">
                  <c:v>2405.2217370381873</c:v>
                </c:pt>
                <c:pt idx="564">
                  <c:v>2417.9471132923145</c:v>
                </c:pt>
                <c:pt idx="565">
                  <c:v>2430.508003691205</c:v>
                </c:pt>
                <c:pt idx="566">
                  <c:v>2442.9061837503027</c:v>
                </c:pt>
                <c:pt idx="567">
                  <c:v>2455.1433836727247</c:v>
                </c:pt>
                <c:pt idx="568">
                  <c:v>2467.2212897571526</c:v>
                </c:pt>
                <c:pt idx="569">
                  <c:v>2479.1415457490634</c:v>
                </c:pt>
                <c:pt idx="570">
                  <c:v>2490.905754137988</c:v>
                </c:pt>
                <c:pt idx="571">
                  <c:v>2502.5154774033535</c:v>
                </c:pt>
                <c:pt idx="572">
                  <c:v>2513.9722392113072</c:v>
                </c:pt>
                <c:pt idx="573">
                  <c:v>2525.2775255648039</c:v>
                </c:pt>
                <c:pt idx="574">
                  <c:v>2536.4327859091059</c:v>
                </c:pt>
                <c:pt idx="575">
                  <c:v>2547.4394341947282</c:v>
                </c:pt>
                <c:pt idx="576">
                  <c:v>2558.2988498997615</c:v>
                </c:pt>
                <c:pt idx="577">
                  <c:v>2569.0123790133953</c:v>
                </c:pt>
                <c:pt idx="578">
                  <c:v>2579.5813349823666</c:v>
                </c:pt>
                <c:pt idx="579">
                  <c:v>2590.0069996219795</c:v>
                </c:pt>
                <c:pt idx="580">
                  <c:v>2600.2906239932436</c:v>
                </c:pt>
                <c:pt idx="581">
                  <c:v>2610.4334292476074</c:v>
                </c:pt>
                <c:pt idx="582">
                  <c:v>2620.4366074406857</c:v>
                </c:pt>
                <c:pt idx="583">
                  <c:v>2630.3013223163061</c:v>
                </c:pt>
                <c:pt idx="584">
                  <c:v>2640.0287100621381</c:v>
                </c:pt>
                <c:pt idx="585">
                  <c:v>2649.6198800381003</c:v>
                </c:pt>
                <c:pt idx="586">
                  <c:v>2659.0759154786851</c:v>
                </c:pt>
                <c:pt idx="587">
                  <c:v>2668.397874170284</c:v>
                </c:pt>
                <c:pt idx="588">
                  <c:v>2677.5867891045386</c:v>
                </c:pt>
                <c:pt idx="589">
                  <c:v>2686.6436691087033</c:v>
                </c:pt>
                <c:pt idx="590">
                  <c:v>2695.5694994539444</c:v>
                </c:pt>
                <c:pt idx="591">
                  <c:v>2704.3652424424686</c:v>
                </c:pt>
                <c:pt idx="592">
                  <c:v>2713.0318379743217</c:v>
                </c:pt>
                <c:pt idx="593">
                  <c:v>2721.5702040946653</c:v>
                </c:pt>
                <c:pt idx="594">
                  <c:v>2729.9812375222973</c:v>
                </c:pt>
                <c:pt idx="595">
                  <c:v>2738.2658141601491</c:v>
                </c:pt>
                <c:pt idx="596">
                  <c:v>2746.4247895884532</c:v>
                </c:pt>
                <c:pt idx="597">
                  <c:v>2754.4589995412525</c:v>
                </c:pt>
                <c:pt idx="598">
                  <c:v>2762.3692603668806</c:v>
                </c:pt>
                <c:pt idx="599">
                  <c:v>2770.1563694730216</c:v>
                </c:pt>
                <c:pt idx="600">
                  <c:v>2777.8211057569283</c:v>
                </c:pt>
                <c:pt idx="601">
                  <c:v>2785.3642300213514</c:v>
                </c:pt>
                <c:pt idx="602">
                  <c:v>2792.7864853767055</c:v>
                </c:pt>
                <c:pt idx="603">
                  <c:v>2800.0885976299805</c:v>
                </c:pt>
                <c:pt idx="604">
                  <c:v>2807.2712756608776</c:v>
                </c:pt>
                <c:pt idx="605">
                  <c:v>2814.3352117856307</c:v>
                </c:pt>
                <c:pt idx="606">
                  <c:v>2821.2810821089602</c:v>
                </c:pt>
                <c:pt idx="607">
                  <c:v>2828.1095468645722</c:v>
                </c:pt>
                <c:pt idx="608">
                  <c:v>2834.8212507446174</c:v>
                </c:pt>
                <c:pt idx="609">
                  <c:v>2841.4168232184888</c:v>
                </c:pt>
                <c:pt idx="610">
                  <c:v>2847.8968788413335</c:v>
                </c:pt>
                <c:pt idx="611">
                  <c:v>2854.2620175526322</c:v>
                </c:pt>
                <c:pt idx="612">
                  <c:v>2860.5128249651884</c:v>
                </c:pt>
                <c:pt idx="613">
                  <c:v>2866.6498726448513</c:v>
                </c:pt>
                <c:pt idx="614">
                  <c:v>2872.6737183812888</c:v>
                </c:pt>
                <c:pt idx="615">
                  <c:v>2878.5849064501108</c:v>
                </c:pt>
                <c:pt idx="616">
                  <c:v>2884.3839678666295</c:v>
                </c:pt>
                <c:pt idx="617">
                  <c:v>2890.0714206315383</c:v>
                </c:pt>
                <c:pt idx="618">
                  <c:v>2895.6477699687721</c:v>
                </c:pt>
                <c:pt idx="619">
                  <c:v>2901.1135085558099</c:v>
                </c:pt>
                <c:pt idx="620">
                  <c:v>2906.4691167466653</c:v>
                </c:pt>
                <c:pt idx="621">
                  <c:v>2911.7150627878032</c:v>
                </c:pt>
                <c:pt idx="622">
                  <c:v>2916.8518030272144</c:v>
                </c:pt>
                <c:pt idx="623">
                  <c:v>2921.87978211687</c:v>
                </c:pt>
                <c:pt idx="624">
                  <c:v>2926.7994332087719</c:v>
                </c:pt>
                <c:pt idx="625">
                  <c:v>2931.6111781448067</c:v>
                </c:pt>
                <c:pt idx="626">
                  <c:v>2936.3154276406085</c:v>
                </c:pt>
                <c:pt idx="627">
                  <c:v>2940.912581463625</c:v>
                </c:pt>
                <c:pt idx="628">
                  <c:v>2945.4030286055836</c:v>
                </c:pt>
                <c:pt idx="629">
                  <c:v>2949.7871474495437</c:v>
                </c:pt>
                <c:pt idx="630">
                  <c:v>2954.065305931721</c:v>
                </c:pt>
                <c:pt idx="631">
                  <c:v>2958.2378616982696</c:v>
                </c:pt>
                <c:pt idx="632">
                  <c:v>2962.305162257202</c:v>
                </c:pt>
                <c:pt idx="633">
                  <c:v>2966.2675451256268</c:v>
                </c:pt>
                <c:pt idx="634">
                  <c:v>2970.1253379724908</c:v>
                </c:pt>
                <c:pt idx="635">
                  <c:v>2973.8788587570029</c:v>
                </c:pt>
                <c:pt idx="636">
                  <c:v>2977.5284158629352</c:v>
                </c:pt>
                <c:pt idx="637">
                  <c:v>2981.0743082289832</c:v>
                </c:pt>
                <c:pt idx="638">
                  <c:v>2984.5168254753962</c:v>
                </c:pt>
                <c:pt idx="639">
                  <c:v>2987.8562480270753</c:v>
                </c:pt>
                <c:pt idx="640">
                  <c:v>2991.0928472333685</c:v>
                </c:pt>
                <c:pt idx="641">
                  <c:v>2994.226885484793</c:v>
                </c:pt>
                <c:pt idx="642">
                  <c:v>2997.2586163269411</c:v>
                </c:pt>
                <c:pt idx="643">
                  <c:v>3000.1882845718474</c:v>
                </c:pt>
                <c:pt idx="644">
                  <c:v>3003.0161264071226</c:v>
                </c:pt>
                <c:pt idx="645">
                  <c:v>3005.7423695031976</c:v>
                </c:pt>
                <c:pt idx="646">
                  <c:v>3008.3672331190573</c:v>
                </c:pt>
                <c:pt idx="647">
                  <c:v>3010.890928206903</c:v>
                </c:pt>
                <c:pt idx="648">
                  <c:v>3013.3136575162339</c:v>
                </c:pt>
                <c:pt idx="649">
                  <c:v>3015.6356156979273</c:v>
                </c:pt>
                <c:pt idx="650">
                  <c:v>3017.8569894089692</c:v>
                </c:pt>
                <c:pt idx="651">
                  <c:v>3019.9779574186091</c:v>
                </c:pt>
                <c:pt idx="652">
                  <c:v>3021.9986907168359</c:v>
                </c:pt>
                <c:pt idx="653">
                  <c:v>3023.9193526262193</c:v>
                </c:pt>
                <c:pt idx="654">
                  <c:v>3025.740098918352</c:v>
                </c:pt>
                <c:pt idx="655">
                  <c:v>3027.4610779363352</c:v>
                </c:pt>
                <c:pt idx="656">
                  <c:v>3029.0824307249941</c:v>
                </c:pt>
                <c:pt idx="657">
                  <c:v>3030.6042911708023</c:v>
                </c:pt>
                <c:pt idx="658">
                  <c:v>3032.0267861538114</c:v>
                </c:pt>
                <c:pt idx="659">
                  <c:v>3033.350035714242</c:v>
                </c:pt>
                <c:pt idx="660">
                  <c:v>3034.5741532367729</c:v>
                </c:pt>
                <c:pt idx="661">
                  <c:v>3035.6992456559633</c:v>
                </c:pt>
                <c:pt idx="662">
                  <c:v>3036.7254136866236</c:v>
                </c:pt>
                <c:pt idx="663">
                  <c:v>3037.6527520832678</c:v>
                </c:pt>
                <c:pt idx="664">
                  <c:v>3038.4813499330007</c:v>
                </c:pt>
                <c:pt idx="665">
                  <c:v>3039.2112909862185</c:v>
                </c:pt>
                <c:pt idx="666">
                  <c:v>3039.842654029248</c:v>
                </c:pt>
                <c:pt idx="667">
                  <c:v>3040.3755133024438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02-4CA2-BA56-E0E46E48A268}"/>
            </c:ext>
          </c:extLst>
        </c:ser>
        <c:ser>
          <c:idx val="6"/>
          <c:order val="5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Trajecto!$D$155</c:f>
              <c:numCache>
                <c:formatCode>0</c:formatCode>
                <c:ptCount val="1"/>
                <c:pt idx="0">
                  <c:v>116.34574069009406</c:v>
                </c:pt>
              </c:numCache>
            </c:numRef>
          </c:xVal>
          <c:yVal>
            <c:numRef>
              <c:f>Trajecto!$C$155</c:f>
              <c:numCache>
                <c:formatCode>0</c:formatCode>
                <c:ptCount val="1"/>
                <c:pt idx="0">
                  <c:v>1520.4049694830894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02-4CA2-BA56-E0E46E48A268}"/>
            </c:ext>
          </c:extLst>
        </c:ser>
        <c:ser>
          <c:idx val="7"/>
          <c:order val="6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808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Trajecto!$D$156</c:f>
              <c:numCache>
                <c:formatCode>0</c:formatCode>
                <c:ptCount val="1"/>
                <c:pt idx="0">
                  <c:v>677.93944786758698</c:v>
                </c:pt>
              </c:numCache>
            </c:numRef>
          </c:xVal>
          <c:yVal>
            <c:numRef>
              <c:f>Trajecto!$C$156</c:f>
              <c:numCache>
                <c:formatCode>0</c:formatCode>
                <c:ptCount val="1"/>
                <c:pt idx="0">
                  <c:v>1520.7616329213931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02-4CA2-BA56-E0E46E48A268}"/>
            </c:ext>
          </c:extLst>
        </c:ser>
        <c:ser>
          <c:idx val="8"/>
          <c:order val="7"/>
          <c:tx>
            <c:strRef>
              <c:f>Trajecto!$D$158</c:f>
              <c:strCache>
                <c:ptCount val="1"/>
                <c:pt idx="0">
                  <c:v>Arc de triomphe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dLbls>
            <c:dLbl>
              <c:idx val="8"/>
              <c:tx>
                <c:strRef>
                  <c:f>Trajecto!$D$158</c:f>
                  <c:strCache>
                    <c:ptCount val="1"/>
                    <c:pt idx="0">
                      <c:v>Arc de triomphe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C0C0C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{E2AA4C59-A00E-4C0C-9B5A-96BBE4EF3F7A}</c15:txfldGUID>
                      <c15:f>Trajecto!$D$158</c15:f>
                      <c15:dlblFieldTableCache>
                        <c:ptCount val="1"/>
                        <c:pt idx="0">
                          <c:v>Arc de triomphe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B302-4CA2-BA56-E0E46E48A2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Trajecto!$D$159:$D$174</c:f>
              <c:numCache>
                <c:formatCode>0</c:formatCode>
                <c:ptCount val="16"/>
                <c:pt idx="0">
                  <c:v>470.04832810562738</c:v>
                </c:pt>
                <c:pt idx="1">
                  <c:v>493.04832810562738</c:v>
                </c:pt>
                <c:pt idx="2">
                  <c:v>493.04832810562738</c:v>
                </c:pt>
                <c:pt idx="3">
                  <c:v>470.04832810562738</c:v>
                </c:pt>
                <c:pt idx="4">
                  <c:v>493.04832810562738</c:v>
                </c:pt>
                <c:pt idx="5">
                  <c:v>493.04832810562738</c:v>
                </c:pt>
                <c:pt idx="6">
                  <c:v>478.04832810562738</c:v>
                </c:pt>
                <c:pt idx="7">
                  <c:v>478.04832810562738</c:v>
                </c:pt>
                <c:pt idx="8">
                  <c:v>493.04832810562738</c:v>
                </c:pt>
                <c:pt idx="9">
                  <c:v>478.04832810562738</c:v>
                </c:pt>
                <c:pt idx="10">
                  <c:v>477.6483281056274</c:v>
                </c:pt>
                <c:pt idx="11">
                  <c:v>476.84832810562739</c:v>
                </c:pt>
                <c:pt idx="12">
                  <c:v>476.04832810562738</c:v>
                </c:pt>
                <c:pt idx="13">
                  <c:v>475.04832810562738</c:v>
                </c:pt>
                <c:pt idx="14">
                  <c:v>473.84832810562739</c:v>
                </c:pt>
                <c:pt idx="15">
                  <c:v>470.04832810562738</c:v>
                </c:pt>
              </c:numCache>
            </c:numRef>
          </c:xVal>
          <c:yVal>
            <c:numRef>
              <c:f>Trajecto!$B$161:$B$176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02-4CA2-BA56-E0E46E48A268}"/>
            </c:ext>
          </c:extLst>
        </c:ser>
        <c:ser>
          <c:idx val="9"/>
          <c:order val="8"/>
          <c:tx>
            <c:strRef>
              <c:f>Trajecto!$F$158</c:f>
              <c:strCache>
                <c:ptCount val="1"/>
                <c:pt idx="0">
                  <c:v>Arc de triomphe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Trajecto!$F$159:$F$174</c:f>
              <c:numCache>
                <c:formatCode>0</c:formatCode>
                <c:ptCount val="16"/>
                <c:pt idx="0">
                  <c:v>470.04832810562738</c:v>
                </c:pt>
                <c:pt idx="1">
                  <c:v>447.04832810562738</c:v>
                </c:pt>
                <c:pt idx="2">
                  <c:v>447.04832810562738</c:v>
                </c:pt>
                <c:pt idx="3">
                  <c:v>470.04832810562738</c:v>
                </c:pt>
                <c:pt idx="4">
                  <c:v>447.04832810562738</c:v>
                </c:pt>
                <c:pt idx="5">
                  <c:v>447.04832810562738</c:v>
                </c:pt>
                <c:pt idx="6">
                  <c:v>462.04832810562738</c:v>
                </c:pt>
                <c:pt idx="7">
                  <c:v>462.04832810562738</c:v>
                </c:pt>
                <c:pt idx="8">
                  <c:v>447.04832810562738</c:v>
                </c:pt>
                <c:pt idx="9">
                  <c:v>462.04832810562738</c:v>
                </c:pt>
                <c:pt idx="10">
                  <c:v>462.44832810562735</c:v>
                </c:pt>
                <c:pt idx="11">
                  <c:v>463.24832810562737</c:v>
                </c:pt>
                <c:pt idx="12">
                  <c:v>464.04832810562738</c:v>
                </c:pt>
                <c:pt idx="13">
                  <c:v>465.04832810562738</c:v>
                </c:pt>
                <c:pt idx="14">
                  <c:v>466.24832810562737</c:v>
                </c:pt>
                <c:pt idx="15">
                  <c:v>470.04832810562738</c:v>
                </c:pt>
              </c:numCache>
            </c:numRef>
          </c:xVal>
          <c:yVal>
            <c:numRef>
              <c:f>Trajecto!$B$161:$B$176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02-4CA2-BA56-E0E46E48A268}"/>
            </c:ext>
          </c:extLst>
        </c:ser>
        <c:ser>
          <c:idx val="10"/>
          <c:order val="9"/>
          <c:tx>
            <c:strRef>
              <c:f>Trajecto!$D$176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dLbls>
            <c:dLbl>
              <c:idx val="6"/>
              <c:tx>
                <c:strRef>
                  <c:f>Trajecto!$D$176</c:f>
                  <c:strCache>
                    <c:ptCount val="1"/>
                    <c:pt idx="0">
                      <c:v>Tour Eiffel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C0C0C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{FC9D3FE9-819D-4D01-8347-D492537FA9C1}</c15:txfldGUID>
                      <c15:f>Trajecto!$D$176</c15:f>
                      <c15:dlblFieldTableCache>
                        <c:ptCount val="1"/>
                        <c:pt idx="0">
                          <c:v>Tour Eiffel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302-4CA2-BA56-E0E46E48A2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Trajecto!$D$177:$D$193</c:f>
              <c:numCache>
                <c:formatCode>0</c:formatCode>
                <c:ptCount val="17"/>
                <c:pt idx="0">
                  <c:v>470.04832810562738</c:v>
                </c:pt>
                <c:pt idx="1">
                  <c:v>470.04832810562738</c:v>
                </c:pt>
                <c:pt idx="2">
                  <c:v>480.04832810562738</c:v>
                </c:pt>
                <c:pt idx="3">
                  <c:v>470.04832810562738</c:v>
                </c:pt>
                <c:pt idx="4">
                  <c:v>480.04832810562738</c:v>
                </c:pt>
                <c:pt idx="5">
                  <c:v>483.04832810562738</c:v>
                </c:pt>
                <c:pt idx="6">
                  <c:v>487.04832810562738</c:v>
                </c:pt>
                <c:pt idx="7">
                  <c:v>490.04832810562738</c:v>
                </c:pt>
                <c:pt idx="8">
                  <c:v>495.04832810562738</c:v>
                </c:pt>
                <c:pt idx="9">
                  <c:v>500.04832810562738</c:v>
                </c:pt>
                <c:pt idx="10">
                  <c:v>506.04832810562738</c:v>
                </c:pt>
                <c:pt idx="11">
                  <c:v>518.04832810562743</c:v>
                </c:pt>
                <c:pt idx="12">
                  <c:v>532.04832810562743</c:v>
                </c:pt>
                <c:pt idx="13">
                  <c:v>507.04832810562738</c:v>
                </c:pt>
                <c:pt idx="14">
                  <c:v>500.04832810562738</c:v>
                </c:pt>
                <c:pt idx="15">
                  <c:v>485.04832810562738</c:v>
                </c:pt>
                <c:pt idx="16">
                  <c:v>470.04832810562738</c:v>
                </c:pt>
              </c:numCache>
            </c:numRef>
          </c:xVal>
          <c:yVal>
            <c:numRef>
              <c:f>Trajecto!$B$179:$B$195</c:f>
              <c:numCache>
                <c:formatCode>General</c:formatCode>
                <c:ptCount val="17"/>
                <c:pt idx="0">
                  <c:v>324</c:v>
                </c:pt>
                <c:pt idx="1">
                  <c:v>300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200</c:v>
                </c:pt>
                <c:pt idx="6">
                  <c:v>160</c:v>
                </c:pt>
                <c:pt idx="7">
                  <c:v>115</c:v>
                </c:pt>
                <c:pt idx="8">
                  <c:v>90</c:v>
                </c:pt>
                <c:pt idx="9">
                  <c:v>57</c:v>
                </c:pt>
                <c:pt idx="10">
                  <c:v>40</c:v>
                </c:pt>
                <c:pt idx="11">
                  <c:v>20</c:v>
                </c:pt>
                <c:pt idx="12">
                  <c:v>0.5</c:v>
                </c:pt>
                <c:pt idx="13">
                  <c:v>0.5</c:v>
                </c:pt>
                <c:pt idx="14">
                  <c:v>15</c:v>
                </c:pt>
                <c:pt idx="15">
                  <c:v>30</c:v>
                </c:pt>
                <c:pt idx="1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302-4CA2-BA56-E0E46E48A268}"/>
            </c:ext>
          </c:extLst>
        </c:ser>
        <c:ser>
          <c:idx val="11"/>
          <c:order val="10"/>
          <c:tx>
            <c:strRef>
              <c:f>Trajecto!$F$176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Trajecto!$F$177:$F$193</c:f>
              <c:numCache>
                <c:formatCode>0</c:formatCode>
                <c:ptCount val="17"/>
                <c:pt idx="0">
                  <c:v>470.04832810562738</c:v>
                </c:pt>
                <c:pt idx="1">
                  <c:v>470.04832810562738</c:v>
                </c:pt>
                <c:pt idx="2">
                  <c:v>460.04832810562738</c:v>
                </c:pt>
                <c:pt idx="3">
                  <c:v>470.04832810562738</c:v>
                </c:pt>
                <c:pt idx="4">
                  <c:v>460.04832810562738</c:v>
                </c:pt>
                <c:pt idx="5">
                  <c:v>457.04832810562738</c:v>
                </c:pt>
                <c:pt idx="6">
                  <c:v>453.04832810562738</c:v>
                </c:pt>
                <c:pt idx="7">
                  <c:v>450.04832810562738</c:v>
                </c:pt>
                <c:pt idx="8">
                  <c:v>445.04832810562738</c:v>
                </c:pt>
                <c:pt idx="9">
                  <c:v>440.04832810562738</c:v>
                </c:pt>
                <c:pt idx="10">
                  <c:v>434.04832810562738</c:v>
                </c:pt>
                <c:pt idx="11">
                  <c:v>422.04832810562738</c:v>
                </c:pt>
                <c:pt idx="12">
                  <c:v>408.04832810562738</c:v>
                </c:pt>
                <c:pt idx="13">
                  <c:v>433.04832810562738</c:v>
                </c:pt>
                <c:pt idx="14">
                  <c:v>440.04832810562738</c:v>
                </c:pt>
                <c:pt idx="15">
                  <c:v>455.04832810562738</c:v>
                </c:pt>
                <c:pt idx="16">
                  <c:v>470.04832810562738</c:v>
                </c:pt>
              </c:numCache>
            </c:numRef>
          </c:xVal>
          <c:yVal>
            <c:numRef>
              <c:f>Trajecto!$B$179:$B$195</c:f>
              <c:numCache>
                <c:formatCode>General</c:formatCode>
                <c:ptCount val="17"/>
                <c:pt idx="0">
                  <c:v>324</c:v>
                </c:pt>
                <c:pt idx="1">
                  <c:v>300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200</c:v>
                </c:pt>
                <c:pt idx="6">
                  <c:v>160</c:v>
                </c:pt>
                <c:pt idx="7">
                  <c:v>115</c:v>
                </c:pt>
                <c:pt idx="8">
                  <c:v>90</c:v>
                </c:pt>
                <c:pt idx="9">
                  <c:v>57</c:v>
                </c:pt>
                <c:pt idx="10">
                  <c:v>40</c:v>
                </c:pt>
                <c:pt idx="11">
                  <c:v>20</c:v>
                </c:pt>
                <c:pt idx="12">
                  <c:v>0.5</c:v>
                </c:pt>
                <c:pt idx="13">
                  <c:v>0.5</c:v>
                </c:pt>
                <c:pt idx="14">
                  <c:v>15</c:v>
                </c:pt>
                <c:pt idx="15">
                  <c:v>30</c:v>
                </c:pt>
                <c:pt idx="1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302-4CA2-BA56-E0E46E48A268}"/>
            </c:ext>
          </c:extLst>
        </c:ser>
        <c:ser>
          <c:idx val="12"/>
          <c:order val="11"/>
          <c:tx>
            <c:strRef>
              <c:f>Trajecto!$D$176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Trajecto!$D$194:$D$197</c:f>
              <c:numCache>
                <c:formatCode>0</c:formatCode>
                <c:ptCount val="4"/>
                <c:pt idx="0">
                  <c:v>470.04832810562738</c:v>
                </c:pt>
                <c:pt idx="1">
                  <c:v>487.04832810562738</c:v>
                </c:pt>
                <c:pt idx="2">
                  <c:v>481.04832810562738</c:v>
                </c:pt>
                <c:pt idx="3">
                  <c:v>470.04832810562738</c:v>
                </c:pt>
              </c:numCache>
            </c:numRef>
          </c:xVal>
          <c:yVal>
            <c:numRef>
              <c:f>Trajecto!$B$196:$B$199</c:f>
              <c:numCache>
                <c:formatCode>General</c:formatCode>
                <c:ptCount val="4"/>
                <c:pt idx="0">
                  <c:v>67</c:v>
                </c:pt>
                <c:pt idx="1">
                  <c:v>67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302-4CA2-BA56-E0E46E48A268}"/>
            </c:ext>
          </c:extLst>
        </c:ser>
        <c:ser>
          <c:idx val="13"/>
          <c:order val="12"/>
          <c:tx>
            <c:strRef>
              <c:f>Trajecto!$F$176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Trajecto!$F$194:$F$197</c:f>
              <c:numCache>
                <c:formatCode>0</c:formatCode>
                <c:ptCount val="4"/>
                <c:pt idx="0">
                  <c:v>470.04832810562738</c:v>
                </c:pt>
                <c:pt idx="1">
                  <c:v>453.04832810562738</c:v>
                </c:pt>
                <c:pt idx="2">
                  <c:v>459.04832810562738</c:v>
                </c:pt>
                <c:pt idx="3">
                  <c:v>470.04832810562738</c:v>
                </c:pt>
              </c:numCache>
            </c:numRef>
          </c:xVal>
          <c:yVal>
            <c:numRef>
              <c:f>Trajecto!$B$196:$B$199</c:f>
              <c:numCache>
                <c:formatCode>General</c:formatCode>
                <c:ptCount val="4"/>
                <c:pt idx="0">
                  <c:v>67</c:v>
                </c:pt>
                <c:pt idx="1">
                  <c:v>67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302-4CA2-BA56-E0E46E48A268}"/>
            </c:ext>
          </c:extLst>
        </c:ser>
        <c:ser>
          <c:idx val="3"/>
          <c:order val="13"/>
          <c:tx>
            <c:strRef>
              <c:f>Trajecto!$B$108</c:f>
              <c:strCache>
                <c:ptCount val="1"/>
                <c:pt idx="0">
                  <c:v>Fusée sous parachute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dLbls>
            <c:dLbl>
              <c:idx val="1"/>
              <c:tx>
                <c:strRef>
                  <c:f>Trajecto!$B$108</c:f>
                  <c:strCache>
                    <c:ptCount val="1"/>
                    <c:pt idx="0">
                      <c:v>Fusée sous parachute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{50F55DC6-CB1B-45B6-9A68-FCA4CD3A0928}</c15:txfldGUID>
                      <c15:f>Trajecto!$B$108</c15:f>
                      <c15:dlblFieldTableCache>
                        <c:ptCount val="1"/>
                        <c:pt idx="0">
                          <c:v>Fusée sous parachute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B302-4CA2-BA56-E0E46E48A2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Trajecto!$B$123:$B$129</c:f>
              <c:numCache>
                <c:formatCode>0</c:formatCode>
                <c:ptCount val="7"/>
                <c:pt idx="0">
                  <c:v>465.38296276037624</c:v>
                </c:pt>
                <c:pt idx="1">
                  <c:v>465.38296276037624</c:v>
                </c:pt>
                <c:pt idx="2">
                  <c:v>465.38296276037624</c:v>
                </c:pt>
                <c:pt idx="3">
                  <c:v>541.40321123453077</c:v>
                </c:pt>
                <c:pt idx="4">
                  <c:v>465.38296276037624</c:v>
                </c:pt>
                <c:pt idx="5">
                  <c:v>389.36271428622177</c:v>
                </c:pt>
                <c:pt idx="6">
                  <c:v>465.38296276037624</c:v>
                </c:pt>
              </c:numCache>
            </c:numRef>
          </c:xVal>
          <c:yVal>
            <c:numRef>
              <c:f>Trajecto!$C$121:$C$127</c:f>
              <c:numCache>
                <c:formatCode>0</c:formatCode>
                <c:ptCount val="7"/>
                <c:pt idx="0">
                  <c:v>3040.8099389661788</c:v>
                </c:pt>
                <c:pt idx="1">
                  <c:v>1520.4049694830894</c:v>
                </c:pt>
                <c:pt idx="2">
                  <c:v>0</c:v>
                </c:pt>
                <c:pt idx="3">
                  <c:v>152.04049694830894</c:v>
                </c:pt>
                <c:pt idx="4">
                  <c:v>0</c:v>
                </c:pt>
                <c:pt idx="5">
                  <c:v>152.04049694830894</c:v>
                </c:pt>
                <c:pt idx="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302-4CA2-BA56-E0E46E48A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41024"/>
        <c:axId val="149054208"/>
      </c:scatterChart>
      <c:valAx>
        <c:axId val="1482410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Trajecto!$B$111</c:f>
              <c:strCache>
                <c:ptCount val="1"/>
                <c:pt idx="0">
                  <c:v>Portée x [m]</c:v>
                </c:pt>
              </c:strCache>
            </c:strRef>
          </c:tx>
          <c:layout>
            <c:manualLayout>
              <c:xMode val="edge"/>
              <c:yMode val="edge"/>
              <c:x val="0.56464627732344286"/>
              <c:y val="0.84829693458129063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800" b="1" i="0" u="none" strike="noStrike" baseline="0">
                  <a:solidFill>
                    <a:srgbClr val="0000FF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054208"/>
        <c:crosses val="autoZero"/>
        <c:crossBetween val="midCat"/>
      </c:valAx>
      <c:valAx>
        <c:axId val="1490542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Altitude z [m]</a:t>
                </a:r>
              </a:p>
            </c:rich>
          </c:tx>
          <c:layout>
            <c:manualLayout>
              <c:xMode val="edge"/>
              <c:yMode val="edge"/>
              <c:x val="8.1818320007296413E-2"/>
              <c:y val="6.8111391736410315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241024"/>
        <c:crosses val="autoZero"/>
        <c:crossBetween val="midCat"/>
      </c:valAx>
      <c:spPr>
        <a:gradFill rotWithShape="0">
          <a:gsLst>
            <a:gs pos="0">
              <a:srgbClr val="99CC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paperSize="9" firstPageNumber="0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Trajecto!$B$113</c:f>
          <c:strCache>
            <c:ptCount val="1"/>
            <c:pt idx="0">
              <c:v>Altitude z  /  Temps</c:v>
            </c:pt>
          </c:strCache>
        </c:strRef>
      </c:tx>
      <c:layout>
        <c:manualLayout>
          <c:xMode val="edge"/>
          <c:yMode val="edge"/>
          <c:x val="0.57666688909649"/>
          <c:y val="3.715181828686509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746430001334583E-2"/>
          <c:y val="4.8186995493487844E-2"/>
          <c:w val="0.89333624132890843"/>
          <c:h val="0.89614373166225958"/>
        </c:manualLayout>
      </c:layout>
      <c:scatterChart>
        <c:scatterStyle val="lineMarker"/>
        <c:varyColors val="0"/>
        <c:ser>
          <c:idx val="4"/>
          <c:order val="0"/>
          <c:tx>
            <c:v>Point invisible pour mise à l'echelle</c:v>
          </c:tx>
          <c:spPr>
            <a:ln w="28575">
              <a:noFill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Trajecto!$B$120</c:f>
              <c:numCache>
                <c:formatCode>0</c:formatCode>
                <c:ptCount val="1"/>
                <c:pt idx="0">
                  <c:v>3041.5232658427863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1-4567-B7A1-067915120221}"/>
            </c:ext>
          </c:extLst>
        </c:ser>
        <c:ser>
          <c:idx val="0"/>
          <c:order val="1"/>
          <c:tx>
            <c:v>1 point par seconde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Calculs!$AC$4:$AC$1004</c:f>
              <c:numCache>
                <c:formatCode>0</c:formatCode>
                <c:ptCount val="100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1.0000000000000007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2.0000000000000013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2.99999999999998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3.9999999999999587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4.9999999999999378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5.9999999999999343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6.9999999999999307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7.9999999999999272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8.9999999999999236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9.9999999999999201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10.999999999999917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11.999999999999913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12.999999999999909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13.999999999999906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14.999999999999902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15.999999999999899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16.999999999999911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17.999999999999925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18.99999999999994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19.999999999999954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20.999999999999968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21.999999999999982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22.999999999999996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24.000000000000011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25.000000000000025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26.000000000000039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27.000000000000053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28.000000000000068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29.000000000000082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30.000000000000096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31.00000000000011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32.000000000000121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33.000000000000135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34.000000000000149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35.000000000000163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36.000000000000178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37.000000000000192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38.000000000000206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39.00000000000022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40.000000000000234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41.000000000000249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42.000000000000263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43.000000000000277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44.000000000000291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45.000000000000306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46.00000000000032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47.000000000000334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48.000000000000348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49.000000000000362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50.000000000000377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51.000000000000391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52.000000000000405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7.9551017983196934E-4</c:v>
                </c:pt>
                <c:pt idx="2">
                  <c:v>4.5969806451097925E-3</c:v>
                </c:pt>
                <c:pt idx="3">
                  <c:v>1.3406949949768451E-2</c:v>
                </c:pt>
                <c:pt idx="4">
                  <c:v>2.8401219250121523E-2</c:v>
                </c:pt>
                <c:pt idx="5">
                  <c:v>5.0756894473462134E-2</c:v>
                </c:pt>
                <c:pt idx="6">
                  <c:v>8.1652578986609478E-2</c:v>
                </c:pt>
                <c:pt idx="7">
                  <c:v>0.12226856376226272</c:v>
                </c:pt>
                <c:pt idx="8">
                  <c:v>0.17378701513006151</c:v>
                </c:pt>
                <c:pt idx="9">
                  <c:v>0.23739216019483012</c:v>
                </c:pt>
                <c:pt idx="10">
                  <c:v>0.31427047000019614</c:v>
                </c:pt>
                <c:pt idx="11">
                  <c:v>0.40527228320445341</c:v>
                </c:pt>
                <c:pt idx="12">
                  <c:v>0.51057232448723888</c:v>
                </c:pt>
                <c:pt idx="13">
                  <c:v>0.63000415809525101</c:v>
                </c:pt>
                <c:pt idx="14">
                  <c:v>0.76339565266121023</c:v>
                </c:pt>
                <c:pt idx="15">
                  <c:v>0.91057155858677497</c:v>
                </c:pt>
                <c:pt idx="16">
                  <c:v>1.0713560932387671</c:v>
                </c:pt>
                <c:pt idx="17">
                  <c:v>1.2455729506424484</c:v>
                </c:pt>
                <c:pt idx="18">
                  <c:v>1.4330453111800932</c:v>
                </c:pt>
                <c:pt idx="19">
                  <c:v>1.6335958512925897</c:v>
                </c:pt>
                <c:pt idx="20">
                  <c:v>1.8470467531818142</c:v>
                </c:pt>
                <c:pt idx="21">
                  <c:v>2.0732197145115308</c:v>
                </c:pt>
                <c:pt idx="22">
                  <c:v>2.3119359581045873</c:v>
                </c:pt>
                <c:pt idx="23">
                  <c:v>2.5630162416341902</c:v>
                </c:pt>
                <c:pt idx="24">
                  <c:v>2.8262808673070552</c:v>
                </c:pt>
                <c:pt idx="25">
                  <c:v>3.1015496915362473</c:v>
                </c:pt>
                <c:pt idx="26">
                  <c:v>3.3886421346015396</c:v>
                </c:pt>
                <c:pt idx="27">
                  <c:v>3.6874228307268293</c:v>
                </c:pt>
                <c:pt idx="28">
                  <c:v>3.9978473810024013</c:v>
                </c:pt>
                <c:pt idx="29">
                  <c:v>4.3199131395194454</c:v>
                </c:pt>
                <c:pt idx="30">
                  <c:v>4.6536172071448449</c:v>
                </c:pt>
                <c:pt idx="31">
                  <c:v>4.9989601612126009</c:v>
                </c:pt>
                <c:pt idx="32">
                  <c:v>5.3559424720361681</c:v>
                </c:pt>
                <c:pt idx="33">
                  <c:v>5.7245645047271552</c:v>
                </c:pt>
                <c:pt idx="34">
                  <c:v>6.1048265185892134</c:v>
                </c:pt>
                <c:pt idx="35">
                  <c:v>6.4967286665539499</c:v>
                </c:pt>
                <c:pt idx="36">
                  <c:v>6.9002709946546332</c:v>
                </c:pt>
                <c:pt idx="37">
                  <c:v>7.3154534415340731</c:v>
                </c:pt>
                <c:pt idx="38">
                  <c:v>7.7422758379835255</c:v>
                </c:pt>
                <c:pt idx="39">
                  <c:v>8.1807379065099113</c:v>
                </c:pt>
                <c:pt idx="40">
                  <c:v>8.6308392609289761</c:v>
                </c:pt>
                <c:pt idx="41">
                  <c:v>9.0925794059823275</c:v>
                </c:pt>
                <c:pt idx="42">
                  <c:v>9.5659577369765305</c:v>
                </c:pt>
                <c:pt idx="43">
                  <c:v>10.050973539442658</c:v>
                </c:pt>
                <c:pt idx="44">
                  <c:v>10.547625988814906</c:v>
                </c:pt>
                <c:pt idx="45">
                  <c:v>11.055914150126995</c:v>
                </c:pt>
                <c:pt idx="46">
                  <c:v>11.575836977725285</c:v>
                </c:pt>
                <c:pt idx="47">
                  <c:v>12.107393314997577</c:v>
                </c:pt>
                <c:pt idx="48">
                  <c:v>12.650581894116762</c:v>
                </c:pt>
                <c:pt idx="49">
                  <c:v>13.205401335798495</c:v>
                </c:pt>
                <c:pt idx="50">
                  <c:v>13.771850149072204</c:v>
                </c:pt>
                <c:pt idx="51">
                  <c:v>14.349926731064793</c:v>
                </c:pt>
                <c:pt idx="52">
                  <c:v>14.939629366796469</c:v>
                </c:pt>
                <c:pt idx="53">
                  <c:v>15.540956228988179</c:v>
                </c:pt>
                <c:pt idx="54">
                  <c:v>16.153905377880172</c:v>
                </c:pt>
                <c:pt idx="55">
                  <c:v>16.778474761061283</c:v>
                </c:pt>
                <c:pt idx="56">
                  <c:v>17.414662213308553</c:v>
                </c:pt>
                <c:pt idx="57">
                  <c:v>18.062465456436811</c:v>
                </c:pt>
                <c:pt idx="58">
                  <c:v>18.72188209915792</c:v>
                </c:pt>
                <c:pt idx="59">
                  <c:v>19.392909636949394</c:v>
                </c:pt>
                <c:pt idx="60">
                  <c:v>20.075545451932118</c:v>
                </c:pt>
                <c:pt idx="61">
                  <c:v>20.769786812756912</c:v>
                </c:pt>
                <c:pt idx="62">
                  <c:v>21.475630874499739</c:v>
                </c:pt>
                <c:pt idx="63">
                  <c:v>22.193074678565338</c:v>
                </c:pt>
                <c:pt idx="64">
                  <c:v>22.922115152599083</c:v>
                </c:pt>
                <c:pt idx="65">
                  <c:v>23.662749110406921</c:v>
                </c:pt>
                <c:pt idx="66">
                  <c:v>24.414973251883193</c:v>
                </c:pt>
                <c:pt idx="67">
                  <c:v>25.178784162946222</c:v>
                </c:pt>
                <c:pt idx="68">
                  <c:v>25.954178315481506</c:v>
                </c:pt>
                <c:pt idx="69">
                  <c:v>26.741152067292397</c:v>
                </c:pt>
                <c:pt idx="70">
                  <c:v>27.539701662058153</c:v>
                </c:pt>
                <c:pt idx="71">
                  <c:v>28.349823229299233</c:v>
                </c:pt>
                <c:pt idx="72">
                  <c:v>29.171512258083826</c:v>
                </c:pt>
                <c:pt idx="73">
                  <c:v>30.004763069772565</c:v>
                </c:pt>
                <c:pt idx="74">
                  <c:v>30.84956934302107</c:v>
                </c:pt>
                <c:pt idx="75">
                  <c:v>31.705924639788361</c:v>
                </c:pt>
                <c:pt idx="76">
                  <c:v>32.573822405397408</c:v>
                </c:pt>
                <c:pt idx="77">
                  <c:v>33.453255968602654</c:v>
                </c:pt>
                <c:pt idx="78">
                  <c:v>34.344218541664418</c:v>
                </c:pt>
                <c:pt idx="79">
                  <c:v>35.246703220430092</c:v>
                </c:pt>
                <c:pt idx="80">
                  <c:v>36.160702984422102</c:v>
                </c:pt>
                <c:pt idx="81">
                  <c:v>37.086210696932518</c:v>
                </c:pt>
                <c:pt idx="82">
                  <c:v>38.023219105124284</c:v>
                </c:pt>
                <c:pt idx="83">
                  <c:v>38.971720840139</c:v>
                </c:pt>
                <c:pt idx="84">
                  <c:v>39.931708417211176</c:v>
                </c:pt>
                <c:pt idx="85">
                  <c:v>40.903174235788939</c:v>
                </c:pt>
                <c:pt idx="86">
                  <c:v>41.8861105796611</c:v>
                </c:pt>
                <c:pt idx="87">
                  <c:v>42.880509617090574</c:v>
                </c:pt>
                <c:pt idx="88">
                  <c:v>43.886363400954053</c:v>
                </c:pt>
                <c:pt idx="89">
                  <c:v>44.903663868887918</c:v>
                </c:pt>
                <c:pt idx="90">
                  <c:v>45.93240284344035</c:v>
                </c:pt>
                <c:pt idx="91">
                  <c:v>46.972572032229557</c:v>
                </c:pt>
                <c:pt idx="92">
                  <c:v>48.024163028108106</c:v>
                </c:pt>
                <c:pt idx="93">
                  <c:v>49.087167309333324</c:v>
                </c:pt>
                <c:pt idx="94">
                  <c:v>50.161576239743674</c:v>
                </c:pt>
                <c:pt idx="95">
                  <c:v>51.247381068941131</c:v>
                </c:pt>
                <c:pt idx="96">
                  <c:v>52.344572932479487</c:v>
                </c:pt>
                <c:pt idx="97">
                  <c:v>53.453142852058527</c:v>
                </c:pt>
                <c:pt idx="98">
                  <c:v>54.573081735724081</c:v>
                </c:pt>
                <c:pt idx="99">
                  <c:v>55.704380378073886</c:v>
                </c:pt>
                <c:pt idx="100">
                  <c:v>56.847029460469216</c:v>
                </c:pt>
                <c:pt idx="101">
                  <c:v>58.001019551252256</c:v>
                </c:pt>
                <c:pt idx="102">
                  <c:v>59.166341105969195</c:v>
                </c:pt>
                <c:pt idx="103">
                  <c:v>60.342984467598995</c:v>
                </c:pt>
                <c:pt idx="104">
                  <c:v>61.530939866787755</c:v>
                </c:pt>
                <c:pt idx="105">
                  <c:v>62.730197422088715</c:v>
                </c:pt>
                <c:pt idx="106">
                  <c:v>63.940747140207819</c:v>
                </c:pt>
                <c:pt idx="107">
                  <c:v>65.162578916254773</c:v>
                </c:pt>
                <c:pt idx="108">
                  <c:v>66.395682533999675</c:v>
                </c:pt>
                <c:pt idx="109">
                  <c:v>67.64004766613499</c:v>
                </c:pt>
                <c:pt idx="110">
                  <c:v>68.895663874543061</c:v>
                </c:pt>
                <c:pt idx="111">
                  <c:v>70.162520610568976</c:v>
                </c:pt>
                <c:pt idx="112">
                  <c:v>71.440607215298755</c:v>
                </c:pt>
                <c:pt idx="113">
                  <c:v>72.729912919842917</c:v>
                </c:pt>
                <c:pt idx="114">
                  <c:v>74.0304268456253</c:v>
                </c:pt>
                <c:pt idx="115">
                  <c:v>75.342138004677139</c:v>
                </c:pt>
                <c:pt idx="116">
                  <c:v>76.66503529993642</c:v>
                </c:pt>
                <c:pt idx="117">
                  <c:v>77.999107525552333</c:v>
                </c:pt>
                <c:pt idx="118">
                  <c:v>79.344343367194924</c:v>
                </c:pt>
                <c:pt idx="119">
                  <c:v>80.700731402369897</c:v>
                </c:pt>
                <c:pt idx="120">
                  <c:v>82.068260100738428</c:v>
                </c:pt>
                <c:pt idx="121">
                  <c:v>83.446917824442096</c:v>
                </c:pt>
                <c:pt idx="122">
                  <c:v>84.836692828432788</c:v>
                </c:pt>
                <c:pt idx="123">
                  <c:v>86.237573260807565</c:v>
                </c:pt>
                <c:pt idx="124">
                  <c:v>87.649547163148554</c:v>
                </c:pt>
                <c:pt idx="125">
                  <c:v>89.07260247086765</c:v>
                </c:pt>
                <c:pt idx="126">
                  <c:v>90.506727013556144</c:v>
                </c:pt>
                <c:pt idx="127">
                  <c:v>91.951908515339184</c:v>
                </c:pt>
                <c:pt idx="128">
                  <c:v>93.408134595235055</c:v>
                </c:pt>
                <c:pt idx="129">
                  <c:v>94.875390311136059</c:v>
                </c:pt>
                <c:pt idx="130">
                  <c:v>96.353655700702035</c:v>
                </c:pt>
                <c:pt idx="131">
                  <c:v>97.842908235197584</c:v>
                </c:pt>
                <c:pt idx="132">
                  <c:v>99.343125276582242</c:v>
                </c:pt>
                <c:pt idx="133">
                  <c:v>100.85428407820518</c:v>
                </c:pt>
                <c:pt idx="134">
                  <c:v>102.37636178550432</c:v>
                </c:pt>
                <c:pt idx="135">
                  <c:v>103.90933543670967</c:v>
                </c:pt>
                <c:pt idx="136">
                  <c:v>105.45318196355095</c:v>
                </c:pt>
                <c:pt idx="137">
                  <c:v>107.00787819196927</c:v>
                </c:pt>
                <c:pt idx="138">
                  <c:v>108.57340084283292</c:v>
                </c:pt>
                <c:pt idx="139">
                  <c:v>110.14972653265716</c:v>
                </c:pt>
                <c:pt idx="140">
                  <c:v>111.73683177432785</c:v>
                </c:pt>
                <c:pt idx="141">
                  <c:v>113.33469297782908</c:v>
                </c:pt>
                <c:pt idx="142">
                  <c:v>114.94328645097441</c:v>
                </c:pt>
                <c:pt idx="143">
                  <c:v>116.56258840014196</c:v>
                </c:pt>
                <c:pt idx="144">
                  <c:v>118.19257493101301</c:v>
                </c:pt>
                <c:pt idx="145">
                  <c:v>119.83322204931429</c:v>
                </c:pt>
                <c:pt idx="146">
                  <c:v>121.4845056615636</c:v>
                </c:pt>
                <c:pt idx="147">
                  <c:v>123.14640157581906</c:v>
                </c:pt>
                <c:pt idx="148">
                  <c:v>124.81888550243146</c:v>
                </c:pt>
                <c:pt idx="149">
                  <c:v>126.50193305480009</c:v>
                </c:pt>
                <c:pt idx="150">
                  <c:v>128.19551975013169</c:v>
                </c:pt>
                <c:pt idx="151">
                  <c:v>129.89962101020248</c:v>
                </c:pt>
                <c:pt idx="152">
                  <c:v>131.61421216212335</c:v>
                </c:pt>
                <c:pt idx="153">
                  <c:v>133.33926843910797</c:v>
                </c:pt>
                <c:pt idx="154">
                  <c:v>135.07476498124382</c:v>
                </c:pt>
                <c:pt idx="155">
                  <c:v>136.82067683626607</c:v>
                </c:pt>
                <c:pt idx="156">
                  <c:v>138.57697896033426</c:v>
                </c:pt>
                <c:pt idx="157">
                  <c:v>140.34364621881156</c:v>
                </c:pt>
                <c:pt idx="158">
                  <c:v>142.12065338704687</c:v>
                </c:pt>
                <c:pt idx="159">
                  <c:v>143.90797515115923</c:v>
                </c:pt>
                <c:pt idx="160">
                  <c:v>145.70558610882495</c:v>
                </c:pt>
                <c:pt idx="161">
                  <c:v>147.51346077006687</c:v>
                </c:pt>
                <c:pt idx="162">
                  <c:v>149.33157355804627</c:v>
                </c:pt>
                <c:pt idx="163">
                  <c:v>151.15989880985683</c:v>
                </c:pt>
                <c:pt idx="164">
                  <c:v>152.9984107773208</c:v>
                </c:pt>
                <c:pt idx="165">
                  <c:v>154.84708362778741</c:v>
                </c:pt>
                <c:pt idx="166">
                  <c:v>156.70589144493326</c:v>
                </c:pt>
                <c:pt idx="167">
                  <c:v>158.57480822956464</c:v>
                </c:pt>
                <c:pt idx="168">
                  <c:v>160.45380790042185</c:v>
                </c:pt>
                <c:pt idx="169">
                  <c:v>162.34286429498536</c:v>
                </c:pt>
                <c:pt idx="170">
                  <c:v>164.24195117028367</c:v>
                </c:pt>
                <c:pt idx="171">
                  <c:v>166.15104220370281</c:v>
                </c:pt>
                <c:pt idx="172">
                  <c:v>168.0701109937977</c:v>
                </c:pt>
                <c:pt idx="173">
                  <c:v>169.99913106110483</c:v>
                </c:pt>
                <c:pt idx="174">
                  <c:v>171.93807584895654</c:v>
                </c:pt>
                <c:pt idx="175">
                  <c:v>173.88691872429666</c:v>
                </c:pt>
                <c:pt idx="176">
                  <c:v>175.84563297849755</c:v>
                </c:pt>
                <c:pt idx="177">
                  <c:v>177.81419182817839</c:v>
                </c:pt>
                <c:pt idx="178">
                  <c:v>179.79256841602469</c:v>
                </c:pt>
                <c:pt idx="179">
                  <c:v>181.78073581160885</c:v>
                </c:pt>
                <c:pt idx="180">
                  <c:v>183.77866701221194</c:v>
                </c:pt>
                <c:pt idx="181">
                  <c:v>185.78633494364632</c:v>
                </c:pt>
                <c:pt idx="182">
                  <c:v>187.80371246107936</c:v>
                </c:pt>
                <c:pt idx="183">
                  <c:v>189.8307723498578</c:v>
                </c:pt>
                <c:pt idx="184">
                  <c:v>191.86748732633311</c:v>
                </c:pt>
                <c:pt idx="185">
                  <c:v>193.91383003868748</c:v>
                </c:pt>
                <c:pt idx="186">
                  <c:v>195.96977306776049</c:v>
                </c:pt>
                <c:pt idx="187">
                  <c:v>198.03528892787631</c:v>
                </c:pt>
                <c:pt idx="188">
                  <c:v>200.11035006767145</c:v>
                </c:pt>
                <c:pt idx="189">
                  <c:v>202.19492887092306</c:v>
                </c:pt>
                <c:pt idx="190">
                  <c:v>204.28899765737751</c:v>
                </c:pt>
                <c:pt idx="191">
                  <c:v>206.39252868357926</c:v>
                </c:pt>
                <c:pt idx="192">
                  <c:v>208.50549414370008</c:v>
                </c:pt>
                <c:pt idx="193">
                  <c:v>210.62786617036846</c:v>
                </c:pt>
                <c:pt idx="194">
                  <c:v>212.75961683549909</c:v>
                </c:pt>
                <c:pt idx="195">
                  <c:v>214.90071815112233</c:v>
                </c:pt>
                <c:pt idx="196">
                  <c:v>217.0511420702139</c:v>
                </c:pt>
                <c:pt idx="197">
                  <c:v>219.21086048752423</c:v>
                </c:pt>
                <c:pt idx="198">
                  <c:v>221.37984524040786</c:v>
                </c:pt>
                <c:pt idx="199">
                  <c:v>223.55806810965257</c:v>
                </c:pt>
                <c:pt idx="200">
                  <c:v>225.74550082030828</c:v>
                </c:pt>
                <c:pt idx="201">
                  <c:v>227.94211504251555</c:v>
                </c:pt>
                <c:pt idx="202">
                  <c:v>230.14788239233383</c:v>
                </c:pt>
                <c:pt idx="203">
                  <c:v>232.36277443256904</c:v>
                </c:pt>
                <c:pt idx="204">
                  <c:v>234.58676267360093</c:v>
                </c:pt>
                <c:pt idx="205">
                  <c:v>236.81981857420953</c:v>
                </c:pt>
                <c:pt idx="206">
                  <c:v>239.06191293311676</c:v>
                </c:pt>
                <c:pt idx="207">
                  <c:v>241.31301528033208</c:v>
                </c:pt>
                <c:pt idx="208">
                  <c:v>243.57309448764053</c:v>
                </c:pt>
                <c:pt idx="209">
                  <c:v>245.84211937932093</c:v>
                </c:pt>
                <c:pt idx="210">
                  <c:v>248.12005873304085</c:v>
                </c:pt>
                <c:pt idx="211">
                  <c:v>250.40688128075013</c:v>
                </c:pt>
                <c:pt idx="212">
                  <c:v>252.70255570957312</c:v>
                </c:pt>
                <c:pt idx="213">
                  <c:v>255.00705066269913</c:v>
                </c:pt>
                <c:pt idx="214">
                  <c:v>257.32033474027162</c:v>
                </c:pt>
                <c:pt idx="215">
                  <c:v>259.64237650027547</c:v>
                </c:pt>
                <c:pt idx="216">
                  <c:v>261.97314445942271</c:v>
                </c:pt>
                <c:pt idx="217">
                  <c:v>264.31260709403642</c:v>
                </c:pt>
                <c:pt idx="218">
                  <c:v>266.66073284093289</c:v>
                </c:pt>
                <c:pt idx="219">
                  <c:v>269.01749009830166</c:v>
                </c:pt>
                <c:pt idx="220">
                  <c:v>271.38284722658398</c:v>
                </c:pt>
                <c:pt idx="221">
                  <c:v>273.75677254934885</c:v>
                </c:pt>
                <c:pt idx="222">
                  <c:v>276.1392343541674</c:v>
                </c:pt>
                <c:pt idx="223">
                  <c:v>278.53020089348485</c:v>
                </c:pt>
                <c:pt idx="224">
                  <c:v>280.92964038549042</c:v>
                </c:pt>
                <c:pt idx="225">
                  <c:v>283.33752101498487</c:v>
                </c:pt>
                <c:pt idx="226">
                  <c:v>285.75381093424608</c:v>
                </c:pt>
                <c:pt idx="227">
                  <c:v>288.1784782638918</c:v>
                </c:pt>
                <c:pt idx="228">
                  <c:v>290.61149109374037</c:v>
                </c:pt>
                <c:pt idx="229">
                  <c:v>293.05281748366883</c:v>
                </c:pt>
                <c:pt idx="230">
                  <c:v>295.50242546446856</c:v>
                </c:pt>
                <c:pt idx="231">
                  <c:v>297.96028303869832</c:v>
                </c:pt>
                <c:pt idx="232">
                  <c:v>300.42635818153468</c:v>
                </c:pt>
                <c:pt idx="233">
                  <c:v>302.90061884161969</c:v>
                </c:pt>
                <c:pt idx="234">
                  <c:v>305.38303294190615</c:v>
                </c:pt>
                <c:pt idx="235">
                  <c:v>307.87356838049959</c:v>
                </c:pt>
                <c:pt idx="236">
                  <c:v>310.37219303149789</c:v>
                </c:pt>
                <c:pt idx="237">
                  <c:v>312.87887474582777</c:v>
                </c:pt>
                <c:pt idx="238">
                  <c:v>315.39358135207857</c:v>
                </c:pt>
                <c:pt idx="239">
                  <c:v>317.91628065733266</c:v>
                </c:pt>
                <c:pt idx="240">
                  <c:v>320.44694044799326</c:v>
                </c:pt>
                <c:pt idx="241">
                  <c:v>322.98552849060906</c:v>
                </c:pt>
                <c:pt idx="242">
                  <c:v>325.53201040899722</c:v>
                </c:pt>
                <c:pt idx="243">
                  <c:v>328.08634756159699</c:v>
                </c:pt>
                <c:pt idx="244">
                  <c:v>330.64849916902807</c:v>
                </c:pt>
                <c:pt idx="245">
                  <c:v>333.21842444153123</c:v>
                </c:pt>
                <c:pt idx="246">
                  <c:v>335.79608258001269</c:v>
                </c:pt>
                <c:pt idx="247">
                  <c:v>338.38143277708326</c:v>
                </c:pt>
                <c:pt idx="248">
                  <c:v>340.97443421809157</c:v>
                </c:pt>
                <c:pt idx="249">
                  <c:v>343.57504608215203</c:v>
                </c:pt>
                <c:pt idx="250">
                  <c:v>346.18322754316677</c:v>
                </c:pt>
                <c:pt idx="251">
                  <c:v>348.79893777084214</c:v>
                </c:pt>
                <c:pt idx="252">
                  <c:v>351.42213593169924</c:v>
                </c:pt>
                <c:pt idx="253">
                  <c:v>354.05278119007863</c:v>
                </c:pt>
                <c:pt idx="254">
                  <c:v>356.69083270913922</c:v>
                </c:pt>
                <c:pt idx="255">
                  <c:v>359.33624965185123</c:v>
                </c:pt>
                <c:pt idx="256">
                  <c:v>361.98899118198324</c:v>
                </c:pt>
                <c:pt idx="257">
                  <c:v>364.64901646508298</c:v>
                </c:pt>
                <c:pt idx="258">
                  <c:v>367.31628466945227</c:v>
                </c:pt>
                <c:pt idx="259">
                  <c:v>369.99075496711589</c:v>
                </c:pt>
                <c:pt idx="260">
                  <c:v>372.67238653478415</c:v>
                </c:pt>
                <c:pt idx="261">
                  <c:v>375.36113855480926</c:v>
                </c:pt>
                <c:pt idx="262">
                  <c:v>378.05697021613571</c:v>
                </c:pt>
                <c:pt idx="263">
                  <c:v>380.75984071524414</c:v>
                </c:pt>
                <c:pt idx="264">
                  <c:v>383.46970925708894</c:v>
                </c:pt>
                <c:pt idx="265">
                  <c:v>386.1865350560297</c:v>
                </c:pt>
                <c:pt idx="266">
                  <c:v>388.910277336756</c:v>
                </c:pt>
                <c:pt idx="267">
                  <c:v>391.6408953352061</c:v>
                </c:pt>
                <c:pt idx="268">
                  <c:v>394.37834829947883</c:v>
                </c:pt>
                <c:pt idx="269">
                  <c:v>397.1225954907394</c:v>
                </c:pt>
                <c:pt idx="270">
                  <c:v>399.87359618411836</c:v>
                </c:pt>
                <c:pt idx="271">
                  <c:v>402.63130966960426</c:v>
                </c:pt>
                <c:pt idx="272">
                  <c:v>405.39569525292961</c:v>
                </c:pt>
                <c:pt idx="273">
                  <c:v>408.16671225645035</c:v>
                </c:pt>
                <c:pt idx="274">
                  <c:v>410.94432002001861</c:v>
                </c:pt>
                <c:pt idx="275">
                  <c:v>413.72847790184875</c:v>
                </c:pt>
                <c:pt idx="276">
                  <c:v>416.51914527937703</c:v>
                </c:pt>
                <c:pt idx="277">
                  <c:v>419.3162815501143</c:v>
                </c:pt>
                <c:pt idx="278">
                  <c:v>422.11984613249206</c:v>
                </c:pt>
                <c:pt idx="279">
                  <c:v>424.9297984667017</c:v>
                </c:pt>
                <c:pt idx="280">
                  <c:v>427.74609801552714</c:v>
                </c:pt>
                <c:pt idx="281">
                  <c:v>430.56870426517065</c:v>
                </c:pt>
                <c:pt idx="282">
                  <c:v>433.39757672607175</c:v>
                </c:pt>
                <c:pt idx="283">
                  <c:v>436.23267493371935</c:v>
                </c:pt>
                <c:pt idx="284">
                  <c:v>439.07396096575485</c:v>
                </c:pt>
                <c:pt idx="285">
                  <c:v>441.92140195746595</c:v>
                </c:pt>
                <c:pt idx="286">
                  <c:v>444.77496758027593</c:v>
                </c:pt>
                <c:pt idx="287">
                  <c:v>447.63462752171773</c:v>
                </c:pt>
                <c:pt idx="288">
                  <c:v>450.50035148599227</c:v>
                </c:pt>
                <c:pt idx="289">
                  <c:v>453.37210919452264</c:v>
                </c:pt>
                <c:pt idx="290">
                  <c:v>456.2498703865042</c:v>
                </c:pt>
                <c:pt idx="291">
                  <c:v>459.13360481945074</c:v>
                </c:pt>
                <c:pt idx="292">
                  <c:v>462.023282269736</c:v>
                </c:pt>
                <c:pt idx="293">
                  <c:v>464.91887253313138</c:v>
                </c:pt>
                <c:pt idx="294">
                  <c:v>467.8203454253395</c:v>
                </c:pt>
                <c:pt idx="295">
                  <c:v>470.72767078252326</c:v>
                </c:pt>
                <c:pt idx="296">
                  <c:v>473.64081846183109</c:v>
                </c:pt>
                <c:pt idx="297">
                  <c:v>476.5597583419177</c:v>
                </c:pt>
                <c:pt idx="298">
                  <c:v>479.48446032346072</c:v>
                </c:pt>
                <c:pt idx="299">
                  <c:v>482.41489432967325</c:v>
                </c:pt>
                <c:pt idx="300">
                  <c:v>485.35103030681199</c:v>
                </c:pt>
                <c:pt idx="301">
                  <c:v>488.29283822468119</c:v>
                </c:pt>
                <c:pt idx="302">
                  <c:v>491.24028807713245</c:v>
                </c:pt>
                <c:pt idx="303">
                  <c:v>494.19334988256031</c:v>
                </c:pt>
                <c:pt idx="304">
                  <c:v>497.15199368439346</c:v>
                </c:pt>
                <c:pt idx="305">
                  <c:v>500.11618955158167</c:v>
                </c:pt>
                <c:pt idx="306">
                  <c:v>503.08590757907876</c:v>
                </c:pt>
                <c:pt idx="307">
                  <c:v>506.06111788832106</c:v>
                </c:pt>
                <c:pt idx="308">
                  <c:v>509.04179062770157</c:v>
                </c:pt>
                <c:pt idx="309">
                  <c:v>512.02789597304024</c:v>
                </c:pt>
                <c:pt idx="310">
                  <c:v>515.01940412804936</c:v>
                </c:pt>
                <c:pt idx="311">
                  <c:v>518.01628532479538</c:v>
                </c:pt>
                <c:pt idx="312">
                  <c:v>521.0185098241559</c:v>
                </c:pt>
                <c:pt idx="313">
                  <c:v>524.026047916273</c:v>
                </c:pt>
                <c:pt idx="314">
                  <c:v>527.03886992100161</c:v>
                </c:pt>
                <c:pt idx="315">
                  <c:v>530.05694618835412</c:v>
                </c:pt>
                <c:pt idx="316">
                  <c:v>533.08024709894062</c:v>
                </c:pt>
                <c:pt idx="317">
                  <c:v>536.10874306440451</c:v>
                </c:pt>
                <c:pt idx="318">
                  <c:v>539.14240452785464</c:v>
                </c:pt>
                <c:pt idx="319">
                  <c:v>542.18120196429254</c:v>
                </c:pt>
                <c:pt idx="320">
                  <c:v>545.22510588103557</c:v>
                </c:pt>
                <c:pt idx="321">
                  <c:v>548.27408681813574</c:v>
                </c:pt>
                <c:pt idx="322">
                  <c:v>551.32811534879465</c:v>
                </c:pt>
                <c:pt idx="323">
                  <c:v>554.38716207977359</c:v>
                </c:pt>
                <c:pt idx="324">
                  <c:v>557.45119765180004</c:v>
                </c:pt>
                <c:pt idx="325">
                  <c:v>560.52019273996939</c:v>
                </c:pt>
                <c:pt idx="326">
                  <c:v>563.59411821005699</c:v>
                </c:pt>
                <c:pt idx="327">
                  <c:v>566.67294527466584</c:v>
                </c:pt>
                <c:pt idx="328">
                  <c:v>569.75664533721852</c:v>
                </c:pt>
                <c:pt idx="329">
                  <c:v>572.84518983609951</c:v>
                </c:pt>
                <c:pt idx="330">
                  <c:v>575.93855024502682</c:v>
                </c:pt>
                <c:pt idx="331">
                  <c:v>579.03669807341885</c:v>
                </c:pt>
                <c:pt idx="332">
                  <c:v>582.13960486675751</c:v>
                </c:pt>
                <c:pt idx="333">
                  <c:v>585.24724220694736</c:v>
                </c:pt>
                <c:pt idx="334">
                  <c:v>588.35958171267043</c:v>
                </c:pt>
                <c:pt idx="335">
                  <c:v>591.47659503973739</c:v>
                </c:pt>
                <c:pt idx="336">
                  <c:v>594.59825388143463</c:v>
                </c:pt>
                <c:pt idx="337">
                  <c:v>597.72452996886682</c:v>
                </c:pt>
                <c:pt idx="338">
                  <c:v>600.85539507129636</c:v>
                </c:pt>
                <c:pt idx="339">
                  <c:v>603.99082099647808</c:v>
                </c:pt>
                <c:pt idx="340">
                  <c:v>607.13077959099007</c:v>
                </c:pt>
                <c:pt idx="341">
                  <c:v>610.27524274056111</c:v>
                </c:pt>
                <c:pt idx="342">
                  <c:v>613.4241823703934</c:v>
                </c:pt>
                <c:pt idx="343">
                  <c:v>616.57757044548168</c:v>
                </c:pt>
                <c:pt idx="344">
                  <c:v>619.73537897092842</c:v>
                </c:pt>
                <c:pt idx="345">
                  <c:v>622.89757999225515</c:v>
                </c:pt>
                <c:pt idx="346">
                  <c:v>626.06414559570942</c:v>
                </c:pt>
                <c:pt idx="347">
                  <c:v>629.23504790856862</c:v>
                </c:pt>
                <c:pt idx="348">
                  <c:v>632.4102590994388</c:v>
                </c:pt>
                <c:pt idx="349">
                  <c:v>635.58975137855089</c:v>
                </c:pt>
                <c:pt idx="350">
                  <c:v>638.773496998052</c:v>
                </c:pt>
                <c:pt idx="351">
                  <c:v>641.96146825229323</c:v>
                </c:pt>
                <c:pt idx="352">
                  <c:v>645.15363747811364</c:v>
                </c:pt>
                <c:pt idx="353">
                  <c:v>648.34997705512046</c:v>
                </c:pt>
                <c:pt idx="354">
                  <c:v>651.5504594059654</c:v>
                </c:pt>
                <c:pt idx="355">
                  <c:v>654.75505699661676</c:v>
                </c:pt>
                <c:pt idx="356">
                  <c:v>657.96374233662834</c:v>
                </c:pt>
                <c:pt idx="357">
                  <c:v>661.17648797940421</c:v>
                </c:pt>
                <c:pt idx="358">
                  <c:v>664.39326652245984</c:v>
                </c:pt>
                <c:pt idx="359">
                  <c:v>667.61405060767913</c:v>
                </c:pt>
                <c:pt idx="360">
                  <c:v>670.83881292156821</c:v>
                </c:pt>
                <c:pt idx="361">
                  <c:v>674.06752619550502</c:v>
                </c:pt>
                <c:pt idx="362">
                  <c:v>677.30016320598543</c:v>
                </c:pt>
                <c:pt idx="363">
                  <c:v>680.53669677486562</c:v>
                </c:pt>
                <c:pt idx="364">
                  <c:v>683.77709976960057</c:v>
                </c:pt>
                <c:pt idx="365">
                  <c:v>687.02134510347923</c:v>
                </c:pt>
                <c:pt idx="366">
                  <c:v>690.26940971924967</c:v>
                </c:pt>
                <c:pt idx="367">
                  <c:v>693.52127856737684</c:v>
                </c:pt>
                <c:pt idx="368">
                  <c:v>696.77694060822057</c:v>
                </c:pt>
                <c:pt idx="369">
                  <c:v>700.03638481950395</c:v>
                </c:pt>
                <c:pt idx="370">
                  <c:v>703.29960019639248</c:v>
                </c:pt>
                <c:pt idx="371">
                  <c:v>706.56657575157203</c:v>
                </c:pt>
                <c:pt idx="372">
                  <c:v>709.83730051532598</c:v>
                </c:pt>
                <c:pt idx="373">
                  <c:v>713.11176353561132</c:v>
                </c:pt>
                <c:pt idx="374">
                  <c:v>716.38995387813452</c:v>
                </c:pt>
                <c:pt idx="375">
                  <c:v>719.67186062642566</c:v>
                </c:pt>
                <c:pt idx="376">
                  <c:v>722.95747288191239</c:v>
                </c:pt>
                <c:pt idx="377">
                  <c:v>726.24677976399289</c:v>
                </c:pt>
                <c:pt idx="378">
                  <c:v>729.53977041010774</c:v>
                </c:pt>
                <c:pt idx="379">
                  <c:v>732.83643397581136</c:v>
                </c:pt>
                <c:pt idx="380">
                  <c:v>736.13675963484229</c:v>
                </c:pt>
                <c:pt idx="381">
                  <c:v>739.4407322675703</c:v>
                </c:pt>
                <c:pt idx="382">
                  <c:v>742.74832815552952</c:v>
                </c:pt>
                <c:pt idx="383">
                  <c:v>746.05951930953643</c:v>
                </c:pt>
                <c:pt idx="384">
                  <c:v>749.37427779178961</c:v>
                </c:pt>
                <c:pt idx="385">
                  <c:v>752.69257571607443</c:v>
                </c:pt>
                <c:pt idx="386">
                  <c:v>756.01438524796424</c:v>
                </c:pt>
                <c:pt idx="387">
                  <c:v>759.33967860501718</c:v>
                </c:pt>
                <c:pt idx="388">
                  <c:v>762.66842805697013</c:v>
                </c:pt>
                <c:pt idx="389">
                  <c:v>766.00060592592774</c:v>
                </c:pt>
                <c:pt idx="390">
                  <c:v>769.33618458654894</c:v>
                </c:pt>
                <c:pt idx="391">
                  <c:v>772.67513646622876</c:v>
                </c:pt>
                <c:pt idx="392">
                  <c:v>776.01743404527701</c:v>
                </c:pt>
                <c:pt idx="393">
                  <c:v>779.36304985709285</c:v>
                </c:pt>
                <c:pt idx="394">
                  <c:v>782.71195648833623</c:v>
                </c:pt>
                <c:pt idx="395">
                  <c:v>786.06412657909539</c:v>
                </c:pt>
                <c:pt idx="396">
                  <c:v>789.41953282305042</c:v>
                </c:pt>
                <c:pt idx="397">
                  <c:v>792.77814796763391</c:v>
                </c:pt>
                <c:pt idx="398">
                  <c:v>796.13994481418752</c:v>
                </c:pt>
                <c:pt idx="399">
                  <c:v>799.50489621811505</c:v>
                </c:pt>
                <c:pt idx="400">
                  <c:v>802.87297508903237</c:v>
                </c:pt>
                <c:pt idx="401">
                  <c:v>806.24415099410623</c:v>
                </c:pt>
                <c:pt idx="402">
                  <c:v>809.6183867667138</c:v>
                </c:pt>
                <c:pt idx="403">
                  <c:v>812.99564191727802</c:v>
                </c:pt>
                <c:pt idx="404">
                  <c:v>816.37587603884538</c:v>
                </c:pt>
                <c:pt idx="405">
                  <c:v>819.75904880735732</c:v>
                </c:pt>
                <c:pt idx="406">
                  <c:v>823.14511998191347</c:v>
                </c:pt>
                <c:pt idx="407">
                  <c:v>826.53404940502912</c:v>
                </c:pt>
                <c:pt idx="408">
                  <c:v>829.92579700288445</c:v>
                </c:pt>
                <c:pt idx="409">
                  <c:v>833.3203227855679</c:v>
                </c:pt>
                <c:pt idx="410">
                  <c:v>836.71758684731185</c:v>
                </c:pt>
                <c:pt idx="411">
                  <c:v>840.1175305855686</c:v>
                </c:pt>
                <c:pt idx="412">
                  <c:v>843.52005795171067</c:v>
                </c:pt>
                <c:pt idx="413">
                  <c:v>846.92505431313396</c:v>
                </c:pt>
                <c:pt idx="414">
                  <c:v>850.33240528453723</c:v>
                </c:pt>
                <c:pt idx="415">
                  <c:v>853.7419967297285</c:v>
                </c:pt>
                <c:pt idx="416">
                  <c:v>857.15371476338169</c:v>
                </c:pt>
                <c:pt idx="417">
                  <c:v>860.5674457527424</c:v>
                </c:pt>
                <c:pt idx="418">
                  <c:v>863.98307631928424</c:v>
                </c:pt>
                <c:pt idx="419">
                  <c:v>867.40049334031517</c:v>
                </c:pt>
                <c:pt idx="420">
                  <c:v>870.81957326204031</c:v>
                </c:pt>
                <c:pt idx="421">
                  <c:v>874.24017143316973</c:v>
                </c:pt>
                <c:pt idx="422">
                  <c:v>877.6621328450459</c:v>
                </c:pt>
                <c:pt idx="423">
                  <c:v>881.0853028518743</c:v>
                </c:pt>
                <c:pt idx="424">
                  <c:v>884.50952717355756</c:v>
                </c:pt>
                <c:pt idx="425">
                  <c:v>887.93465189843914</c:v>
                </c:pt>
                <c:pt idx="426">
                  <c:v>891.3605234859582</c:v>
                </c:pt>
                <c:pt idx="427">
                  <c:v>894.7869887692143</c:v>
                </c:pt>
                <c:pt idx="428">
                  <c:v>898.21389495744484</c:v>
                </c:pt>
                <c:pt idx="429">
                  <c:v>901.6410896384142</c:v>
                </c:pt>
                <c:pt idx="430">
                  <c:v>905.06842078071634</c:v>
                </c:pt>
                <c:pt idx="431">
                  <c:v>908.49573673599082</c:v>
                </c:pt>
                <c:pt idx="432">
                  <c:v>911.92286901082491</c:v>
                </c:pt>
                <c:pt idx="433">
                  <c:v>915.34961507862499</c:v>
                </c:pt>
                <c:pt idx="434">
                  <c:v>918.77575570328543</c:v>
                </c:pt>
                <c:pt idx="435">
                  <c:v>922.20107222423758</c:v>
                </c:pt>
                <c:pt idx="436">
                  <c:v>925.62534656122943</c:v>
                </c:pt>
                <c:pt idx="437">
                  <c:v>929.04836121892822</c:v>
                </c:pt>
                <c:pt idx="438">
                  <c:v>932.46989929134531</c:v>
                </c:pt>
                <c:pt idx="439">
                  <c:v>935.88974446608654</c:v>
                </c:pt>
                <c:pt idx="440">
                  <c:v>939.30768102842853</c:v>
                </c:pt>
                <c:pt idx="441">
                  <c:v>942.72349386522285</c:v>
                </c:pt>
                <c:pt idx="442">
                  <c:v>946.13697893422545</c:v>
                </c:pt>
                <c:pt idx="443">
                  <c:v>949.54795370440308</c:v>
                </c:pt>
                <c:pt idx="444">
                  <c:v>952.95624663154194</c:v>
                </c:pt>
                <c:pt idx="445">
                  <c:v>956.36168666172034</c:v>
                </c:pt>
                <c:pt idx="446">
                  <c:v>959.76410323275718</c:v>
                </c:pt>
                <c:pt idx="447">
                  <c:v>963.16332627555823</c:v>
                </c:pt>
                <c:pt idx="448">
                  <c:v>966.55918621536193</c:v>
                </c:pt>
                <c:pt idx="449">
                  <c:v>969.95151397288544</c:v>
                </c:pt>
                <c:pt idx="450">
                  <c:v>973.34014096537271</c:v>
                </c:pt>
                <c:pt idx="451">
                  <c:v>976.72489910754462</c:v>
                </c:pt>
                <c:pt idx="452">
                  <c:v>980.10562081245394</c:v>
                </c:pt>
                <c:pt idx="453">
                  <c:v>983.48215397757838</c:v>
                </c:pt>
                <c:pt idx="454">
                  <c:v>986.85437692458504</c:v>
                </c:pt>
                <c:pt idx="455">
                  <c:v>990.22218331897454</c:v>
                </c:pt>
                <c:pt idx="456">
                  <c:v>993.58546713534849</c:v>
                </c:pt>
                <c:pt idx="457">
                  <c:v>996.94412265679148</c:v>
                </c:pt>
                <c:pt idx="458">
                  <c:v>1000.2980444742217</c:v>
                </c:pt>
                <c:pt idx="459">
                  <c:v>1003.6471274857109</c:v>
                </c:pt>
                <c:pt idx="460">
                  <c:v>1006.9912668957747</c:v>
                </c:pt>
                <c:pt idx="461">
                  <c:v>1010.3303716988762</c:v>
                </c:pt>
                <c:pt idx="462">
                  <c:v>1013.6643781196631</c:v>
                </c:pt>
                <c:pt idx="463">
                  <c:v>1016.9932360401639</c:v>
                </c:pt>
                <c:pt idx="464">
                  <c:v>1020.3168954702556</c:v>
                </c:pt>
                <c:pt idx="465">
                  <c:v>1023.6353065469464</c:v>
                </c:pt>
                <c:pt idx="466">
                  <c:v>1026.9484082064639</c:v>
                </c:pt>
                <c:pt idx="467">
                  <c:v>1030.256116893034</c:v>
                </c:pt>
                <c:pt idx="468">
                  <c:v>1033.5582118204468</c:v>
                </c:pt>
                <c:pt idx="469">
                  <c:v>1036.8543749797363</c:v>
                </c:pt>
                <c:pt idx="470">
                  <c:v>1040.1444719614792</c:v>
                </c:pt>
                <c:pt idx="471">
                  <c:v>1043.4285231193505</c:v>
                </c:pt>
                <c:pt idx="472">
                  <c:v>1046.7065486942458</c:v>
                </c:pt>
                <c:pt idx="473">
                  <c:v>1049.9785688151203</c:v>
                </c:pt>
                <c:pt idx="474">
                  <c:v>1053.2446034998193</c:v>
                </c:pt>
                <c:pt idx="475">
                  <c:v>1056.5046726559019</c:v>
                </c:pt>
                <c:pt idx="476">
                  <c:v>1059.7587960814574</c:v>
                </c:pt>
                <c:pt idx="477">
                  <c:v>1063.0069934659123</c:v>
                </c:pt>
                <c:pt idx="478">
                  <c:v>1066.2492843908319</c:v>
                </c:pt>
                <c:pt idx="479">
                  <c:v>1069.4856883307134</c:v>
                </c:pt>
                <c:pt idx="480">
                  <c:v>1072.716224653771</c:v>
                </c:pt>
                <c:pt idx="481">
                  <c:v>1075.9409126227156</c:v>
                </c:pt>
                <c:pt idx="482">
                  <c:v>1079.1597713955259</c:v>
                </c:pt>
                <c:pt idx="483">
                  <c:v>1082.3728200262124</c:v>
                </c:pt>
                <c:pt idx="484">
                  <c:v>1085.5800774655752</c:v>
                </c:pt>
                <c:pt idx="485">
                  <c:v>1088.7815625619544</c:v>
                </c:pt>
                <c:pt idx="486">
                  <c:v>1091.9772940619735</c:v>
                </c:pt>
                <c:pt idx="487">
                  <c:v>1095.1672906112763</c:v>
                </c:pt>
                <c:pt idx="488">
                  <c:v>1098.3515707552569</c:v>
                </c:pt>
                <c:pt idx="489">
                  <c:v>1101.5301529397839</c:v>
                </c:pt>
                <c:pt idx="490">
                  <c:v>1104.7030555119154</c:v>
                </c:pt>
                <c:pt idx="491">
                  <c:v>1107.8702967206116</c:v>
                </c:pt>
                <c:pt idx="492">
                  <c:v>1111.0318947174371</c:v>
                </c:pt>
                <c:pt idx="493">
                  <c:v>1114.1878675572598</c:v>
                </c:pt>
                <c:pt idx="494">
                  <c:v>1117.338233198941</c:v>
                </c:pt>
                <c:pt idx="495">
                  <c:v>1120.4830095060213</c:v>
                </c:pt>
                <c:pt idx="496">
                  <c:v>1123.6222142473996</c:v>
                </c:pt>
                <c:pt idx="497">
                  <c:v>1126.7558650980054</c:v>
                </c:pt>
                <c:pt idx="498">
                  <c:v>1129.8839796394664</c:v>
                </c:pt>
                <c:pt idx="499">
                  <c:v>1133.0065753607689</c:v>
                </c:pt>
                <c:pt idx="500">
                  <c:v>1136.1236696589131</c:v>
                </c:pt>
                <c:pt idx="501">
                  <c:v>1166.9933745316325</c:v>
                </c:pt>
                <c:pt idx="502">
                  <c:v>1197.324024968339</c:v>
                </c:pt>
                <c:pt idx="503">
                  <c:v>1227.1321752253491</c:v>
                </c:pt>
                <c:pt idx="504">
                  <c:v>1256.4335402738652</c:v>
                </c:pt>
                <c:pt idx="505">
                  <c:v>1285.2430521758179</c:v>
                </c:pt>
                <c:pt idx="506">
                  <c:v>1313.5749117582604</c:v>
                </c:pt>
                <c:pt idx="507">
                  <c:v>1341.4426360519772</c:v>
                </c:pt>
                <c:pt idx="508">
                  <c:v>1368.8591019067758</c:v>
                </c:pt>
                <c:pt idx="509">
                  <c:v>1395.8365861496115</c:v>
                </c:pt>
                <c:pt idx="510">
                  <c:v>1422.3868026112341</c:v>
                </c:pt>
                <c:pt idx="511">
                  <c:v>1448.5209363116428</c:v>
                </c:pt>
                <c:pt idx="512">
                  <c:v>1474.2496750635746</c:v>
                </c:pt>
                <c:pt idx="513">
                  <c:v>1499.5832387259472</c:v>
                </c:pt>
                <c:pt idx="514">
                  <c:v>1524.5314063151184</c:v>
                </c:pt>
                <c:pt idx="515">
                  <c:v>1549.1035411605933</c:v>
                </c:pt>
                <c:pt idx="516">
                  <c:v>1573.3086142730256</c:v>
                </c:pt>
                <c:pt idx="517">
                  <c:v>1597.1552260757098</c:v>
                </c:pt>
                <c:pt idx="518">
                  <c:v>1620.6516266359888</c:v>
                </c:pt>
                <c:pt idx="519">
                  <c:v>1643.8057345198495</c:v>
                </c:pt>
                <c:pt idx="520">
                  <c:v>1666.6251543812725</c:v>
                </c:pt>
                <c:pt idx="521">
                  <c:v>1689.1171933874439</c:v>
                </c:pt>
                <c:pt idx="522">
                  <c:v>1711.2888765715952</c:v>
                </c:pt>
                <c:pt idx="523">
                  <c:v>1733.1469611968694</c:v>
                </c:pt>
                <c:pt idx="524">
                  <c:v>1754.6979502071074</c:v>
                </c:pt>
                <c:pt idx="525">
                  <c:v>1775.9481048337102</c:v>
                </c:pt>
                <c:pt idx="526">
                  <c:v>1796.9034564216686</c:v>
                </c:pt>
                <c:pt idx="527">
                  <c:v>1817.5698175323955</c:v>
                </c:pt>
                <c:pt idx="528">
                  <c:v>1837.95279237607</c:v>
                </c:pt>
                <c:pt idx="529">
                  <c:v>1858.0577866217511</c:v>
                </c:pt>
                <c:pt idx="530">
                  <c:v>1877.8900166295027</c:v>
                </c:pt>
                <c:pt idx="531">
                  <c:v>1897.4545181451226</c:v>
                </c:pt>
                <c:pt idx="532">
                  <c:v>1916.7561544947685</c:v>
                </c:pt>
                <c:pt idx="533">
                  <c:v>1935.7996243137759</c:v>
                </c:pt>
                <c:pt idx="534">
                  <c:v>1954.5894688412363</c:v>
                </c:pt>
                <c:pt idx="535">
                  <c:v>1973.1300788094265</c:v>
                </c:pt>
                <c:pt idx="536">
                  <c:v>1991.4257009549181</c:v>
                </c:pt>
                <c:pt idx="537">
                  <c:v>2009.4804441761401</c:v>
                </c:pt>
                <c:pt idx="538">
                  <c:v>2027.2982853602853</c:v>
                </c:pt>
                <c:pt idx="539">
                  <c:v>2044.8830749007318</c:v>
                </c:pt>
                <c:pt idx="540">
                  <c:v>2062.2385419245788</c:v>
                </c:pt>
                <c:pt idx="541">
                  <c:v>2079.3682992484605</c:v>
                </c:pt>
                <c:pt idx="542">
                  <c:v>2096.2758480794728</c:v>
                </c:pt>
                <c:pt idx="543">
                  <c:v>2112.9645824768481</c:v>
                </c:pt>
                <c:pt idx="544">
                  <c:v>2129.4377935888911</c:v>
                </c:pt>
                <c:pt idx="545">
                  <c:v>2145.6986736786735</c:v>
                </c:pt>
                <c:pt idx="546">
                  <c:v>2161.7503199510402</c:v>
                </c:pt>
                <c:pt idx="547">
                  <c:v>2177.5957381926164</c:v>
                </c:pt>
                <c:pt idx="548">
                  <c:v>2193.2378462357037</c:v>
                </c:pt>
                <c:pt idx="549">
                  <c:v>2208.6794772562225</c:v>
                </c:pt>
                <c:pt idx="550">
                  <c:v>2223.9233829151676</c:v>
                </c:pt>
                <c:pt idx="551">
                  <c:v>2238.9722363524293</c:v>
                </c:pt>
                <c:pt idx="552">
                  <c:v>2253.82863504124</c:v>
                </c:pt>
                <c:pt idx="553">
                  <c:v>2268.4951035109739</c:v>
                </c:pt>
                <c:pt idx="554">
                  <c:v>2282.9740959455289</c:v>
                </c:pt>
                <c:pt idx="555">
                  <c:v>2297.2679986640587</c:v>
                </c:pt>
                <c:pt idx="556">
                  <c:v>2311.3791324903946</c:v>
                </c:pt>
                <c:pt idx="557">
                  <c:v>2325.3097550170955</c:v>
                </c:pt>
                <c:pt idx="558">
                  <c:v>2339.0620627697062</c:v>
                </c:pt>
                <c:pt idx="559">
                  <c:v>2352.6381932764475</c:v>
                </c:pt>
                <c:pt idx="560">
                  <c:v>2366.0402270482532</c:v>
                </c:pt>
                <c:pt idx="561">
                  <c:v>2379.2701894737665</c:v>
                </c:pt>
                <c:pt idx="562">
                  <c:v>2392.3300526336361</c:v>
                </c:pt>
                <c:pt idx="563">
                  <c:v>2405.2217370381873</c:v>
                </c:pt>
                <c:pt idx="564">
                  <c:v>2417.9471132923145</c:v>
                </c:pt>
                <c:pt idx="565">
                  <c:v>2430.508003691205</c:v>
                </c:pt>
                <c:pt idx="566">
                  <c:v>2442.9061837503027</c:v>
                </c:pt>
                <c:pt idx="567">
                  <c:v>2455.1433836727247</c:v>
                </c:pt>
                <c:pt idx="568">
                  <c:v>2467.2212897571526</c:v>
                </c:pt>
                <c:pt idx="569">
                  <c:v>2479.1415457490634</c:v>
                </c:pt>
                <c:pt idx="570">
                  <c:v>2490.905754137988</c:v>
                </c:pt>
                <c:pt idx="571">
                  <c:v>2502.5154774033535</c:v>
                </c:pt>
                <c:pt idx="572">
                  <c:v>2513.9722392113072</c:v>
                </c:pt>
                <c:pt idx="573">
                  <c:v>2525.2775255648039</c:v>
                </c:pt>
                <c:pt idx="574">
                  <c:v>2536.4327859091059</c:v>
                </c:pt>
                <c:pt idx="575">
                  <c:v>2547.4394341947282</c:v>
                </c:pt>
                <c:pt idx="576">
                  <c:v>2558.2988498997615</c:v>
                </c:pt>
                <c:pt idx="577">
                  <c:v>2569.0123790133953</c:v>
                </c:pt>
                <c:pt idx="578">
                  <c:v>2579.5813349823666</c:v>
                </c:pt>
                <c:pt idx="579">
                  <c:v>2590.0069996219795</c:v>
                </c:pt>
                <c:pt idx="580">
                  <c:v>2600.2906239932436</c:v>
                </c:pt>
                <c:pt idx="581">
                  <c:v>2610.4334292476074</c:v>
                </c:pt>
                <c:pt idx="582">
                  <c:v>2620.4366074406857</c:v>
                </c:pt>
                <c:pt idx="583">
                  <c:v>2630.3013223163061</c:v>
                </c:pt>
                <c:pt idx="584">
                  <c:v>2640.0287100621381</c:v>
                </c:pt>
                <c:pt idx="585">
                  <c:v>2649.6198800381003</c:v>
                </c:pt>
                <c:pt idx="586">
                  <c:v>2659.0759154786851</c:v>
                </c:pt>
                <c:pt idx="587">
                  <c:v>2668.397874170284</c:v>
                </c:pt>
                <c:pt idx="588">
                  <c:v>2677.5867891045386</c:v>
                </c:pt>
                <c:pt idx="589">
                  <c:v>2686.6436691087033</c:v>
                </c:pt>
                <c:pt idx="590">
                  <c:v>2695.5694994539444</c:v>
                </c:pt>
                <c:pt idx="591">
                  <c:v>2704.3652424424686</c:v>
                </c:pt>
                <c:pt idx="592">
                  <c:v>2713.0318379743217</c:v>
                </c:pt>
                <c:pt idx="593">
                  <c:v>2721.5702040946653</c:v>
                </c:pt>
                <c:pt idx="594">
                  <c:v>2729.9812375222973</c:v>
                </c:pt>
                <c:pt idx="595">
                  <c:v>2738.2658141601491</c:v>
                </c:pt>
                <c:pt idx="596">
                  <c:v>2746.4247895884532</c:v>
                </c:pt>
                <c:pt idx="597">
                  <c:v>2754.4589995412525</c:v>
                </c:pt>
                <c:pt idx="598">
                  <c:v>2762.3692603668806</c:v>
                </c:pt>
                <c:pt idx="599">
                  <c:v>2770.1563694730216</c:v>
                </c:pt>
                <c:pt idx="600">
                  <c:v>2777.8211057569283</c:v>
                </c:pt>
                <c:pt idx="601">
                  <c:v>2785.3642300213514</c:v>
                </c:pt>
                <c:pt idx="602">
                  <c:v>2792.7864853767055</c:v>
                </c:pt>
                <c:pt idx="603">
                  <c:v>2800.0885976299805</c:v>
                </c:pt>
                <c:pt idx="604">
                  <c:v>2807.2712756608776</c:v>
                </c:pt>
                <c:pt idx="605">
                  <c:v>2814.3352117856307</c:v>
                </c:pt>
                <c:pt idx="606">
                  <c:v>2821.2810821089602</c:v>
                </c:pt>
                <c:pt idx="607">
                  <c:v>2828.1095468645722</c:v>
                </c:pt>
                <c:pt idx="608">
                  <c:v>2834.8212507446174</c:v>
                </c:pt>
                <c:pt idx="609">
                  <c:v>2841.4168232184888</c:v>
                </c:pt>
                <c:pt idx="610">
                  <c:v>2847.8968788413335</c:v>
                </c:pt>
                <c:pt idx="611">
                  <c:v>2854.2620175526322</c:v>
                </c:pt>
                <c:pt idx="612">
                  <c:v>2860.5128249651884</c:v>
                </c:pt>
                <c:pt idx="613">
                  <c:v>2866.6498726448513</c:v>
                </c:pt>
                <c:pt idx="614">
                  <c:v>2872.6737183812888</c:v>
                </c:pt>
                <c:pt idx="615">
                  <c:v>2878.5849064501108</c:v>
                </c:pt>
                <c:pt idx="616">
                  <c:v>2884.3839678666295</c:v>
                </c:pt>
                <c:pt idx="617">
                  <c:v>2890.0714206315383</c:v>
                </c:pt>
                <c:pt idx="618">
                  <c:v>2895.6477699687721</c:v>
                </c:pt>
                <c:pt idx="619">
                  <c:v>2901.1135085558099</c:v>
                </c:pt>
                <c:pt idx="620">
                  <c:v>2906.4691167466653</c:v>
                </c:pt>
                <c:pt idx="621">
                  <c:v>2911.7150627878032</c:v>
                </c:pt>
                <c:pt idx="622">
                  <c:v>2916.8518030272144</c:v>
                </c:pt>
                <c:pt idx="623">
                  <c:v>2921.87978211687</c:v>
                </c:pt>
                <c:pt idx="624">
                  <c:v>2926.7994332087719</c:v>
                </c:pt>
                <c:pt idx="625">
                  <c:v>2931.6111781448067</c:v>
                </c:pt>
                <c:pt idx="626">
                  <c:v>2936.3154276406085</c:v>
                </c:pt>
                <c:pt idx="627">
                  <c:v>2940.912581463625</c:v>
                </c:pt>
                <c:pt idx="628">
                  <c:v>2945.4030286055836</c:v>
                </c:pt>
                <c:pt idx="629">
                  <c:v>2949.7871474495437</c:v>
                </c:pt>
                <c:pt idx="630">
                  <c:v>2954.065305931721</c:v>
                </c:pt>
                <c:pt idx="631">
                  <c:v>2958.2378616982696</c:v>
                </c:pt>
                <c:pt idx="632">
                  <c:v>2962.305162257202</c:v>
                </c:pt>
                <c:pt idx="633">
                  <c:v>2966.2675451256268</c:v>
                </c:pt>
                <c:pt idx="634">
                  <c:v>2970.1253379724908</c:v>
                </c:pt>
                <c:pt idx="635">
                  <c:v>2973.8788587570029</c:v>
                </c:pt>
                <c:pt idx="636">
                  <c:v>2977.5284158629352</c:v>
                </c:pt>
                <c:pt idx="637">
                  <c:v>2981.0743082289832</c:v>
                </c:pt>
                <c:pt idx="638">
                  <c:v>2984.5168254753962</c:v>
                </c:pt>
                <c:pt idx="639">
                  <c:v>2987.8562480270753</c:v>
                </c:pt>
                <c:pt idx="640">
                  <c:v>2991.0928472333685</c:v>
                </c:pt>
                <c:pt idx="641">
                  <c:v>2994.226885484793</c:v>
                </c:pt>
                <c:pt idx="642">
                  <c:v>2997.2586163269411</c:v>
                </c:pt>
                <c:pt idx="643">
                  <c:v>3000.1882845718474</c:v>
                </c:pt>
                <c:pt idx="644">
                  <c:v>3003.0161264071226</c:v>
                </c:pt>
                <c:pt idx="645">
                  <c:v>3005.7423695031976</c:v>
                </c:pt>
                <c:pt idx="646">
                  <c:v>3008.3672331190573</c:v>
                </c:pt>
                <c:pt idx="647">
                  <c:v>3010.890928206903</c:v>
                </c:pt>
                <c:pt idx="648">
                  <c:v>3013.3136575162339</c:v>
                </c:pt>
                <c:pt idx="649">
                  <c:v>3015.6356156979273</c:v>
                </c:pt>
                <c:pt idx="650">
                  <c:v>3017.8569894089692</c:v>
                </c:pt>
                <c:pt idx="651">
                  <c:v>3019.9779574186091</c:v>
                </c:pt>
                <c:pt idx="652">
                  <c:v>3021.9986907168359</c:v>
                </c:pt>
                <c:pt idx="653">
                  <c:v>3023.9193526262193</c:v>
                </c:pt>
                <c:pt idx="654">
                  <c:v>3025.740098918352</c:v>
                </c:pt>
                <c:pt idx="655">
                  <c:v>3027.4610779363352</c:v>
                </c:pt>
                <c:pt idx="656">
                  <c:v>3029.0824307249941</c:v>
                </c:pt>
                <c:pt idx="657">
                  <c:v>3030.6042911708023</c:v>
                </c:pt>
                <c:pt idx="658">
                  <c:v>3032.0267861538114</c:v>
                </c:pt>
                <c:pt idx="659">
                  <c:v>3033.350035714242</c:v>
                </c:pt>
                <c:pt idx="660">
                  <c:v>3034.5741532367729</c:v>
                </c:pt>
                <c:pt idx="661">
                  <c:v>3035.6992456559633</c:v>
                </c:pt>
                <c:pt idx="662">
                  <c:v>3036.7254136866236</c:v>
                </c:pt>
                <c:pt idx="663">
                  <c:v>3037.6527520832678</c:v>
                </c:pt>
                <c:pt idx="664">
                  <c:v>3038.4813499330007</c:v>
                </c:pt>
                <c:pt idx="665">
                  <c:v>3039.2112909862185</c:v>
                </c:pt>
                <c:pt idx="666">
                  <c:v>3039.842654029248</c:v>
                </c:pt>
                <c:pt idx="667">
                  <c:v>3040.3755133024438</c:v>
                </c:pt>
                <c:pt idx="668">
                  <c:v>3040.8099389661788</c:v>
                </c:pt>
                <c:pt idx="669">
                  <c:v>3041.1459976155788</c:v>
                </c:pt>
                <c:pt idx="670">
                  <c:v>3041.3837528427566</c:v>
                </c:pt>
                <c:pt idx="671">
                  <c:v>3041.5232658427863</c:v>
                </c:pt>
                <c:pt idx="672">
                  <c:v>3041.5645960569277</c:v>
                </c:pt>
                <c:pt idx="673">
                  <c:v>3041.5078018439526</c:v>
                </c:pt>
                <c:pt idx="674">
                  <c:v>3041.3529411681816</c:v>
                </c:pt>
                <c:pt idx="675">
                  <c:v>3041.1000722913541</c:v>
                </c:pt>
                <c:pt idx="676">
                  <c:v>3040.7492544549605</c:v>
                </c:pt>
                <c:pt idx="677">
                  <c:v>3040.3005485402296</c:v>
                </c:pt>
                <c:pt idx="678">
                  <c:v>3039.7540176945431</c:v>
                </c:pt>
                <c:pt idx="679">
                  <c:v>3039.109727915315</c:v>
                </c:pt>
                <c:pt idx="680">
                  <c:v>3038.3677485850767</c:v>
                </c:pt>
                <c:pt idx="681">
                  <c:v>3037.5281529542294</c:v>
                </c:pt>
                <c:pt idx="682">
                  <c:v>3036.5910185704206</c:v>
                </c:pt>
                <c:pt idx="683">
                  <c:v>3035.5564276555742</c:v>
                </c:pt>
                <c:pt idx="684">
                  <c:v>3034.4244674331426</c:v>
                </c:pt>
                <c:pt idx="685">
                  <c:v>3033.1952304091938</c:v>
                </c:pt>
                <c:pt idx="686">
                  <c:v>3031.8688146115232</c:v>
                </c:pt>
                <c:pt idx="687">
                  <c:v>3030.4453237911957</c:v>
                </c:pt>
                <c:pt idx="688">
                  <c:v>3028.9248675908698</c:v>
                </c:pt>
                <c:pt idx="689">
                  <c:v>3027.3075616840315</c:v>
                </c:pt>
                <c:pt idx="690">
                  <c:v>3025.5935278889133</c:v>
                </c:pt>
                <c:pt idx="691">
                  <c:v>3023.7828942604965</c:v>
                </c:pt>
                <c:pt idx="692">
                  <c:v>3021.8757951635862</c:v>
                </c:pt>
                <c:pt idx="693">
                  <c:v>3019.8723713295626</c:v>
                </c:pt>
                <c:pt idx="694">
                  <c:v>3017.7727698990529</c:v>
                </c:pt>
                <c:pt idx="695">
                  <c:v>3015.5771444524394</c:v>
                </c:pt>
                <c:pt idx="696">
                  <c:v>3013.2856550298416</c:v>
                </c:pt>
                <c:pt idx="697">
                  <c:v>3010.8984681419538</c:v>
                </c:pt>
                <c:pt idx="698">
                  <c:v>3008.4157567729121</c:v>
                </c:pt>
                <c:pt idx="699">
                  <c:v>3005.8377003761821</c:v>
                </c:pt>
                <c:pt idx="700">
                  <c:v>3003.1644848643055</c:v>
                </c:pt>
                <c:pt idx="701">
                  <c:v>3000.3963025932112</c:v>
                </c:pt>
                <c:pt idx="702">
                  <c:v>2997.5333523416948</c:v>
                </c:pt>
                <c:pt idx="703">
                  <c:v>2994.575839286576</c:v>
                </c:pt>
                <c:pt idx="704">
                  <c:v>2991.5239749739626</c:v>
                </c:pt>
                <c:pt idx="705">
                  <c:v>2988.377977286998</c:v>
                </c:pt>
                <c:pt idx="706">
                  <c:v>2985.1380704104045</c:v>
                </c:pt>
                <c:pt idx="707">
                  <c:v>2981.8044847920946</c:v>
                </c:pt>
                <c:pt idx="708">
                  <c:v>2978.3774571020895</c:v>
                </c:pt>
                <c:pt idx="709">
                  <c:v>2974.8572301889435</c:v>
                </c:pt>
                <c:pt idx="710">
                  <c:v>2971.2440530338581</c:v>
                </c:pt>
                <c:pt idx="711">
                  <c:v>2967.5381807026356</c:v>
                </c:pt>
                <c:pt idx="712">
                  <c:v>2963.7398742956134</c:v>
                </c:pt>
                <c:pt idx="713">
                  <c:v>2959.8494008957014</c:v>
                </c:pt>
                <c:pt idx="714">
                  <c:v>2955.8670335146276</c:v>
                </c:pt>
                <c:pt idx="715">
                  <c:v>2951.7930510374927</c:v>
                </c:pt>
                <c:pt idx="716">
                  <c:v>2947.6277381657205</c:v>
                </c:pt>
                <c:pt idx="717">
                  <c:v>2943.3713853584841</c:v>
                </c:pt>
                <c:pt idx="718">
                  <c:v>2939.0242887726813</c:v>
                </c:pt>
                <c:pt idx="719">
                  <c:v>2934.586750201528</c:v>
                </c:pt>
                <c:pt idx="720">
                  <c:v>2930.0590770118306</c:v>
                </c:pt>
                <c:pt idx="721">
                  <c:v>2925.4415820799964</c:v>
                </c:pt>
                <c:pt idx="722">
                  <c:v>2920.7345837268376</c:v>
                </c:pt>
                <c:pt idx="723">
                  <c:v>2915.9384056512208</c:v>
                </c:pt>
                <c:pt idx="724">
                  <c:v>2911.0533768626078</c:v>
                </c:pt>
                <c:pt idx="725">
                  <c:v>2906.0798316125406</c:v>
                </c:pt>
                <c:pt idx="726">
                  <c:v>2901.0181093251094</c:v>
                </c:pt>
                <c:pt idx="727">
                  <c:v>2895.868554526452</c:v>
                </c:pt>
                <c:pt idx="728">
                  <c:v>2890.6315167733223</c:v>
                </c:pt>
                <c:pt idx="729">
                  <c:v>2885.3073505807706</c:v>
                </c:pt>
                <c:pt idx="730">
                  <c:v>2879.8964153489746</c:v>
                </c:pt>
                <c:pt idx="731">
                  <c:v>2874.3990752892591</c:v>
                </c:pt>
                <c:pt idx="732">
                  <c:v>2868.8156993493426</c:v>
                </c:pt>
                <c:pt idx="733">
                  <c:v>2863.1466611378455</c:v>
                </c:pt>
                <c:pt idx="734">
                  <c:v>2857.3923388481012</c:v>
                </c:pt>
                <c:pt idx="735">
                  <c:v>2851.5531151812984</c:v>
                </c:pt>
                <c:pt idx="736">
                  <c:v>2845.6293772689955</c:v>
                </c:pt>
                <c:pt idx="737">
                  <c:v>2839.621516595038</c:v>
                </c:pt>
                <c:pt idx="738">
                  <c:v>2833.5299289169143</c:v>
                </c:pt>
                <c:pt idx="739">
                  <c:v>2827.3550141865844</c:v>
                </c:pt>
                <c:pt idx="740">
                  <c:v>2821.0971764708129</c:v>
                </c:pt>
                <c:pt idx="741">
                  <c:v>2814.7568238710401</c:v>
                </c:pt>
                <c:pt idx="742">
                  <c:v>2808.3343684428223</c:v>
                </c:pt>
                <c:pt idx="743">
                  <c:v>2801.8302261148779</c:v>
                </c:pt>
                <c:pt idx="744">
                  <c:v>2795.2448166077638</c:v>
                </c:pt>
                <c:pt idx="745">
                  <c:v>2788.578563352221</c:v>
                </c:pt>
                <c:pt idx="746">
                  <c:v>2781.8318934072158</c:v>
                </c:pt>
                <c:pt idx="747">
                  <c:v>2775.0052373777103</c:v>
                </c:pt>
                <c:pt idx="748">
                  <c:v>2768.0990293321906</c:v>
                </c:pt>
                <c:pt idx="749">
                  <c:v>2761.1137067199838</c:v>
                </c:pt>
                <c:pt idx="750">
                  <c:v>2754.0497102883969</c:v>
                </c:pt>
                <c:pt idx="751">
                  <c:v>2746.9074839997006</c:v>
                </c:pt>
                <c:pt idx="752">
                  <c:v>2739.6874749479944</c:v>
                </c:pt>
                <c:pt idx="753">
                  <c:v>2732.3901332759788</c:v>
                </c:pt>
                <c:pt idx="754">
                  <c:v>2725.0159120916628</c:v>
                </c:pt>
                <c:pt idx="755">
                  <c:v>2717.5652673850359</c:v>
                </c:pt>
                <c:pt idx="756">
                  <c:v>2710.0386579447345</c:v>
                </c:pt>
                <c:pt idx="757">
                  <c:v>2702.4365452747275</c:v>
                </c:pt>
                <c:pt idx="758">
                  <c:v>2694.7593935110508</c:v>
                </c:pt>
                <c:pt idx="759">
                  <c:v>2687.0076693386177</c:v>
                </c:pt>
                <c:pt idx="760">
                  <c:v>2679.1818419081301</c:v>
                </c:pt>
                <c:pt idx="761">
                  <c:v>2671.2823827531188</c:v>
                </c:pt>
                <c:pt idx="762">
                  <c:v>2663.309765707138</c:v>
                </c:pt>
                <c:pt idx="763">
                  <c:v>2655.2644668211406</c:v>
                </c:pt>
                <c:pt idx="764">
                  <c:v>2647.1469642810589</c:v>
                </c:pt>
                <c:pt idx="765">
                  <c:v>2638.9577383256155</c:v>
                </c:pt>
                <c:pt idx="766">
                  <c:v>2630.6972711643875</c:v>
                </c:pt>
                <c:pt idx="767">
                  <c:v>2622.366046896153</c:v>
                </c:pt>
                <c:pt idx="768">
                  <c:v>2613.9645514275371</c:v>
                </c:pt>
                <c:pt idx="769">
                  <c:v>2605.4932723919851</c:v>
                </c:pt>
                <c:pt idx="770">
                  <c:v>2596.9526990690847</c:v>
                </c:pt>
                <c:pt idx="771">
                  <c:v>2588.343322304258</c:v>
                </c:pt>
                <c:pt idx="772">
                  <c:v>2579.6656344288476</c:v>
                </c:pt>
                <c:pt idx="773">
                  <c:v>2570.9201291806185</c:v>
                </c:pt>
                <c:pt idx="774">
                  <c:v>2562.1073016246914</c:v>
                </c:pt>
                <c:pt idx="775">
                  <c:v>2553.2276480749379</c:v>
                </c:pt>
                <c:pt idx="776">
                  <c:v>2544.2816660158473</c:v>
                </c:pt>
                <c:pt idx="777">
                  <c:v>2535.2698540248934</c:v>
                </c:pt>
                <c:pt idx="778">
                  <c:v>2526.192711695413</c:v>
                </c:pt>
                <c:pt idx="779">
                  <c:v>2517.0507395600225</c:v>
                </c:pt>
                <c:pt idx="780">
                  <c:v>2507.8444390145833</c:v>
                </c:pt>
                <c:pt idx="781">
                  <c:v>2498.5743122427407</c:v>
                </c:pt>
                <c:pt idx="782">
                  <c:v>2489.2408621410477</c:v>
                </c:pt>
                <c:pt idx="783">
                  <c:v>2479.8445922446967</c:v>
                </c:pt>
                <c:pt idx="784">
                  <c:v>2470.3860066538678</c:v>
                </c:pt>
                <c:pt idx="785">
                  <c:v>2460.8656099607183</c:v>
                </c:pt>
                <c:pt idx="786">
                  <c:v>2451.2839071770222</c:v>
                </c:pt>
                <c:pt idx="787">
                  <c:v>2441.6414036624765</c:v>
                </c:pt>
                <c:pt idx="788">
                  <c:v>2431.9386050536914</c:v>
                </c:pt>
                <c:pt idx="789">
                  <c:v>2422.1760171938731</c:v>
                </c:pt>
                <c:pt idx="790">
                  <c:v>2412.35414606322</c:v>
                </c:pt>
                <c:pt idx="791">
                  <c:v>2402.4734977100361</c:v>
                </c:pt>
                <c:pt idx="792">
                  <c:v>2392.5345781825831</c:v>
                </c:pt>
                <c:pt idx="793">
                  <c:v>2382.5378934616774</c:v>
                </c:pt>
                <c:pt idx="794">
                  <c:v>2372.4839493940453</c:v>
                </c:pt>
                <c:pt idx="795">
                  <c:v>2362.3732516264486</c:v>
                </c:pt>
                <c:pt idx="796">
                  <c:v>2352.2063055405883</c:v>
                </c:pt>
                <c:pt idx="797">
                  <c:v>2341.9836161888011</c:v>
                </c:pt>
                <c:pt idx="798">
                  <c:v>2331.7056882305515</c:v>
                </c:pt>
                <c:pt idx="799">
                  <c:v>2321.3730258697365</c:v>
                </c:pt>
                <c:pt idx="800">
                  <c:v>2310.9861327928056</c:v>
                </c:pt>
                <c:pt idx="801">
                  <c:v>2300.545512107708</c:v>
                </c:pt>
                <c:pt idx="802">
                  <c:v>2290.0516662836708</c:v>
                </c:pt>
                <c:pt idx="803">
                  <c:v>2279.505097091821</c:v>
                </c:pt>
                <c:pt idx="804">
                  <c:v>2268.9063055466522</c:v>
                </c:pt>
                <c:pt idx="805">
                  <c:v>2258.2557918483467</c:v>
                </c:pt>
                <c:pt idx="806">
                  <c:v>2247.5540553259575</c:v>
                </c:pt>
                <c:pt idx="807">
                  <c:v>2236.8015943814548</c:v>
                </c:pt>
                <c:pt idx="808">
                  <c:v>2225.9989064346441</c:v>
                </c:pt>
                <c:pt idx="809">
                  <c:v>2215.1464878689576</c:v>
                </c:pt>
                <c:pt idx="810">
                  <c:v>2204.2448339781263</c:v>
                </c:pt>
                <c:pt idx="811">
                  <c:v>2193.2944389137333</c:v>
                </c:pt>
                <c:pt idx="812">
                  <c:v>2182.2957956336559</c:v>
                </c:pt>
                <c:pt idx="813">
                  <c:v>2171.2493958513942</c:v>
                </c:pt>
                <c:pt idx="814">
                  <c:v>2160.155729986292</c:v>
                </c:pt>
                <c:pt idx="815">
                  <c:v>2149.0152871146538</c:v>
                </c:pt>
                <c:pt idx="816">
                  <c:v>2137.8285549217526</c:v>
                </c:pt>
                <c:pt idx="817">
                  <c:v>2126.5960196547403</c:v>
                </c:pt>
                <c:pt idx="818">
                  <c:v>2115.3181660764503</c:v>
                </c:pt>
                <c:pt idx="819">
                  <c:v>2103.9954774201024</c:v>
                </c:pt>
                <c:pt idx="820">
                  <c:v>2092.6284353449041</c:v>
                </c:pt>
                <c:pt idx="821">
                  <c:v>2081.2175198925515</c:v>
                </c:pt>
                <c:pt idx="822">
                  <c:v>2069.7632094446262</c:v>
                </c:pt>
                <c:pt idx="823">
                  <c:v>2058.265980680892</c:v>
                </c:pt>
                <c:pt idx="824">
                  <c:v>2046.7263085384843</c:v>
                </c:pt>
                <c:pt idx="825">
                  <c:v>2035.1446661719956</c:v>
                </c:pt>
                <c:pt idx="826">
                  <c:v>2023.5215249144524</c:v>
                </c:pt>
                <c:pt idx="827">
                  <c:v>2011.8573542391825</c:v>
                </c:pt>
                <c:pt idx="828">
                  <c:v>2000.1526217225701</c:v>
                </c:pt>
                <c:pt idx="829">
                  <c:v>1988.4077930076949</c:v>
                </c:pt>
                <c:pt idx="830">
                  <c:v>1976.6233317688534</c:v>
                </c:pt>
                <c:pt idx="831">
                  <c:v>1964.7996996769591</c:v>
                </c:pt>
                <c:pt idx="832">
                  <c:v>1952.9373563658148</c:v>
                </c:pt>
                <c:pt idx="833">
                  <c:v>1941.0367593992582</c:v>
                </c:pt>
                <c:pt idx="834">
                  <c:v>1929.0983642391723</c:v>
                </c:pt>
                <c:pt idx="835">
                  <c:v>1917.1226242143571</c:v>
                </c:pt>
                <c:pt idx="836">
                  <c:v>1905.1099904902599</c:v>
                </c:pt>
                <c:pt idx="837">
                  <c:v>1893.0609120395563</c:v>
                </c:pt>
                <c:pt idx="838">
                  <c:v>1880.9758356135783</c:v>
                </c:pt>
                <c:pt idx="839">
                  <c:v>1868.8552057145832</c:v>
                </c:pt>
                <c:pt idx="840">
                  <c:v>1856.6994645688596</c:v>
                </c:pt>
                <c:pt idx="841">
                  <c:v>1844.5090521006607</c:v>
                </c:pt>
                <c:pt idx="842">
                  <c:v>1832.284405906963</c:v>
                </c:pt>
                <c:pt idx="843">
                  <c:v>1820.0259612330412</c:v>
                </c:pt>
                <c:pt idx="844">
                  <c:v>1807.7341509488538</c:v>
                </c:pt>
                <c:pt idx="845">
                  <c:v>1795.4094055262324</c:v>
                </c:pt>
                <c:pt idx="846">
                  <c:v>1783.0521530168692</c:v>
                </c:pt>
                <c:pt idx="847">
                  <c:v>1770.6628190310921</c:v>
                </c:pt>
                <c:pt idx="848">
                  <c:v>1758.2418267174248</c:v>
                </c:pt>
                <c:pt idx="849">
                  <c:v>1745.7895967429204</c:v>
                </c:pt>
                <c:pt idx="850">
                  <c:v>1733.3065472742637</c:v>
                </c:pt>
                <c:pt idx="851">
                  <c:v>1720.7930939596333</c:v>
                </c:pt>
                <c:pt idx="852">
                  <c:v>1708.2496499113151</c:v>
                </c:pt>
                <c:pt idx="853">
                  <c:v>1695.676625689061</c:v>
                </c:pt>
                <c:pt idx="854">
                  <c:v>1683.074429284183</c:v>
                </c:pt>
                <c:pt idx="855">
                  <c:v>1670.4434661043751</c:v>
                </c:pt>
                <c:pt idx="856">
                  <c:v>1657.7841389592554</c:v>
                </c:pt>
                <c:pt idx="857">
                  <c:v>1645.0968480466179</c:v>
                </c:pt>
                <c:pt idx="858">
                  <c:v>1632.3819909393887</c:v>
                </c:pt>
                <c:pt idx="859">
                  <c:v>1619.6399625732745</c:v>
                </c:pt>
                <c:pt idx="860">
                  <c:v>1606.8711552350967</c:v>
                </c:pt>
                <c:pt idx="861">
                  <c:v>1594.0759585518024</c:v>
                </c:pt>
                <c:pt idx="862">
                  <c:v>1581.2547594801422</c:v>
                </c:pt>
                <c:pt idx="863">
                  <c:v>1568.4079422970074</c:v>
                </c:pt>
                <c:pt idx="864">
                  <c:v>1555.5358885904152</c:v>
                </c:pt>
                <c:pt idx="865">
                  <c:v>1542.6389772511368</c:v>
                </c:pt>
                <c:pt idx="866">
                  <c:v>1529.7175844649541</c:v>
                </c:pt>
                <c:pt idx="867">
                  <c:v>1516.7720837055413</c:v>
                </c:pt>
                <c:pt idx="868">
                  <c:v>1503.802845727957</c:v>
                </c:pt>
                <c:pt idx="869">
                  <c:v>1490.8102385627419</c:v>
                </c:pt>
                <c:pt idx="870">
                  <c:v>1477.7946275106103</c:v>
                </c:pt>
                <c:pt idx="871">
                  <c:v>1464.7563751377268</c:v>
                </c:pt>
                <c:pt idx="872">
                  <c:v>1451.6958412715587</c:v>
                </c:pt>
                <c:pt idx="873">
                  <c:v>1438.6133829972955</c:v>
                </c:pt>
                <c:pt idx="874">
                  <c:v>1425.5093546548251</c:v>
                </c:pt>
                <c:pt idx="875">
                  <c:v>1412.384107836258</c:v>
                </c:pt>
                <c:pt idx="876">
                  <c:v>1399.2379913839895</c:v>
                </c:pt>
                <c:pt idx="877">
                  <c:v>1386.0713513892929</c:v>
                </c:pt>
                <c:pt idx="878">
                  <c:v>1372.884531191429</c:v>
                </c:pt>
                <c:pt idx="879">
                  <c:v>1359.6778713772703</c:v>
                </c:pt>
                <c:pt idx="880">
                  <c:v>1346.451709781423</c:v>
                </c:pt>
                <c:pt idx="881">
                  <c:v>1333.2063814868418</c:v>
                </c:pt>
                <c:pt idx="882">
                  <c:v>1319.9422188259284</c:v>
                </c:pt>
                <c:pt idx="883">
                  <c:v>1306.6595513821019</c:v>
                </c:pt>
                <c:pt idx="884">
                  <c:v>1293.3587059918336</c:v>
                </c:pt>
                <c:pt idx="885">
                  <c:v>1280.0400067471369</c:v>
                </c:pt>
                <c:pt idx="886">
                  <c:v>1266.7037749985029</c:v>
                </c:pt>
                <c:pt idx="887">
                  <c:v>1253.3503293582728</c:v>
                </c:pt>
                <c:pt idx="888">
                  <c:v>1239.9799857044368</c:v>
                </c:pt>
                <c:pt idx="889">
                  <c:v>1226.5930571848533</c:v>
                </c:pt>
                <c:pt idx="890">
                  <c:v>1213.1898542218757</c:v>
                </c:pt>
                <c:pt idx="891">
                  <c:v>1199.7706845173814</c:v>
                </c:pt>
                <c:pt idx="892">
                  <c:v>1186.3358530581913</c:v>
                </c:pt>
                <c:pt idx="893">
                  <c:v>1172.8856621218731</c:v>
                </c:pt>
                <c:pt idx="894">
                  <c:v>1159.4204112829179</c:v>
                </c:pt>
                <c:pt idx="895">
                  <c:v>1145.9403974192837</c:v>
                </c:pt>
                <c:pt idx="896">
                  <c:v>1132.4459147192938</c:v>
                </c:pt>
                <c:pt idx="897">
                  <c:v>1118.9372546888851</c:v>
                </c:pt>
                <c:pt idx="898">
                  <c:v>1105.4147061591948</c:v>
                </c:pt>
                <c:pt idx="899">
                  <c:v>1091.8785552944801</c:v>
                </c:pt>
                <c:pt idx="900">
                  <c:v>1078.3290856003593</c:v>
                </c:pt>
                <c:pt idx="901">
                  <c:v>1064.7665779323686</c:v>
                </c:pt>
                <c:pt idx="902">
                  <c:v>1051.191310504825</c:v>
                </c:pt>
                <c:pt idx="903">
                  <c:v>1037.6035588999873</c:v>
                </c:pt>
                <c:pt idx="904">
                  <c:v>1024.003596077509</c:v>
                </c:pt>
                <c:pt idx="905">
                  <c:v>1010.3916923841712</c:v>
                </c:pt>
                <c:pt idx="906">
                  <c:v>996.76811556389191</c:v>
                </c:pt>
                <c:pt idx="907">
                  <c:v>983.13313076800137</c:v>
                </c:pt>
                <c:pt idx="908">
                  <c:v>969.48700056577627</c:v>
                </c:pt>
                <c:pt idx="909">
                  <c:v>955.82998495522577</c:v>
                </c:pt>
                <c:pt idx="910">
                  <c:v>942.16234137412084</c:v>
                </c:pt>
                <c:pt idx="911">
                  <c:v>928.48432471126057</c:v>
                </c:pt>
                <c:pt idx="912">
                  <c:v>914.79618731796688</c:v>
                </c:pt>
                <c:pt idx="913">
                  <c:v>901.09817901980171</c:v>
                </c:pt>
                <c:pt idx="914">
                  <c:v>887.39054712849804</c:v>
                </c:pt>
                <c:pt idx="915">
                  <c:v>873.67353645409912</c:v>
                </c:pt>
                <c:pt idx="916">
                  <c:v>859.94738931729773</c:v>
                </c:pt>
                <c:pt idx="917">
                  <c:v>846.21234556196941</c:v>
                </c:pt>
                <c:pt idx="918">
                  <c:v>832.46864256789195</c:v>
                </c:pt>
                <c:pt idx="919">
                  <c:v>818.71651526364565</c:v>
                </c:pt>
                <c:pt idx="920">
                  <c:v>804.95619613968643</c:v>
                </c:pt>
                <c:pt idx="921">
                  <c:v>791.18791526158645</c:v>
                </c:pt>
                <c:pt idx="922">
                  <c:v>777.41190028343476</c:v>
                </c:pt>
                <c:pt idx="923">
                  <c:v>763.62837646139224</c:v>
                </c:pt>
                <c:pt idx="924">
                  <c:v>749.83756666739487</c:v>
                </c:pt>
                <c:pt idx="925">
                  <c:v>736.03969140299807</c:v>
                </c:pt>
                <c:pt idx="926">
                  <c:v>722.2349688133578</c:v>
                </c:pt>
                <c:pt idx="927">
                  <c:v>708.42361470134017</c:v>
                </c:pt>
                <c:pt idx="928">
                  <c:v>694.60584254175626</c:v>
                </c:pt>
                <c:pt idx="929">
                  <c:v>680.78186349571422</c:v>
                </c:pt>
                <c:pt idx="930">
                  <c:v>666.95188642508435</c:v>
                </c:pt>
                <c:pt idx="931">
                  <c:v>653.11611790707082</c:v>
                </c:pt>
                <c:pt idx="932">
                  <c:v>639.27476224888517</c:v>
                </c:pt>
                <c:pt idx="933">
                  <c:v>625.42802150251566</c:v>
                </c:pt>
                <c:pt idx="934">
                  <c:v>611.57609547958759</c:v>
                </c:pt>
                <c:pt idx="935">
                  <c:v>597.71918176630891</c:v>
                </c:pt>
                <c:pt idx="936">
                  <c:v>583.85747573849665</c:v>
                </c:pt>
                <c:pt idx="937">
                  <c:v>569.99117057667877</c:v>
                </c:pt>
                <c:pt idx="938">
                  <c:v>556.12045728126668</c:v>
                </c:pt>
                <c:pt idx="939">
                  <c:v>542.24552468779314</c:v>
                </c:pt>
                <c:pt idx="940">
                  <c:v>528.36655948221164</c:v>
                </c:pt>
                <c:pt idx="941">
                  <c:v>514.48374621625203</c:v>
                </c:pt>
                <c:pt idx="942">
                  <c:v>500.59726732282786</c:v>
                </c:pt>
                <c:pt idx="943">
                  <c:v>486.70730313149136</c:v>
                </c:pt>
                <c:pt idx="944">
                  <c:v>472.81403188393119</c:v>
                </c:pt>
                <c:pt idx="945">
                  <c:v>458.91762974950922</c:v>
                </c:pt>
                <c:pt idx="946">
                  <c:v>445.01827084083158</c:v>
                </c:pt>
                <c:pt idx="947">
                  <c:v>431.1161272293503</c:v>
                </c:pt>
                <c:pt idx="948">
                  <c:v>417.21136896099148</c:v>
                </c:pt>
                <c:pt idx="949">
                  <c:v>403.30416407180576</c:v>
                </c:pt>
                <c:pt idx="950">
                  <c:v>389.39467860363777</c:v>
                </c:pt>
                <c:pt idx="951">
                  <c:v>375.48307661981005</c:v>
                </c:pt>
                <c:pt idx="952">
                  <c:v>361.56952022081867</c:v>
                </c:pt>
                <c:pt idx="953">
                  <c:v>347.654169560036</c:v>
                </c:pt>
                <c:pt idx="954">
                  <c:v>333.73718285941811</c:v>
                </c:pt>
                <c:pt idx="955">
                  <c:v>319.81871642521241</c:v>
                </c:pt>
                <c:pt idx="956">
                  <c:v>305.89892466366302</c:v>
                </c:pt>
                <c:pt idx="957">
                  <c:v>291.97796009670986</c:v>
                </c:pt>
                <c:pt idx="958">
                  <c:v>278.05597337767887</c:v>
                </c:pt>
                <c:pt idx="959">
                  <c:v>264.1331133069599</c:v>
                </c:pt>
                <c:pt idx="960">
                  <c:v>250.20952684766939</c:v>
                </c:pt>
                <c:pt idx="961">
                  <c:v>236.28535914129475</c:v>
                </c:pt>
                <c:pt idx="962">
                  <c:v>222.36075352331758</c:v>
                </c:pt>
                <c:pt idx="963">
                  <c:v>208.43585153881315</c:v>
                </c:pt>
                <c:pt idx="964">
                  <c:v>194.51079295802305</c:v>
                </c:pt>
                <c:pt idx="965">
                  <c:v>180.58571579189848</c:v>
                </c:pt>
                <c:pt idx="966">
                  <c:v>166.66075630761179</c:v>
                </c:pt>
                <c:pt idx="967">
                  <c:v>152.73604904403339</c:v>
                </c:pt>
                <c:pt idx="968">
                  <c:v>138.81172682717178</c:v>
                </c:pt>
                <c:pt idx="969">
                  <c:v>124.88792078557437</c:v>
                </c:pt>
                <c:pt idx="970">
                  <c:v>110.96476036568657</c:v>
                </c:pt>
                <c:pt idx="971">
                  <c:v>97.042373347167114</c:v>
                </c:pt>
                <c:pt idx="972">
                  <c:v>83.12088585815718</c:v>
                </c:pt>
                <c:pt idx="973">
                  <c:v>69.200422390501473</c:v>
                </c:pt>
                <c:pt idx="974">
                  <c:v>55.281105814918973</c:v>
                </c:pt>
                <c:pt idx="975">
                  <c:v>41.363057396121462</c:v>
                </c:pt>
                <c:pt idx="976">
                  <c:v>27.446396807877889</c:v>
                </c:pt>
                <c:pt idx="977">
                  <c:v>13.531242148022644</c:v>
                </c:pt>
                <c:pt idx="978">
                  <c:v>-0.38229004659402044</c:v>
                </c:pt>
                <c:pt idx="979">
                  <c:v>-0.39620273771871234</c:v>
                </c:pt>
                <c:pt idx="980">
                  <c:v>-0.41011542704878123</c:v>
                </c:pt>
                <c:pt idx="981">
                  <c:v>-0.42402811458411444</c:v>
                </c:pt>
                <c:pt idx="982">
                  <c:v>-0.43794080032459931</c:v>
                </c:pt>
                <c:pt idx="983">
                  <c:v>-0.45185348427012323</c:v>
                </c:pt>
                <c:pt idx="984">
                  <c:v>-0.46576616642057356</c:v>
                </c:pt>
                <c:pt idx="985">
                  <c:v>-0.47967884677583766</c:v>
                </c:pt>
                <c:pt idx="986">
                  <c:v>-0.49359152533580292</c:v>
                </c:pt>
                <c:pt idx="987">
                  <c:v>-0.50750420210035674</c:v>
                </c:pt>
                <c:pt idx="988">
                  <c:v>-0.52141687706938644</c:v>
                </c:pt>
                <c:pt idx="989">
                  <c:v>-0.53532955024277928</c:v>
                </c:pt>
                <c:pt idx="990">
                  <c:v>-0.5492422216204228</c:v>
                </c:pt>
                <c:pt idx="991">
                  <c:v>-0.5631548912022043</c:v>
                </c:pt>
                <c:pt idx="992">
                  <c:v>-0.57706755898801121</c:v>
                </c:pt>
                <c:pt idx="993">
                  <c:v>-0.59098022497773084</c:v>
                </c:pt>
                <c:pt idx="994">
                  <c:v>-0.60489288917125061</c:v>
                </c:pt>
                <c:pt idx="995">
                  <c:v>-0.61880555156845785</c:v>
                </c:pt>
                <c:pt idx="996">
                  <c:v>-0.63271821216923996</c:v>
                </c:pt>
                <c:pt idx="997">
                  <c:v>-0.64663087097348437</c:v>
                </c:pt>
                <c:pt idx="998">
                  <c:v>-0.6605435279810784</c:v>
                </c:pt>
                <c:pt idx="999">
                  <c:v>-0.67445618319190948</c:v>
                </c:pt>
                <c:pt idx="1000">
                  <c:v>-0.6883688366058649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51-4567-B7A1-067915120221}"/>
            </c:ext>
          </c:extLst>
        </c:ser>
        <c:ser>
          <c:idx val="1"/>
          <c:order val="2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5.0999999999999375</c:v>
                </c:pt>
                <c:pt idx="502">
                  <c:v>5.1999999999999371</c:v>
                </c:pt>
                <c:pt idx="503">
                  <c:v>5.2999999999999368</c:v>
                </c:pt>
                <c:pt idx="504">
                  <c:v>5.3999999999999364</c:v>
                </c:pt>
                <c:pt idx="505">
                  <c:v>5.4999999999999361</c:v>
                </c:pt>
                <c:pt idx="506">
                  <c:v>5.5999999999999357</c:v>
                </c:pt>
                <c:pt idx="507">
                  <c:v>5.6999999999999353</c:v>
                </c:pt>
                <c:pt idx="508">
                  <c:v>5.799999999999935</c:v>
                </c:pt>
                <c:pt idx="509">
                  <c:v>5.8999999999999346</c:v>
                </c:pt>
                <c:pt idx="510">
                  <c:v>5.9999999999999343</c:v>
                </c:pt>
                <c:pt idx="511">
                  <c:v>6.0999999999999339</c:v>
                </c:pt>
                <c:pt idx="512">
                  <c:v>6.1999999999999336</c:v>
                </c:pt>
                <c:pt idx="513">
                  <c:v>6.2999999999999332</c:v>
                </c:pt>
                <c:pt idx="514">
                  <c:v>6.3999999999999329</c:v>
                </c:pt>
                <c:pt idx="515">
                  <c:v>6.4999999999999325</c:v>
                </c:pt>
                <c:pt idx="516">
                  <c:v>6.5999999999999321</c:v>
                </c:pt>
                <c:pt idx="517">
                  <c:v>6.6999999999999318</c:v>
                </c:pt>
                <c:pt idx="518">
                  <c:v>6.7999999999999314</c:v>
                </c:pt>
                <c:pt idx="519">
                  <c:v>6.8999999999999311</c:v>
                </c:pt>
                <c:pt idx="520">
                  <c:v>6.9999999999999307</c:v>
                </c:pt>
                <c:pt idx="521">
                  <c:v>7.0999999999999304</c:v>
                </c:pt>
                <c:pt idx="522">
                  <c:v>7.19999999999993</c:v>
                </c:pt>
                <c:pt idx="523">
                  <c:v>7.2999999999999297</c:v>
                </c:pt>
                <c:pt idx="524">
                  <c:v>7.3999999999999293</c:v>
                </c:pt>
                <c:pt idx="525">
                  <c:v>7.4999999999999289</c:v>
                </c:pt>
                <c:pt idx="526">
                  <c:v>7.5999999999999286</c:v>
                </c:pt>
                <c:pt idx="527">
                  <c:v>7.6999999999999282</c:v>
                </c:pt>
                <c:pt idx="528">
                  <c:v>7.7999999999999279</c:v>
                </c:pt>
                <c:pt idx="529">
                  <c:v>7.8999999999999275</c:v>
                </c:pt>
                <c:pt idx="530">
                  <c:v>7.9999999999999272</c:v>
                </c:pt>
                <c:pt idx="531">
                  <c:v>8.0999999999999268</c:v>
                </c:pt>
                <c:pt idx="532">
                  <c:v>8.1999999999999265</c:v>
                </c:pt>
                <c:pt idx="533">
                  <c:v>8.2999999999999261</c:v>
                </c:pt>
                <c:pt idx="534">
                  <c:v>8.3999999999999257</c:v>
                </c:pt>
                <c:pt idx="535">
                  <c:v>8.4999999999999254</c:v>
                </c:pt>
                <c:pt idx="536">
                  <c:v>8.599999999999925</c:v>
                </c:pt>
                <c:pt idx="537">
                  <c:v>8.6999999999999247</c:v>
                </c:pt>
                <c:pt idx="538">
                  <c:v>8.7999999999999243</c:v>
                </c:pt>
                <c:pt idx="539">
                  <c:v>8.899999999999924</c:v>
                </c:pt>
                <c:pt idx="540">
                  <c:v>8.9999999999999236</c:v>
                </c:pt>
                <c:pt idx="541">
                  <c:v>9.0999999999999233</c:v>
                </c:pt>
                <c:pt idx="542">
                  <c:v>9.1999999999999229</c:v>
                </c:pt>
                <c:pt idx="543">
                  <c:v>9.2999999999999226</c:v>
                </c:pt>
                <c:pt idx="544">
                  <c:v>9.3999999999999222</c:v>
                </c:pt>
                <c:pt idx="545">
                  <c:v>9.4999999999999218</c:v>
                </c:pt>
                <c:pt idx="546">
                  <c:v>9.5999999999999215</c:v>
                </c:pt>
                <c:pt idx="547">
                  <c:v>9.6999999999999211</c:v>
                </c:pt>
                <c:pt idx="548">
                  <c:v>9.7999999999999208</c:v>
                </c:pt>
                <c:pt idx="549">
                  <c:v>9.8999999999999204</c:v>
                </c:pt>
                <c:pt idx="550">
                  <c:v>9.9999999999999201</c:v>
                </c:pt>
                <c:pt idx="551">
                  <c:v>10.09999999999992</c:v>
                </c:pt>
                <c:pt idx="552">
                  <c:v>10.199999999999919</c:v>
                </c:pt>
                <c:pt idx="553">
                  <c:v>10.299999999999919</c:v>
                </c:pt>
                <c:pt idx="554">
                  <c:v>10.399999999999919</c:v>
                </c:pt>
                <c:pt idx="555">
                  <c:v>10.499999999999918</c:v>
                </c:pt>
                <c:pt idx="556">
                  <c:v>10.599999999999918</c:v>
                </c:pt>
                <c:pt idx="557">
                  <c:v>10.699999999999918</c:v>
                </c:pt>
                <c:pt idx="558">
                  <c:v>10.799999999999917</c:v>
                </c:pt>
                <c:pt idx="559">
                  <c:v>10.899999999999917</c:v>
                </c:pt>
                <c:pt idx="560">
                  <c:v>10.999999999999917</c:v>
                </c:pt>
                <c:pt idx="561">
                  <c:v>11.099999999999916</c:v>
                </c:pt>
                <c:pt idx="562">
                  <c:v>11.199999999999916</c:v>
                </c:pt>
                <c:pt idx="563">
                  <c:v>11.299999999999915</c:v>
                </c:pt>
                <c:pt idx="564">
                  <c:v>11.399999999999915</c:v>
                </c:pt>
                <c:pt idx="565">
                  <c:v>11.499999999999915</c:v>
                </c:pt>
                <c:pt idx="566">
                  <c:v>11.599999999999914</c:v>
                </c:pt>
                <c:pt idx="567">
                  <c:v>11.699999999999914</c:v>
                </c:pt>
                <c:pt idx="568">
                  <c:v>11.799999999999914</c:v>
                </c:pt>
                <c:pt idx="569">
                  <c:v>11.899999999999913</c:v>
                </c:pt>
                <c:pt idx="570">
                  <c:v>11.999999999999913</c:v>
                </c:pt>
                <c:pt idx="571">
                  <c:v>12.099999999999913</c:v>
                </c:pt>
                <c:pt idx="572">
                  <c:v>12.199999999999912</c:v>
                </c:pt>
                <c:pt idx="573">
                  <c:v>12.299999999999912</c:v>
                </c:pt>
                <c:pt idx="574">
                  <c:v>12.399999999999912</c:v>
                </c:pt>
                <c:pt idx="575">
                  <c:v>12.499999999999911</c:v>
                </c:pt>
                <c:pt idx="576">
                  <c:v>12.599999999999911</c:v>
                </c:pt>
                <c:pt idx="577">
                  <c:v>12.69999999999991</c:v>
                </c:pt>
                <c:pt idx="578">
                  <c:v>12.79999999999991</c:v>
                </c:pt>
                <c:pt idx="579">
                  <c:v>12.89999999999991</c:v>
                </c:pt>
                <c:pt idx="580">
                  <c:v>12.999999999999909</c:v>
                </c:pt>
                <c:pt idx="581">
                  <c:v>13.099999999999909</c:v>
                </c:pt>
                <c:pt idx="582">
                  <c:v>13.199999999999909</c:v>
                </c:pt>
                <c:pt idx="583">
                  <c:v>13.299999999999908</c:v>
                </c:pt>
                <c:pt idx="584">
                  <c:v>13.399999999999908</c:v>
                </c:pt>
                <c:pt idx="585">
                  <c:v>13.499999999999908</c:v>
                </c:pt>
                <c:pt idx="586">
                  <c:v>13.599999999999907</c:v>
                </c:pt>
                <c:pt idx="587">
                  <c:v>13.699999999999907</c:v>
                </c:pt>
                <c:pt idx="588">
                  <c:v>13.799999999999907</c:v>
                </c:pt>
                <c:pt idx="589">
                  <c:v>13.899999999999906</c:v>
                </c:pt>
                <c:pt idx="590">
                  <c:v>13.999999999999906</c:v>
                </c:pt>
                <c:pt idx="591">
                  <c:v>14.099999999999905</c:v>
                </c:pt>
                <c:pt idx="592">
                  <c:v>14.199999999999905</c:v>
                </c:pt>
                <c:pt idx="593">
                  <c:v>14.299999999999905</c:v>
                </c:pt>
                <c:pt idx="594">
                  <c:v>14.399999999999904</c:v>
                </c:pt>
                <c:pt idx="595">
                  <c:v>14.499999999999904</c:v>
                </c:pt>
                <c:pt idx="596">
                  <c:v>14.599999999999904</c:v>
                </c:pt>
                <c:pt idx="597">
                  <c:v>14.699999999999903</c:v>
                </c:pt>
                <c:pt idx="598">
                  <c:v>14.799999999999903</c:v>
                </c:pt>
                <c:pt idx="599">
                  <c:v>14.899999999999903</c:v>
                </c:pt>
                <c:pt idx="600">
                  <c:v>14.999999999999902</c:v>
                </c:pt>
                <c:pt idx="601">
                  <c:v>15.099999999999902</c:v>
                </c:pt>
                <c:pt idx="602">
                  <c:v>15.199999999999902</c:v>
                </c:pt>
                <c:pt idx="603">
                  <c:v>15.299999999999901</c:v>
                </c:pt>
                <c:pt idx="604">
                  <c:v>15.399999999999901</c:v>
                </c:pt>
                <c:pt idx="605">
                  <c:v>15.499999999999901</c:v>
                </c:pt>
                <c:pt idx="606">
                  <c:v>15.5999999999999</c:v>
                </c:pt>
                <c:pt idx="607">
                  <c:v>15.6999999999999</c:v>
                </c:pt>
                <c:pt idx="608">
                  <c:v>15.799999999999899</c:v>
                </c:pt>
                <c:pt idx="609">
                  <c:v>15.899999999999899</c:v>
                </c:pt>
                <c:pt idx="610">
                  <c:v>15.999999999999899</c:v>
                </c:pt>
                <c:pt idx="611">
                  <c:v>16.099999999999898</c:v>
                </c:pt>
                <c:pt idx="612">
                  <c:v>16.1999999999999</c:v>
                </c:pt>
                <c:pt idx="613">
                  <c:v>16.299999999999901</c:v>
                </c:pt>
                <c:pt idx="614">
                  <c:v>16.399999999999903</c:v>
                </c:pt>
                <c:pt idx="615">
                  <c:v>16.499999999999904</c:v>
                </c:pt>
                <c:pt idx="616">
                  <c:v>16.599999999999905</c:v>
                </c:pt>
                <c:pt idx="617">
                  <c:v>16.699999999999907</c:v>
                </c:pt>
                <c:pt idx="618">
                  <c:v>16.799999999999908</c:v>
                </c:pt>
                <c:pt idx="619">
                  <c:v>16.89999999999991</c:v>
                </c:pt>
                <c:pt idx="620">
                  <c:v>16.999999999999911</c:v>
                </c:pt>
                <c:pt idx="621">
                  <c:v>17.099999999999913</c:v>
                </c:pt>
                <c:pt idx="622">
                  <c:v>17.199999999999914</c:v>
                </c:pt>
                <c:pt idx="623">
                  <c:v>17.299999999999915</c:v>
                </c:pt>
                <c:pt idx="624">
                  <c:v>17.399999999999917</c:v>
                </c:pt>
                <c:pt idx="625">
                  <c:v>17.499999999999918</c:v>
                </c:pt>
                <c:pt idx="626">
                  <c:v>17.59999999999992</c:v>
                </c:pt>
                <c:pt idx="627">
                  <c:v>17.699999999999921</c:v>
                </c:pt>
                <c:pt idx="628">
                  <c:v>17.799999999999923</c:v>
                </c:pt>
                <c:pt idx="629">
                  <c:v>17.899999999999924</c:v>
                </c:pt>
                <c:pt idx="630">
                  <c:v>17.999999999999925</c:v>
                </c:pt>
                <c:pt idx="631">
                  <c:v>18.099999999999927</c:v>
                </c:pt>
                <c:pt idx="632">
                  <c:v>18.199999999999928</c:v>
                </c:pt>
                <c:pt idx="633">
                  <c:v>18.29999999999993</c:v>
                </c:pt>
                <c:pt idx="634">
                  <c:v>18.399999999999931</c:v>
                </c:pt>
                <c:pt idx="635">
                  <c:v>18.499999999999932</c:v>
                </c:pt>
                <c:pt idx="636">
                  <c:v>18.599999999999934</c:v>
                </c:pt>
                <c:pt idx="637">
                  <c:v>18.699999999999935</c:v>
                </c:pt>
                <c:pt idx="638">
                  <c:v>18.799999999999937</c:v>
                </c:pt>
                <c:pt idx="639">
                  <c:v>18.899999999999938</c:v>
                </c:pt>
                <c:pt idx="640">
                  <c:v>18.99999999999994</c:v>
                </c:pt>
                <c:pt idx="641">
                  <c:v>19.099999999999941</c:v>
                </c:pt>
                <c:pt idx="642">
                  <c:v>19.199999999999942</c:v>
                </c:pt>
                <c:pt idx="643">
                  <c:v>19.299999999999944</c:v>
                </c:pt>
                <c:pt idx="644">
                  <c:v>19.399999999999945</c:v>
                </c:pt>
                <c:pt idx="645">
                  <c:v>19.499999999999947</c:v>
                </c:pt>
                <c:pt idx="646">
                  <c:v>19.599999999999948</c:v>
                </c:pt>
                <c:pt idx="647">
                  <c:v>19.69999999999995</c:v>
                </c:pt>
                <c:pt idx="648">
                  <c:v>19.799999999999951</c:v>
                </c:pt>
                <c:pt idx="649">
                  <c:v>19.899999999999952</c:v>
                </c:pt>
                <c:pt idx="650">
                  <c:v>19.999999999999954</c:v>
                </c:pt>
                <c:pt idx="651">
                  <c:v>20.099999999999955</c:v>
                </c:pt>
                <c:pt idx="652">
                  <c:v>20.199999999999957</c:v>
                </c:pt>
                <c:pt idx="653">
                  <c:v>20.299999999999958</c:v>
                </c:pt>
                <c:pt idx="654">
                  <c:v>20.399999999999959</c:v>
                </c:pt>
                <c:pt idx="655">
                  <c:v>20.499999999999961</c:v>
                </c:pt>
                <c:pt idx="656">
                  <c:v>20.599999999999962</c:v>
                </c:pt>
                <c:pt idx="657">
                  <c:v>20.699999999999964</c:v>
                </c:pt>
                <c:pt idx="658">
                  <c:v>20.799999999999965</c:v>
                </c:pt>
                <c:pt idx="659">
                  <c:v>20.899999999999967</c:v>
                </c:pt>
                <c:pt idx="660">
                  <c:v>20.999999999999968</c:v>
                </c:pt>
                <c:pt idx="661">
                  <c:v>21.099999999999969</c:v>
                </c:pt>
                <c:pt idx="662">
                  <c:v>21.199999999999971</c:v>
                </c:pt>
                <c:pt idx="663">
                  <c:v>21.299999999999972</c:v>
                </c:pt>
                <c:pt idx="664">
                  <c:v>21.399999999999974</c:v>
                </c:pt>
                <c:pt idx="665">
                  <c:v>21.499999999999975</c:v>
                </c:pt>
                <c:pt idx="666">
                  <c:v>21.599999999999977</c:v>
                </c:pt>
                <c:pt idx="667">
                  <c:v>21.699999999999978</c:v>
                </c:pt>
                <c:pt idx="668">
                  <c:v>21.799999999999979</c:v>
                </c:pt>
                <c:pt idx="669">
                  <c:v>21.899999999999981</c:v>
                </c:pt>
                <c:pt idx="670">
                  <c:v>21.999999999999982</c:v>
                </c:pt>
                <c:pt idx="671">
                  <c:v>22.099999999999984</c:v>
                </c:pt>
                <c:pt idx="672">
                  <c:v>22.199999999999985</c:v>
                </c:pt>
                <c:pt idx="673">
                  <c:v>22.299999999999986</c:v>
                </c:pt>
                <c:pt idx="674">
                  <c:v>22.399999999999988</c:v>
                </c:pt>
                <c:pt idx="675">
                  <c:v>22.499999999999989</c:v>
                </c:pt>
                <c:pt idx="676">
                  <c:v>22.599999999999991</c:v>
                </c:pt>
                <c:pt idx="677">
                  <c:v>22.699999999999992</c:v>
                </c:pt>
                <c:pt idx="678">
                  <c:v>22.799999999999994</c:v>
                </c:pt>
                <c:pt idx="679">
                  <c:v>22.899999999999995</c:v>
                </c:pt>
                <c:pt idx="680">
                  <c:v>22.999999999999996</c:v>
                </c:pt>
                <c:pt idx="681">
                  <c:v>23.099999999999998</c:v>
                </c:pt>
                <c:pt idx="682">
                  <c:v>23.2</c:v>
                </c:pt>
                <c:pt idx="683">
                  <c:v>23.3</c:v>
                </c:pt>
                <c:pt idx="684">
                  <c:v>23.400000000000002</c:v>
                </c:pt>
                <c:pt idx="685">
                  <c:v>23.500000000000004</c:v>
                </c:pt>
                <c:pt idx="686">
                  <c:v>23.600000000000005</c:v>
                </c:pt>
                <c:pt idx="687">
                  <c:v>23.700000000000006</c:v>
                </c:pt>
                <c:pt idx="688">
                  <c:v>23.800000000000008</c:v>
                </c:pt>
                <c:pt idx="689">
                  <c:v>23.900000000000009</c:v>
                </c:pt>
                <c:pt idx="690">
                  <c:v>24.000000000000011</c:v>
                </c:pt>
                <c:pt idx="691">
                  <c:v>24.100000000000012</c:v>
                </c:pt>
                <c:pt idx="692">
                  <c:v>24.200000000000014</c:v>
                </c:pt>
                <c:pt idx="693">
                  <c:v>24.300000000000015</c:v>
                </c:pt>
                <c:pt idx="694">
                  <c:v>24.400000000000016</c:v>
                </c:pt>
                <c:pt idx="695">
                  <c:v>24.500000000000018</c:v>
                </c:pt>
                <c:pt idx="696">
                  <c:v>24.600000000000019</c:v>
                </c:pt>
                <c:pt idx="697">
                  <c:v>24.700000000000021</c:v>
                </c:pt>
                <c:pt idx="698">
                  <c:v>24.800000000000022</c:v>
                </c:pt>
                <c:pt idx="699">
                  <c:v>24.900000000000023</c:v>
                </c:pt>
                <c:pt idx="700">
                  <c:v>25.000000000000025</c:v>
                </c:pt>
                <c:pt idx="701">
                  <c:v>25.100000000000026</c:v>
                </c:pt>
                <c:pt idx="702">
                  <c:v>25.200000000000028</c:v>
                </c:pt>
                <c:pt idx="703">
                  <c:v>25.300000000000029</c:v>
                </c:pt>
                <c:pt idx="704">
                  <c:v>25.400000000000031</c:v>
                </c:pt>
                <c:pt idx="705">
                  <c:v>25.500000000000032</c:v>
                </c:pt>
                <c:pt idx="706">
                  <c:v>25.600000000000033</c:v>
                </c:pt>
                <c:pt idx="707">
                  <c:v>25.700000000000035</c:v>
                </c:pt>
                <c:pt idx="708">
                  <c:v>25.800000000000036</c:v>
                </c:pt>
                <c:pt idx="709">
                  <c:v>25.900000000000038</c:v>
                </c:pt>
                <c:pt idx="710">
                  <c:v>26.000000000000039</c:v>
                </c:pt>
                <c:pt idx="711">
                  <c:v>26.100000000000041</c:v>
                </c:pt>
                <c:pt idx="712">
                  <c:v>26.200000000000042</c:v>
                </c:pt>
                <c:pt idx="713">
                  <c:v>26.300000000000043</c:v>
                </c:pt>
                <c:pt idx="714">
                  <c:v>26.400000000000045</c:v>
                </c:pt>
                <c:pt idx="715">
                  <c:v>26.500000000000046</c:v>
                </c:pt>
                <c:pt idx="716">
                  <c:v>26.600000000000048</c:v>
                </c:pt>
                <c:pt idx="717">
                  <c:v>26.700000000000049</c:v>
                </c:pt>
                <c:pt idx="718">
                  <c:v>26.80000000000005</c:v>
                </c:pt>
                <c:pt idx="719">
                  <c:v>26.900000000000052</c:v>
                </c:pt>
                <c:pt idx="720">
                  <c:v>27.000000000000053</c:v>
                </c:pt>
                <c:pt idx="721">
                  <c:v>27.100000000000055</c:v>
                </c:pt>
                <c:pt idx="722">
                  <c:v>27.200000000000056</c:v>
                </c:pt>
                <c:pt idx="723">
                  <c:v>27.300000000000058</c:v>
                </c:pt>
                <c:pt idx="724">
                  <c:v>27.400000000000059</c:v>
                </c:pt>
                <c:pt idx="725">
                  <c:v>27.50000000000006</c:v>
                </c:pt>
                <c:pt idx="726">
                  <c:v>27.600000000000062</c:v>
                </c:pt>
                <c:pt idx="727">
                  <c:v>27.700000000000063</c:v>
                </c:pt>
                <c:pt idx="728">
                  <c:v>27.800000000000065</c:v>
                </c:pt>
                <c:pt idx="729">
                  <c:v>27.900000000000066</c:v>
                </c:pt>
                <c:pt idx="730">
                  <c:v>28.000000000000068</c:v>
                </c:pt>
                <c:pt idx="731">
                  <c:v>28.100000000000069</c:v>
                </c:pt>
                <c:pt idx="732">
                  <c:v>28.20000000000007</c:v>
                </c:pt>
                <c:pt idx="733">
                  <c:v>28.300000000000072</c:v>
                </c:pt>
                <c:pt idx="734">
                  <c:v>28.400000000000073</c:v>
                </c:pt>
                <c:pt idx="735">
                  <c:v>28.500000000000075</c:v>
                </c:pt>
                <c:pt idx="736">
                  <c:v>28.600000000000076</c:v>
                </c:pt>
                <c:pt idx="737">
                  <c:v>28.700000000000077</c:v>
                </c:pt>
                <c:pt idx="738">
                  <c:v>28.800000000000079</c:v>
                </c:pt>
                <c:pt idx="739">
                  <c:v>28.90000000000008</c:v>
                </c:pt>
                <c:pt idx="740">
                  <c:v>29.000000000000082</c:v>
                </c:pt>
                <c:pt idx="741">
                  <c:v>29.100000000000083</c:v>
                </c:pt>
                <c:pt idx="742">
                  <c:v>29.200000000000085</c:v>
                </c:pt>
                <c:pt idx="743">
                  <c:v>29.300000000000086</c:v>
                </c:pt>
                <c:pt idx="744">
                  <c:v>29.400000000000087</c:v>
                </c:pt>
                <c:pt idx="745">
                  <c:v>29.500000000000089</c:v>
                </c:pt>
                <c:pt idx="746">
                  <c:v>29.60000000000009</c:v>
                </c:pt>
                <c:pt idx="747">
                  <c:v>29.700000000000092</c:v>
                </c:pt>
                <c:pt idx="748">
                  <c:v>29.800000000000093</c:v>
                </c:pt>
                <c:pt idx="749">
                  <c:v>29.900000000000095</c:v>
                </c:pt>
                <c:pt idx="750">
                  <c:v>30.000000000000096</c:v>
                </c:pt>
                <c:pt idx="751">
                  <c:v>30.100000000000097</c:v>
                </c:pt>
                <c:pt idx="752">
                  <c:v>30.200000000000099</c:v>
                </c:pt>
                <c:pt idx="753">
                  <c:v>30.3000000000001</c:v>
                </c:pt>
                <c:pt idx="754">
                  <c:v>30.400000000000102</c:v>
                </c:pt>
                <c:pt idx="755">
                  <c:v>30.500000000000103</c:v>
                </c:pt>
                <c:pt idx="756">
                  <c:v>30.600000000000104</c:v>
                </c:pt>
                <c:pt idx="757">
                  <c:v>30.700000000000106</c:v>
                </c:pt>
                <c:pt idx="758">
                  <c:v>30.800000000000107</c:v>
                </c:pt>
                <c:pt idx="759">
                  <c:v>30.900000000000109</c:v>
                </c:pt>
                <c:pt idx="760">
                  <c:v>31.00000000000011</c:v>
                </c:pt>
                <c:pt idx="761">
                  <c:v>31.100000000000112</c:v>
                </c:pt>
                <c:pt idx="762">
                  <c:v>31.200000000000113</c:v>
                </c:pt>
                <c:pt idx="763">
                  <c:v>31.300000000000114</c:v>
                </c:pt>
                <c:pt idx="764">
                  <c:v>31.400000000000116</c:v>
                </c:pt>
                <c:pt idx="765">
                  <c:v>31.500000000000117</c:v>
                </c:pt>
                <c:pt idx="766">
                  <c:v>31.600000000000119</c:v>
                </c:pt>
                <c:pt idx="767">
                  <c:v>31.70000000000012</c:v>
                </c:pt>
                <c:pt idx="768">
                  <c:v>31.800000000000122</c:v>
                </c:pt>
                <c:pt idx="769">
                  <c:v>31.900000000000123</c:v>
                </c:pt>
                <c:pt idx="770">
                  <c:v>32.000000000000121</c:v>
                </c:pt>
                <c:pt idx="771">
                  <c:v>32.100000000000122</c:v>
                </c:pt>
                <c:pt idx="772">
                  <c:v>32.200000000000124</c:v>
                </c:pt>
                <c:pt idx="773">
                  <c:v>32.300000000000125</c:v>
                </c:pt>
                <c:pt idx="774">
                  <c:v>32.400000000000126</c:v>
                </c:pt>
                <c:pt idx="775">
                  <c:v>32.500000000000128</c:v>
                </c:pt>
                <c:pt idx="776">
                  <c:v>32.600000000000129</c:v>
                </c:pt>
                <c:pt idx="777">
                  <c:v>32.700000000000131</c:v>
                </c:pt>
                <c:pt idx="778">
                  <c:v>32.800000000000132</c:v>
                </c:pt>
                <c:pt idx="779">
                  <c:v>32.900000000000134</c:v>
                </c:pt>
                <c:pt idx="780">
                  <c:v>33.000000000000135</c:v>
                </c:pt>
                <c:pt idx="781">
                  <c:v>33.100000000000136</c:v>
                </c:pt>
                <c:pt idx="782">
                  <c:v>33.200000000000138</c:v>
                </c:pt>
                <c:pt idx="783">
                  <c:v>33.300000000000139</c:v>
                </c:pt>
                <c:pt idx="784">
                  <c:v>33.400000000000141</c:v>
                </c:pt>
                <c:pt idx="785">
                  <c:v>33.500000000000142</c:v>
                </c:pt>
                <c:pt idx="786">
                  <c:v>33.600000000000144</c:v>
                </c:pt>
                <c:pt idx="787">
                  <c:v>33.700000000000145</c:v>
                </c:pt>
                <c:pt idx="788">
                  <c:v>33.800000000000146</c:v>
                </c:pt>
                <c:pt idx="789">
                  <c:v>33.900000000000148</c:v>
                </c:pt>
                <c:pt idx="790">
                  <c:v>34.000000000000149</c:v>
                </c:pt>
                <c:pt idx="791">
                  <c:v>34.100000000000151</c:v>
                </c:pt>
                <c:pt idx="792">
                  <c:v>34.200000000000152</c:v>
                </c:pt>
                <c:pt idx="793">
                  <c:v>34.300000000000153</c:v>
                </c:pt>
                <c:pt idx="794">
                  <c:v>34.400000000000155</c:v>
                </c:pt>
                <c:pt idx="795">
                  <c:v>34.500000000000156</c:v>
                </c:pt>
                <c:pt idx="796">
                  <c:v>34.600000000000158</c:v>
                </c:pt>
                <c:pt idx="797">
                  <c:v>34.700000000000159</c:v>
                </c:pt>
                <c:pt idx="798">
                  <c:v>34.800000000000161</c:v>
                </c:pt>
                <c:pt idx="799">
                  <c:v>34.900000000000162</c:v>
                </c:pt>
                <c:pt idx="800">
                  <c:v>35.000000000000163</c:v>
                </c:pt>
                <c:pt idx="801">
                  <c:v>35.100000000000165</c:v>
                </c:pt>
                <c:pt idx="802">
                  <c:v>35.200000000000166</c:v>
                </c:pt>
                <c:pt idx="803">
                  <c:v>35.300000000000168</c:v>
                </c:pt>
                <c:pt idx="804">
                  <c:v>35.400000000000169</c:v>
                </c:pt>
                <c:pt idx="805">
                  <c:v>35.500000000000171</c:v>
                </c:pt>
                <c:pt idx="806">
                  <c:v>35.600000000000172</c:v>
                </c:pt>
                <c:pt idx="807">
                  <c:v>35.700000000000173</c:v>
                </c:pt>
                <c:pt idx="808">
                  <c:v>35.800000000000175</c:v>
                </c:pt>
                <c:pt idx="809">
                  <c:v>35.900000000000176</c:v>
                </c:pt>
                <c:pt idx="810">
                  <c:v>36.000000000000178</c:v>
                </c:pt>
                <c:pt idx="811">
                  <c:v>36.100000000000179</c:v>
                </c:pt>
                <c:pt idx="812">
                  <c:v>36.20000000000018</c:v>
                </c:pt>
                <c:pt idx="813">
                  <c:v>36.300000000000182</c:v>
                </c:pt>
                <c:pt idx="814">
                  <c:v>36.400000000000183</c:v>
                </c:pt>
                <c:pt idx="815">
                  <c:v>36.500000000000185</c:v>
                </c:pt>
                <c:pt idx="816">
                  <c:v>36.600000000000186</c:v>
                </c:pt>
                <c:pt idx="817">
                  <c:v>36.700000000000188</c:v>
                </c:pt>
                <c:pt idx="818">
                  <c:v>36.800000000000189</c:v>
                </c:pt>
                <c:pt idx="819">
                  <c:v>36.90000000000019</c:v>
                </c:pt>
                <c:pt idx="820">
                  <c:v>37.000000000000192</c:v>
                </c:pt>
                <c:pt idx="821">
                  <c:v>37.100000000000193</c:v>
                </c:pt>
                <c:pt idx="822">
                  <c:v>37.200000000000195</c:v>
                </c:pt>
                <c:pt idx="823">
                  <c:v>37.300000000000196</c:v>
                </c:pt>
                <c:pt idx="824">
                  <c:v>37.400000000000198</c:v>
                </c:pt>
                <c:pt idx="825">
                  <c:v>37.500000000000199</c:v>
                </c:pt>
                <c:pt idx="826">
                  <c:v>37.6000000000002</c:v>
                </c:pt>
                <c:pt idx="827">
                  <c:v>37.700000000000202</c:v>
                </c:pt>
                <c:pt idx="828">
                  <c:v>37.800000000000203</c:v>
                </c:pt>
                <c:pt idx="829">
                  <c:v>37.900000000000205</c:v>
                </c:pt>
                <c:pt idx="830">
                  <c:v>38.000000000000206</c:v>
                </c:pt>
                <c:pt idx="831">
                  <c:v>38.100000000000207</c:v>
                </c:pt>
                <c:pt idx="832">
                  <c:v>38.200000000000209</c:v>
                </c:pt>
                <c:pt idx="833">
                  <c:v>38.30000000000021</c:v>
                </c:pt>
                <c:pt idx="834">
                  <c:v>38.400000000000212</c:v>
                </c:pt>
                <c:pt idx="835">
                  <c:v>38.500000000000213</c:v>
                </c:pt>
                <c:pt idx="836">
                  <c:v>38.600000000000215</c:v>
                </c:pt>
                <c:pt idx="837">
                  <c:v>38.700000000000216</c:v>
                </c:pt>
                <c:pt idx="838">
                  <c:v>38.800000000000217</c:v>
                </c:pt>
                <c:pt idx="839">
                  <c:v>38.900000000000219</c:v>
                </c:pt>
                <c:pt idx="840">
                  <c:v>39.00000000000022</c:v>
                </c:pt>
                <c:pt idx="841">
                  <c:v>39.100000000000222</c:v>
                </c:pt>
                <c:pt idx="842">
                  <c:v>39.200000000000223</c:v>
                </c:pt>
                <c:pt idx="843">
                  <c:v>39.300000000000225</c:v>
                </c:pt>
                <c:pt idx="844">
                  <c:v>39.400000000000226</c:v>
                </c:pt>
                <c:pt idx="845">
                  <c:v>39.500000000000227</c:v>
                </c:pt>
                <c:pt idx="846">
                  <c:v>39.600000000000229</c:v>
                </c:pt>
                <c:pt idx="847">
                  <c:v>39.70000000000023</c:v>
                </c:pt>
                <c:pt idx="848">
                  <c:v>39.800000000000232</c:v>
                </c:pt>
                <c:pt idx="849">
                  <c:v>39.900000000000233</c:v>
                </c:pt>
                <c:pt idx="850">
                  <c:v>40.000000000000234</c:v>
                </c:pt>
                <c:pt idx="851">
                  <c:v>40.100000000000236</c:v>
                </c:pt>
                <c:pt idx="852">
                  <c:v>40.200000000000237</c:v>
                </c:pt>
                <c:pt idx="853">
                  <c:v>40.300000000000239</c:v>
                </c:pt>
                <c:pt idx="854">
                  <c:v>40.40000000000024</c:v>
                </c:pt>
                <c:pt idx="855">
                  <c:v>40.500000000000242</c:v>
                </c:pt>
                <c:pt idx="856">
                  <c:v>40.600000000000243</c:v>
                </c:pt>
                <c:pt idx="857">
                  <c:v>40.700000000000244</c:v>
                </c:pt>
                <c:pt idx="858">
                  <c:v>40.800000000000246</c:v>
                </c:pt>
                <c:pt idx="859">
                  <c:v>40.900000000000247</c:v>
                </c:pt>
                <c:pt idx="860">
                  <c:v>41.000000000000249</c:v>
                </c:pt>
                <c:pt idx="861">
                  <c:v>41.10000000000025</c:v>
                </c:pt>
                <c:pt idx="862">
                  <c:v>41.200000000000252</c:v>
                </c:pt>
                <c:pt idx="863">
                  <c:v>41.300000000000253</c:v>
                </c:pt>
                <c:pt idx="864">
                  <c:v>41.400000000000254</c:v>
                </c:pt>
                <c:pt idx="865">
                  <c:v>41.500000000000256</c:v>
                </c:pt>
                <c:pt idx="866">
                  <c:v>41.600000000000257</c:v>
                </c:pt>
                <c:pt idx="867">
                  <c:v>41.700000000000259</c:v>
                </c:pt>
                <c:pt idx="868">
                  <c:v>41.80000000000026</c:v>
                </c:pt>
                <c:pt idx="869">
                  <c:v>41.900000000000261</c:v>
                </c:pt>
                <c:pt idx="870">
                  <c:v>42.000000000000263</c:v>
                </c:pt>
                <c:pt idx="871">
                  <c:v>42.100000000000264</c:v>
                </c:pt>
                <c:pt idx="872">
                  <c:v>42.200000000000266</c:v>
                </c:pt>
                <c:pt idx="873">
                  <c:v>42.300000000000267</c:v>
                </c:pt>
                <c:pt idx="874">
                  <c:v>42.400000000000269</c:v>
                </c:pt>
                <c:pt idx="875">
                  <c:v>42.50000000000027</c:v>
                </c:pt>
                <c:pt idx="876">
                  <c:v>42.600000000000271</c:v>
                </c:pt>
                <c:pt idx="877">
                  <c:v>42.700000000000273</c:v>
                </c:pt>
                <c:pt idx="878">
                  <c:v>42.800000000000274</c:v>
                </c:pt>
                <c:pt idx="879">
                  <c:v>42.900000000000276</c:v>
                </c:pt>
                <c:pt idx="880">
                  <c:v>43.000000000000277</c:v>
                </c:pt>
                <c:pt idx="881">
                  <c:v>43.100000000000279</c:v>
                </c:pt>
                <c:pt idx="882">
                  <c:v>43.20000000000028</c:v>
                </c:pt>
                <c:pt idx="883">
                  <c:v>43.300000000000281</c:v>
                </c:pt>
                <c:pt idx="884">
                  <c:v>43.400000000000283</c:v>
                </c:pt>
                <c:pt idx="885">
                  <c:v>43.500000000000284</c:v>
                </c:pt>
                <c:pt idx="886">
                  <c:v>43.600000000000286</c:v>
                </c:pt>
                <c:pt idx="887">
                  <c:v>43.700000000000287</c:v>
                </c:pt>
                <c:pt idx="888">
                  <c:v>43.800000000000288</c:v>
                </c:pt>
                <c:pt idx="889">
                  <c:v>43.90000000000029</c:v>
                </c:pt>
                <c:pt idx="890">
                  <c:v>44.000000000000291</c:v>
                </c:pt>
                <c:pt idx="891">
                  <c:v>44.100000000000293</c:v>
                </c:pt>
                <c:pt idx="892">
                  <c:v>44.200000000000294</c:v>
                </c:pt>
                <c:pt idx="893">
                  <c:v>44.300000000000296</c:v>
                </c:pt>
                <c:pt idx="894">
                  <c:v>44.400000000000297</c:v>
                </c:pt>
                <c:pt idx="895">
                  <c:v>44.500000000000298</c:v>
                </c:pt>
                <c:pt idx="896">
                  <c:v>44.6000000000003</c:v>
                </c:pt>
                <c:pt idx="897">
                  <c:v>44.700000000000301</c:v>
                </c:pt>
                <c:pt idx="898">
                  <c:v>44.800000000000303</c:v>
                </c:pt>
                <c:pt idx="899">
                  <c:v>44.900000000000304</c:v>
                </c:pt>
                <c:pt idx="900">
                  <c:v>45.000000000000306</c:v>
                </c:pt>
                <c:pt idx="901">
                  <c:v>45.100000000000307</c:v>
                </c:pt>
                <c:pt idx="902">
                  <c:v>45.200000000000308</c:v>
                </c:pt>
                <c:pt idx="903">
                  <c:v>45.30000000000031</c:v>
                </c:pt>
                <c:pt idx="904">
                  <c:v>45.400000000000311</c:v>
                </c:pt>
                <c:pt idx="905">
                  <c:v>45.500000000000313</c:v>
                </c:pt>
                <c:pt idx="906">
                  <c:v>45.600000000000314</c:v>
                </c:pt>
                <c:pt idx="907">
                  <c:v>45.700000000000315</c:v>
                </c:pt>
                <c:pt idx="908">
                  <c:v>45.800000000000317</c:v>
                </c:pt>
                <c:pt idx="909">
                  <c:v>45.900000000000318</c:v>
                </c:pt>
                <c:pt idx="910">
                  <c:v>46.00000000000032</c:v>
                </c:pt>
                <c:pt idx="911">
                  <c:v>46.100000000000321</c:v>
                </c:pt>
                <c:pt idx="912">
                  <c:v>46.200000000000323</c:v>
                </c:pt>
                <c:pt idx="913">
                  <c:v>46.300000000000324</c:v>
                </c:pt>
                <c:pt idx="914">
                  <c:v>46.400000000000325</c:v>
                </c:pt>
                <c:pt idx="915">
                  <c:v>46.500000000000327</c:v>
                </c:pt>
                <c:pt idx="916">
                  <c:v>46.600000000000328</c:v>
                </c:pt>
                <c:pt idx="917">
                  <c:v>46.70000000000033</c:v>
                </c:pt>
                <c:pt idx="918">
                  <c:v>46.800000000000331</c:v>
                </c:pt>
                <c:pt idx="919">
                  <c:v>46.900000000000333</c:v>
                </c:pt>
                <c:pt idx="920">
                  <c:v>47.000000000000334</c:v>
                </c:pt>
                <c:pt idx="921">
                  <c:v>47.100000000000335</c:v>
                </c:pt>
                <c:pt idx="922">
                  <c:v>47.200000000000337</c:v>
                </c:pt>
                <c:pt idx="923">
                  <c:v>47.300000000000338</c:v>
                </c:pt>
                <c:pt idx="924">
                  <c:v>47.40000000000034</c:v>
                </c:pt>
                <c:pt idx="925">
                  <c:v>47.500000000000341</c:v>
                </c:pt>
                <c:pt idx="926">
                  <c:v>47.600000000000342</c:v>
                </c:pt>
                <c:pt idx="927">
                  <c:v>47.700000000000344</c:v>
                </c:pt>
                <c:pt idx="928">
                  <c:v>47.800000000000345</c:v>
                </c:pt>
                <c:pt idx="929">
                  <c:v>47.900000000000347</c:v>
                </c:pt>
                <c:pt idx="930">
                  <c:v>48.000000000000348</c:v>
                </c:pt>
                <c:pt idx="931">
                  <c:v>48.10000000000035</c:v>
                </c:pt>
                <c:pt idx="932">
                  <c:v>48.200000000000351</c:v>
                </c:pt>
                <c:pt idx="933">
                  <c:v>48.300000000000352</c:v>
                </c:pt>
                <c:pt idx="934">
                  <c:v>48.400000000000354</c:v>
                </c:pt>
                <c:pt idx="935">
                  <c:v>48.500000000000355</c:v>
                </c:pt>
                <c:pt idx="936">
                  <c:v>48.600000000000357</c:v>
                </c:pt>
                <c:pt idx="937">
                  <c:v>48.700000000000358</c:v>
                </c:pt>
                <c:pt idx="938">
                  <c:v>48.80000000000036</c:v>
                </c:pt>
                <c:pt idx="939">
                  <c:v>48.900000000000361</c:v>
                </c:pt>
                <c:pt idx="940">
                  <c:v>49.000000000000362</c:v>
                </c:pt>
                <c:pt idx="941">
                  <c:v>49.100000000000364</c:v>
                </c:pt>
                <c:pt idx="942">
                  <c:v>49.200000000000365</c:v>
                </c:pt>
                <c:pt idx="943">
                  <c:v>49.300000000000367</c:v>
                </c:pt>
                <c:pt idx="944">
                  <c:v>49.400000000000368</c:v>
                </c:pt>
                <c:pt idx="945">
                  <c:v>49.500000000000369</c:v>
                </c:pt>
                <c:pt idx="946">
                  <c:v>49.600000000000371</c:v>
                </c:pt>
                <c:pt idx="947">
                  <c:v>49.700000000000372</c:v>
                </c:pt>
                <c:pt idx="948">
                  <c:v>49.800000000000374</c:v>
                </c:pt>
                <c:pt idx="949">
                  <c:v>49.900000000000375</c:v>
                </c:pt>
                <c:pt idx="950">
                  <c:v>50.000000000000377</c:v>
                </c:pt>
                <c:pt idx="951">
                  <c:v>50.100000000000378</c:v>
                </c:pt>
                <c:pt idx="952">
                  <c:v>50.200000000000379</c:v>
                </c:pt>
                <c:pt idx="953">
                  <c:v>50.300000000000381</c:v>
                </c:pt>
                <c:pt idx="954">
                  <c:v>50.400000000000382</c:v>
                </c:pt>
                <c:pt idx="955">
                  <c:v>50.500000000000384</c:v>
                </c:pt>
                <c:pt idx="956">
                  <c:v>50.600000000000385</c:v>
                </c:pt>
                <c:pt idx="957">
                  <c:v>50.700000000000387</c:v>
                </c:pt>
                <c:pt idx="958">
                  <c:v>50.800000000000388</c:v>
                </c:pt>
                <c:pt idx="959">
                  <c:v>50.900000000000389</c:v>
                </c:pt>
                <c:pt idx="960">
                  <c:v>51.000000000000391</c:v>
                </c:pt>
                <c:pt idx="961">
                  <c:v>51.100000000000392</c:v>
                </c:pt>
                <c:pt idx="962">
                  <c:v>51.200000000000394</c:v>
                </c:pt>
                <c:pt idx="963">
                  <c:v>51.300000000000395</c:v>
                </c:pt>
                <c:pt idx="964">
                  <c:v>51.400000000000396</c:v>
                </c:pt>
                <c:pt idx="965">
                  <c:v>51.500000000000398</c:v>
                </c:pt>
                <c:pt idx="966">
                  <c:v>51.600000000000399</c:v>
                </c:pt>
                <c:pt idx="967">
                  <c:v>51.700000000000401</c:v>
                </c:pt>
                <c:pt idx="968">
                  <c:v>51.800000000000402</c:v>
                </c:pt>
                <c:pt idx="969">
                  <c:v>51.900000000000404</c:v>
                </c:pt>
                <c:pt idx="970">
                  <c:v>52.000000000000405</c:v>
                </c:pt>
                <c:pt idx="971">
                  <c:v>52.100000000000406</c:v>
                </c:pt>
                <c:pt idx="972">
                  <c:v>52.200000000000408</c:v>
                </c:pt>
                <c:pt idx="973">
                  <c:v>52.300000000000409</c:v>
                </c:pt>
                <c:pt idx="974">
                  <c:v>52.400000000000411</c:v>
                </c:pt>
                <c:pt idx="975">
                  <c:v>52.500000000000412</c:v>
                </c:pt>
                <c:pt idx="976">
                  <c:v>52.600000000000414</c:v>
                </c:pt>
                <c:pt idx="977">
                  <c:v>52.700000000000415</c:v>
                </c:pt>
                <c:pt idx="978">
                  <c:v>52.800000000000416</c:v>
                </c:pt>
                <c:pt idx="979">
                  <c:v>52.80010000000042</c:v>
                </c:pt>
                <c:pt idx="980">
                  <c:v>52.800200000000423</c:v>
                </c:pt>
                <c:pt idx="981">
                  <c:v>52.800300000000426</c:v>
                </c:pt>
                <c:pt idx="982">
                  <c:v>52.80040000000043</c:v>
                </c:pt>
                <c:pt idx="983">
                  <c:v>52.800500000000433</c:v>
                </c:pt>
                <c:pt idx="984">
                  <c:v>52.800600000000436</c:v>
                </c:pt>
                <c:pt idx="985">
                  <c:v>52.80070000000044</c:v>
                </c:pt>
                <c:pt idx="986">
                  <c:v>52.800800000000443</c:v>
                </c:pt>
                <c:pt idx="987">
                  <c:v>52.800900000000446</c:v>
                </c:pt>
                <c:pt idx="988">
                  <c:v>52.80100000000045</c:v>
                </c:pt>
                <c:pt idx="989">
                  <c:v>52.801100000000453</c:v>
                </c:pt>
                <c:pt idx="990">
                  <c:v>52.801200000000456</c:v>
                </c:pt>
                <c:pt idx="991">
                  <c:v>52.80130000000046</c:v>
                </c:pt>
                <c:pt idx="992">
                  <c:v>52.801400000000463</c:v>
                </c:pt>
                <c:pt idx="993">
                  <c:v>52.801500000000466</c:v>
                </c:pt>
                <c:pt idx="994">
                  <c:v>52.801600000000469</c:v>
                </c:pt>
                <c:pt idx="995">
                  <c:v>52.801700000000473</c:v>
                </c:pt>
                <c:pt idx="996">
                  <c:v>52.801800000000476</c:v>
                </c:pt>
                <c:pt idx="997">
                  <c:v>52.801900000000479</c:v>
                </c:pt>
                <c:pt idx="998">
                  <c:v>52.802000000000483</c:v>
                </c:pt>
                <c:pt idx="999">
                  <c:v>52.802100000000486</c:v>
                </c:pt>
                <c:pt idx="1000">
                  <c:v>52.802200000000489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7.9551017983196934E-4</c:v>
                </c:pt>
                <c:pt idx="2">
                  <c:v>4.5969806451097925E-3</c:v>
                </c:pt>
                <c:pt idx="3">
                  <c:v>1.3406949949768451E-2</c:v>
                </c:pt>
                <c:pt idx="4">
                  <c:v>2.8401219250121523E-2</c:v>
                </c:pt>
                <c:pt idx="5">
                  <c:v>5.0756894473462134E-2</c:v>
                </c:pt>
                <c:pt idx="6">
                  <c:v>8.1652578986609478E-2</c:v>
                </c:pt>
                <c:pt idx="7">
                  <c:v>0.12226856376226272</c:v>
                </c:pt>
                <c:pt idx="8">
                  <c:v>0.17378701513006151</c:v>
                </c:pt>
                <c:pt idx="9">
                  <c:v>0.23739216019483012</c:v>
                </c:pt>
                <c:pt idx="10">
                  <c:v>0.31427047000019614</c:v>
                </c:pt>
                <c:pt idx="11">
                  <c:v>0.40527228320445341</c:v>
                </c:pt>
                <c:pt idx="12">
                  <c:v>0.51057232448723888</c:v>
                </c:pt>
                <c:pt idx="13">
                  <c:v>0.63000415809525101</c:v>
                </c:pt>
                <c:pt idx="14">
                  <c:v>0.76339565266121023</c:v>
                </c:pt>
                <c:pt idx="15">
                  <c:v>0.91057155858677497</c:v>
                </c:pt>
                <c:pt idx="16">
                  <c:v>1.0713560932387671</c:v>
                </c:pt>
                <c:pt idx="17">
                  <c:v>1.2455729506424484</c:v>
                </c:pt>
                <c:pt idx="18">
                  <c:v>1.4330453111800932</c:v>
                </c:pt>
                <c:pt idx="19">
                  <c:v>1.6335958512925897</c:v>
                </c:pt>
                <c:pt idx="20">
                  <c:v>1.8470467531818142</c:v>
                </c:pt>
                <c:pt idx="21">
                  <c:v>2.0732197145115308</c:v>
                </c:pt>
                <c:pt idx="22">
                  <c:v>2.3119359581045873</c:v>
                </c:pt>
                <c:pt idx="23">
                  <c:v>2.5630162416341902</c:v>
                </c:pt>
                <c:pt idx="24">
                  <c:v>2.8262808673070552</c:v>
                </c:pt>
                <c:pt idx="25">
                  <c:v>3.1015496915362473</c:v>
                </c:pt>
                <c:pt idx="26">
                  <c:v>3.3886421346015396</c:v>
                </c:pt>
                <c:pt idx="27">
                  <c:v>3.6874228307268293</c:v>
                </c:pt>
                <c:pt idx="28">
                  <c:v>3.9978473810024013</c:v>
                </c:pt>
                <c:pt idx="29">
                  <c:v>4.3199131395194454</c:v>
                </c:pt>
                <c:pt idx="30">
                  <c:v>4.6536172071448449</c:v>
                </c:pt>
                <c:pt idx="31">
                  <c:v>4.9989601612126009</c:v>
                </c:pt>
                <c:pt idx="32">
                  <c:v>5.3559424720361681</c:v>
                </c:pt>
                <c:pt idx="33">
                  <c:v>5.7245645047271552</c:v>
                </c:pt>
                <c:pt idx="34">
                  <c:v>6.1048265185892134</c:v>
                </c:pt>
                <c:pt idx="35">
                  <c:v>6.4967286665539499</c:v>
                </c:pt>
                <c:pt idx="36">
                  <c:v>6.9002709946546332</c:v>
                </c:pt>
                <c:pt idx="37">
                  <c:v>7.3154534415340731</c:v>
                </c:pt>
                <c:pt idx="38">
                  <c:v>7.7422758379835255</c:v>
                </c:pt>
                <c:pt idx="39">
                  <c:v>8.1807379065099113</c:v>
                </c:pt>
                <c:pt idx="40">
                  <c:v>8.6308392609289761</c:v>
                </c:pt>
                <c:pt idx="41">
                  <c:v>9.0925794059823275</c:v>
                </c:pt>
                <c:pt idx="42">
                  <c:v>9.5659577369765305</c:v>
                </c:pt>
                <c:pt idx="43">
                  <c:v>10.050973539442658</c:v>
                </c:pt>
                <c:pt idx="44">
                  <c:v>10.547625988814906</c:v>
                </c:pt>
                <c:pt idx="45">
                  <c:v>11.055914150126995</c:v>
                </c:pt>
                <c:pt idx="46">
                  <c:v>11.575836977725285</c:v>
                </c:pt>
                <c:pt idx="47">
                  <c:v>12.107393314997577</c:v>
                </c:pt>
                <c:pt idx="48">
                  <c:v>12.650581894116762</c:v>
                </c:pt>
                <c:pt idx="49">
                  <c:v>13.205401335798495</c:v>
                </c:pt>
                <c:pt idx="50">
                  <c:v>13.771850149072204</c:v>
                </c:pt>
                <c:pt idx="51">
                  <c:v>14.349926731064793</c:v>
                </c:pt>
                <c:pt idx="52">
                  <c:v>14.939629366796469</c:v>
                </c:pt>
                <c:pt idx="53">
                  <c:v>15.540956228988179</c:v>
                </c:pt>
                <c:pt idx="54">
                  <c:v>16.153905377880172</c:v>
                </c:pt>
                <c:pt idx="55">
                  <c:v>16.778474761061283</c:v>
                </c:pt>
                <c:pt idx="56">
                  <c:v>17.414662213308553</c:v>
                </c:pt>
                <c:pt idx="57">
                  <c:v>18.062465456436811</c:v>
                </c:pt>
                <c:pt idx="58">
                  <c:v>18.72188209915792</c:v>
                </c:pt>
                <c:pt idx="59">
                  <c:v>19.392909636949394</c:v>
                </c:pt>
                <c:pt idx="60">
                  <c:v>20.075545451932118</c:v>
                </c:pt>
                <c:pt idx="61">
                  <c:v>20.769786812756912</c:v>
                </c:pt>
                <c:pt idx="62">
                  <c:v>21.475630874499739</c:v>
                </c:pt>
                <c:pt idx="63">
                  <c:v>22.193074678565338</c:v>
                </c:pt>
                <c:pt idx="64">
                  <c:v>22.922115152599083</c:v>
                </c:pt>
                <c:pt idx="65">
                  <c:v>23.662749110406921</c:v>
                </c:pt>
                <c:pt idx="66">
                  <c:v>24.414973251883193</c:v>
                </c:pt>
                <c:pt idx="67">
                  <c:v>25.178784162946222</c:v>
                </c:pt>
                <c:pt idx="68">
                  <c:v>25.954178315481506</c:v>
                </c:pt>
                <c:pt idx="69">
                  <c:v>26.741152067292397</c:v>
                </c:pt>
                <c:pt idx="70">
                  <c:v>27.539701662058153</c:v>
                </c:pt>
                <c:pt idx="71">
                  <c:v>28.349823229299233</c:v>
                </c:pt>
                <c:pt idx="72">
                  <c:v>29.171512258083826</c:v>
                </c:pt>
                <c:pt idx="73">
                  <c:v>30.004763069772565</c:v>
                </c:pt>
                <c:pt idx="74">
                  <c:v>30.84956934302107</c:v>
                </c:pt>
                <c:pt idx="75">
                  <c:v>31.705924639788361</c:v>
                </c:pt>
                <c:pt idx="76">
                  <c:v>32.573822405397408</c:v>
                </c:pt>
                <c:pt idx="77">
                  <c:v>33.453255968602654</c:v>
                </c:pt>
                <c:pt idx="78">
                  <c:v>34.344218541664418</c:v>
                </c:pt>
                <c:pt idx="79">
                  <c:v>35.246703220430092</c:v>
                </c:pt>
                <c:pt idx="80">
                  <c:v>36.160702984422102</c:v>
                </c:pt>
                <c:pt idx="81">
                  <c:v>37.086210696932518</c:v>
                </c:pt>
                <c:pt idx="82">
                  <c:v>38.023219105124284</c:v>
                </c:pt>
                <c:pt idx="83">
                  <c:v>38.971720840139</c:v>
                </c:pt>
                <c:pt idx="84">
                  <c:v>39.931708417211176</c:v>
                </c:pt>
                <c:pt idx="85">
                  <c:v>40.903174235788939</c:v>
                </c:pt>
                <c:pt idx="86">
                  <c:v>41.8861105796611</c:v>
                </c:pt>
                <c:pt idx="87">
                  <c:v>42.880509617090574</c:v>
                </c:pt>
                <c:pt idx="88">
                  <c:v>43.886363400954053</c:v>
                </c:pt>
                <c:pt idx="89">
                  <c:v>44.903663868887918</c:v>
                </c:pt>
                <c:pt idx="90">
                  <c:v>45.93240284344035</c:v>
                </c:pt>
                <c:pt idx="91">
                  <c:v>46.972572032229557</c:v>
                </c:pt>
                <c:pt idx="92">
                  <c:v>48.024163028108106</c:v>
                </c:pt>
                <c:pt idx="93">
                  <c:v>49.087167309333324</c:v>
                </c:pt>
                <c:pt idx="94">
                  <c:v>50.161576239743674</c:v>
                </c:pt>
                <c:pt idx="95">
                  <c:v>51.247381068941131</c:v>
                </c:pt>
                <c:pt idx="96">
                  <c:v>52.344572932479487</c:v>
                </c:pt>
                <c:pt idx="97">
                  <c:v>53.453142852058527</c:v>
                </c:pt>
                <c:pt idx="98">
                  <c:v>54.573081735724081</c:v>
                </c:pt>
                <c:pt idx="99">
                  <c:v>55.704380378073886</c:v>
                </c:pt>
                <c:pt idx="100">
                  <c:v>56.847029460469216</c:v>
                </c:pt>
                <c:pt idx="101">
                  <c:v>58.001019551252256</c:v>
                </c:pt>
                <c:pt idx="102">
                  <c:v>59.166341105969195</c:v>
                </c:pt>
                <c:pt idx="103">
                  <c:v>60.342984467598995</c:v>
                </c:pt>
                <c:pt idx="104">
                  <c:v>61.530939866787755</c:v>
                </c:pt>
                <c:pt idx="105">
                  <c:v>62.730197422088715</c:v>
                </c:pt>
                <c:pt idx="106">
                  <c:v>63.940747140207819</c:v>
                </c:pt>
                <c:pt idx="107">
                  <c:v>65.162578916254773</c:v>
                </c:pt>
                <c:pt idx="108">
                  <c:v>66.395682533999675</c:v>
                </c:pt>
                <c:pt idx="109">
                  <c:v>67.64004766613499</c:v>
                </c:pt>
                <c:pt idx="110">
                  <c:v>68.895663874543061</c:v>
                </c:pt>
                <c:pt idx="111">
                  <c:v>70.162520610568976</c:v>
                </c:pt>
                <c:pt idx="112">
                  <c:v>71.440607215298755</c:v>
                </c:pt>
                <c:pt idx="113">
                  <c:v>72.729912919842917</c:v>
                </c:pt>
                <c:pt idx="114">
                  <c:v>74.0304268456253</c:v>
                </c:pt>
                <c:pt idx="115">
                  <c:v>75.342138004677139</c:v>
                </c:pt>
                <c:pt idx="116">
                  <c:v>76.66503529993642</c:v>
                </c:pt>
                <c:pt idx="117">
                  <c:v>77.999107525552333</c:v>
                </c:pt>
                <c:pt idx="118">
                  <c:v>79.344343367194924</c:v>
                </c:pt>
                <c:pt idx="119">
                  <c:v>80.700731402369897</c:v>
                </c:pt>
                <c:pt idx="120">
                  <c:v>82.068260100738428</c:v>
                </c:pt>
                <c:pt idx="121">
                  <c:v>83.446917824442096</c:v>
                </c:pt>
                <c:pt idx="122">
                  <c:v>84.836692828432788</c:v>
                </c:pt>
                <c:pt idx="123">
                  <c:v>86.237573260807565</c:v>
                </c:pt>
                <c:pt idx="124">
                  <c:v>87.649547163148554</c:v>
                </c:pt>
                <c:pt idx="125">
                  <c:v>89.07260247086765</c:v>
                </c:pt>
                <c:pt idx="126">
                  <c:v>90.506727013556144</c:v>
                </c:pt>
                <c:pt idx="127">
                  <c:v>91.951908515339184</c:v>
                </c:pt>
                <c:pt idx="128">
                  <c:v>93.408134595235055</c:v>
                </c:pt>
                <c:pt idx="129">
                  <c:v>94.875390311136059</c:v>
                </c:pt>
                <c:pt idx="130">
                  <c:v>96.353655700702035</c:v>
                </c:pt>
                <c:pt idx="131">
                  <c:v>97.842908235197584</c:v>
                </c:pt>
                <c:pt idx="132">
                  <c:v>99.343125276582242</c:v>
                </c:pt>
                <c:pt idx="133">
                  <c:v>100.85428407820518</c:v>
                </c:pt>
                <c:pt idx="134">
                  <c:v>102.37636178550432</c:v>
                </c:pt>
                <c:pt idx="135">
                  <c:v>103.90933543670967</c:v>
                </c:pt>
                <c:pt idx="136">
                  <c:v>105.45318196355095</c:v>
                </c:pt>
                <c:pt idx="137">
                  <c:v>107.00787819196927</c:v>
                </c:pt>
                <c:pt idx="138">
                  <c:v>108.57340084283292</c:v>
                </c:pt>
                <c:pt idx="139">
                  <c:v>110.14972653265716</c:v>
                </c:pt>
                <c:pt idx="140">
                  <c:v>111.73683177432785</c:v>
                </c:pt>
                <c:pt idx="141">
                  <c:v>113.33469297782908</c:v>
                </c:pt>
                <c:pt idx="142">
                  <c:v>114.94328645097441</c:v>
                </c:pt>
                <c:pt idx="143">
                  <c:v>116.56258840014196</c:v>
                </c:pt>
                <c:pt idx="144">
                  <c:v>118.19257493101301</c:v>
                </c:pt>
                <c:pt idx="145">
                  <c:v>119.83322204931429</c:v>
                </c:pt>
                <c:pt idx="146">
                  <c:v>121.4845056615636</c:v>
                </c:pt>
                <c:pt idx="147">
                  <c:v>123.14640157581906</c:v>
                </c:pt>
                <c:pt idx="148">
                  <c:v>124.81888550243146</c:v>
                </c:pt>
                <c:pt idx="149">
                  <c:v>126.50193305480009</c:v>
                </c:pt>
                <c:pt idx="150">
                  <c:v>128.19551975013169</c:v>
                </c:pt>
                <c:pt idx="151">
                  <c:v>129.89962101020248</c:v>
                </c:pt>
                <c:pt idx="152">
                  <c:v>131.61421216212335</c:v>
                </c:pt>
                <c:pt idx="153">
                  <c:v>133.33926843910797</c:v>
                </c:pt>
                <c:pt idx="154">
                  <c:v>135.07476498124382</c:v>
                </c:pt>
                <c:pt idx="155">
                  <c:v>136.82067683626607</c:v>
                </c:pt>
                <c:pt idx="156">
                  <c:v>138.57697896033426</c:v>
                </c:pt>
                <c:pt idx="157">
                  <c:v>140.34364621881156</c:v>
                </c:pt>
                <c:pt idx="158">
                  <c:v>142.12065338704687</c:v>
                </c:pt>
                <c:pt idx="159">
                  <c:v>143.90797515115923</c:v>
                </c:pt>
                <c:pt idx="160">
                  <c:v>145.70558610882495</c:v>
                </c:pt>
                <c:pt idx="161">
                  <c:v>147.51346077006687</c:v>
                </c:pt>
                <c:pt idx="162">
                  <c:v>149.33157355804627</c:v>
                </c:pt>
                <c:pt idx="163">
                  <c:v>151.15989880985683</c:v>
                </c:pt>
                <c:pt idx="164">
                  <c:v>152.9984107773208</c:v>
                </c:pt>
                <c:pt idx="165">
                  <c:v>154.84708362778741</c:v>
                </c:pt>
                <c:pt idx="166">
                  <c:v>156.70589144493326</c:v>
                </c:pt>
                <c:pt idx="167">
                  <c:v>158.57480822956464</c:v>
                </c:pt>
                <c:pt idx="168">
                  <c:v>160.45380790042185</c:v>
                </c:pt>
                <c:pt idx="169">
                  <c:v>162.34286429498536</c:v>
                </c:pt>
                <c:pt idx="170">
                  <c:v>164.24195117028367</c:v>
                </c:pt>
                <c:pt idx="171">
                  <c:v>166.15104220370281</c:v>
                </c:pt>
                <c:pt idx="172">
                  <c:v>168.0701109937977</c:v>
                </c:pt>
                <c:pt idx="173">
                  <c:v>169.99913106110483</c:v>
                </c:pt>
                <c:pt idx="174">
                  <c:v>171.93807584895654</c:v>
                </c:pt>
                <c:pt idx="175">
                  <c:v>173.88691872429666</c:v>
                </c:pt>
                <c:pt idx="176">
                  <c:v>175.84563297849755</c:v>
                </c:pt>
                <c:pt idx="177">
                  <c:v>177.81419182817839</c:v>
                </c:pt>
                <c:pt idx="178">
                  <c:v>179.79256841602469</c:v>
                </c:pt>
                <c:pt idx="179">
                  <c:v>181.78073581160885</c:v>
                </c:pt>
                <c:pt idx="180">
                  <c:v>183.77866701221194</c:v>
                </c:pt>
                <c:pt idx="181">
                  <c:v>185.78633494364632</c:v>
                </c:pt>
                <c:pt idx="182">
                  <c:v>187.80371246107936</c:v>
                </c:pt>
                <c:pt idx="183">
                  <c:v>189.8307723498578</c:v>
                </c:pt>
                <c:pt idx="184">
                  <c:v>191.86748732633311</c:v>
                </c:pt>
                <c:pt idx="185">
                  <c:v>193.91383003868748</c:v>
                </c:pt>
                <c:pt idx="186">
                  <c:v>195.96977306776049</c:v>
                </c:pt>
                <c:pt idx="187">
                  <c:v>198.03528892787631</c:v>
                </c:pt>
                <c:pt idx="188">
                  <c:v>200.11035006767145</c:v>
                </c:pt>
                <c:pt idx="189">
                  <c:v>202.19492887092306</c:v>
                </c:pt>
                <c:pt idx="190">
                  <c:v>204.28899765737751</c:v>
                </c:pt>
                <c:pt idx="191">
                  <c:v>206.39252868357926</c:v>
                </c:pt>
                <c:pt idx="192">
                  <c:v>208.50549414370008</c:v>
                </c:pt>
                <c:pt idx="193">
                  <c:v>210.62786617036846</c:v>
                </c:pt>
                <c:pt idx="194">
                  <c:v>212.75961683549909</c:v>
                </c:pt>
                <c:pt idx="195">
                  <c:v>214.90071815112233</c:v>
                </c:pt>
                <c:pt idx="196">
                  <c:v>217.0511420702139</c:v>
                </c:pt>
                <c:pt idx="197">
                  <c:v>219.21086048752423</c:v>
                </c:pt>
                <c:pt idx="198">
                  <c:v>221.37984524040786</c:v>
                </c:pt>
                <c:pt idx="199">
                  <c:v>223.55806810965257</c:v>
                </c:pt>
                <c:pt idx="200">
                  <c:v>225.74550082030828</c:v>
                </c:pt>
                <c:pt idx="201">
                  <c:v>227.94211504251555</c:v>
                </c:pt>
                <c:pt idx="202">
                  <c:v>230.14788239233383</c:v>
                </c:pt>
                <c:pt idx="203">
                  <c:v>232.36277443256904</c:v>
                </c:pt>
                <c:pt idx="204">
                  <c:v>234.58676267360093</c:v>
                </c:pt>
                <c:pt idx="205">
                  <c:v>236.81981857420953</c:v>
                </c:pt>
                <c:pt idx="206">
                  <c:v>239.06191293311676</c:v>
                </c:pt>
                <c:pt idx="207">
                  <c:v>241.31301528033208</c:v>
                </c:pt>
                <c:pt idx="208">
                  <c:v>243.57309448764053</c:v>
                </c:pt>
                <c:pt idx="209">
                  <c:v>245.84211937932093</c:v>
                </c:pt>
                <c:pt idx="210">
                  <c:v>248.12005873304085</c:v>
                </c:pt>
                <c:pt idx="211">
                  <c:v>250.40688128075013</c:v>
                </c:pt>
                <c:pt idx="212">
                  <c:v>252.70255570957312</c:v>
                </c:pt>
                <c:pt idx="213">
                  <c:v>255.00705066269913</c:v>
                </c:pt>
                <c:pt idx="214">
                  <c:v>257.32033474027162</c:v>
                </c:pt>
                <c:pt idx="215">
                  <c:v>259.64237650027547</c:v>
                </c:pt>
                <c:pt idx="216">
                  <c:v>261.97314445942271</c:v>
                </c:pt>
                <c:pt idx="217">
                  <c:v>264.31260709403642</c:v>
                </c:pt>
                <c:pt idx="218">
                  <c:v>266.66073284093289</c:v>
                </c:pt>
                <c:pt idx="219">
                  <c:v>269.01749009830166</c:v>
                </c:pt>
                <c:pt idx="220">
                  <c:v>271.38284722658398</c:v>
                </c:pt>
                <c:pt idx="221">
                  <c:v>273.75677254934885</c:v>
                </c:pt>
                <c:pt idx="222">
                  <c:v>276.1392343541674</c:v>
                </c:pt>
                <c:pt idx="223">
                  <c:v>278.53020089348485</c:v>
                </c:pt>
                <c:pt idx="224">
                  <c:v>280.92964038549042</c:v>
                </c:pt>
                <c:pt idx="225">
                  <c:v>283.33752101498487</c:v>
                </c:pt>
                <c:pt idx="226">
                  <c:v>285.75381093424608</c:v>
                </c:pt>
                <c:pt idx="227">
                  <c:v>288.1784782638918</c:v>
                </c:pt>
                <c:pt idx="228">
                  <c:v>290.61149109374037</c:v>
                </c:pt>
                <c:pt idx="229">
                  <c:v>293.05281748366883</c:v>
                </c:pt>
                <c:pt idx="230">
                  <c:v>295.50242546446856</c:v>
                </c:pt>
                <c:pt idx="231">
                  <c:v>297.96028303869832</c:v>
                </c:pt>
                <c:pt idx="232">
                  <c:v>300.42635818153468</c:v>
                </c:pt>
                <c:pt idx="233">
                  <c:v>302.90061884161969</c:v>
                </c:pt>
                <c:pt idx="234">
                  <c:v>305.38303294190615</c:v>
                </c:pt>
                <c:pt idx="235">
                  <c:v>307.87356838049959</c:v>
                </c:pt>
                <c:pt idx="236">
                  <c:v>310.37219303149789</c:v>
                </c:pt>
                <c:pt idx="237">
                  <c:v>312.87887474582777</c:v>
                </c:pt>
                <c:pt idx="238">
                  <c:v>315.39358135207857</c:v>
                </c:pt>
                <c:pt idx="239">
                  <c:v>317.91628065733266</c:v>
                </c:pt>
                <c:pt idx="240">
                  <c:v>320.44694044799326</c:v>
                </c:pt>
                <c:pt idx="241">
                  <c:v>322.98552849060906</c:v>
                </c:pt>
                <c:pt idx="242">
                  <c:v>325.53201040899722</c:v>
                </c:pt>
                <c:pt idx="243">
                  <c:v>328.08634756159699</c:v>
                </c:pt>
                <c:pt idx="244">
                  <c:v>330.64849916902807</c:v>
                </c:pt>
                <c:pt idx="245">
                  <c:v>333.21842444153123</c:v>
                </c:pt>
                <c:pt idx="246">
                  <c:v>335.79608258001269</c:v>
                </c:pt>
                <c:pt idx="247">
                  <c:v>338.38143277708326</c:v>
                </c:pt>
                <c:pt idx="248">
                  <c:v>340.97443421809157</c:v>
                </c:pt>
                <c:pt idx="249">
                  <c:v>343.57504608215203</c:v>
                </c:pt>
                <c:pt idx="250">
                  <c:v>346.18322754316677</c:v>
                </c:pt>
                <c:pt idx="251">
                  <c:v>348.79893777084214</c:v>
                </c:pt>
                <c:pt idx="252">
                  <c:v>351.42213593169924</c:v>
                </c:pt>
                <c:pt idx="253">
                  <c:v>354.05278119007863</c:v>
                </c:pt>
                <c:pt idx="254">
                  <c:v>356.69083270913922</c:v>
                </c:pt>
                <c:pt idx="255">
                  <c:v>359.33624965185123</c:v>
                </c:pt>
                <c:pt idx="256">
                  <c:v>361.98899118198324</c:v>
                </c:pt>
                <c:pt idx="257">
                  <c:v>364.64901646508298</c:v>
                </c:pt>
                <c:pt idx="258">
                  <c:v>367.31628466945227</c:v>
                </c:pt>
                <c:pt idx="259">
                  <c:v>369.99075496711589</c:v>
                </c:pt>
                <c:pt idx="260">
                  <c:v>372.67238653478415</c:v>
                </c:pt>
                <c:pt idx="261">
                  <c:v>375.36113855480926</c:v>
                </c:pt>
                <c:pt idx="262">
                  <c:v>378.05697021613571</c:v>
                </c:pt>
                <c:pt idx="263">
                  <c:v>380.75984071524414</c:v>
                </c:pt>
                <c:pt idx="264">
                  <c:v>383.46970925708894</c:v>
                </c:pt>
                <c:pt idx="265">
                  <c:v>386.1865350560297</c:v>
                </c:pt>
                <c:pt idx="266">
                  <c:v>388.910277336756</c:v>
                </c:pt>
                <c:pt idx="267">
                  <c:v>391.6408953352061</c:v>
                </c:pt>
                <c:pt idx="268">
                  <c:v>394.37834829947883</c:v>
                </c:pt>
                <c:pt idx="269">
                  <c:v>397.1225954907394</c:v>
                </c:pt>
                <c:pt idx="270">
                  <c:v>399.87359618411836</c:v>
                </c:pt>
                <c:pt idx="271">
                  <c:v>402.63130966960426</c:v>
                </c:pt>
                <c:pt idx="272">
                  <c:v>405.39569525292961</c:v>
                </c:pt>
                <c:pt idx="273">
                  <c:v>408.16671225645035</c:v>
                </c:pt>
                <c:pt idx="274">
                  <c:v>410.94432002001861</c:v>
                </c:pt>
                <c:pt idx="275">
                  <c:v>413.72847790184875</c:v>
                </c:pt>
                <c:pt idx="276">
                  <c:v>416.51914527937703</c:v>
                </c:pt>
                <c:pt idx="277">
                  <c:v>419.3162815501143</c:v>
                </c:pt>
                <c:pt idx="278">
                  <c:v>422.11984613249206</c:v>
                </c:pt>
                <c:pt idx="279">
                  <c:v>424.9297984667017</c:v>
                </c:pt>
                <c:pt idx="280">
                  <c:v>427.74609801552714</c:v>
                </c:pt>
                <c:pt idx="281">
                  <c:v>430.56870426517065</c:v>
                </c:pt>
                <c:pt idx="282">
                  <c:v>433.39757672607175</c:v>
                </c:pt>
                <c:pt idx="283">
                  <c:v>436.23267493371935</c:v>
                </c:pt>
                <c:pt idx="284">
                  <c:v>439.07396096575485</c:v>
                </c:pt>
                <c:pt idx="285">
                  <c:v>441.92140195746595</c:v>
                </c:pt>
                <c:pt idx="286">
                  <c:v>444.77496758027593</c:v>
                </c:pt>
                <c:pt idx="287">
                  <c:v>447.63462752171773</c:v>
                </c:pt>
                <c:pt idx="288">
                  <c:v>450.50035148599227</c:v>
                </c:pt>
                <c:pt idx="289">
                  <c:v>453.37210919452264</c:v>
                </c:pt>
                <c:pt idx="290">
                  <c:v>456.2498703865042</c:v>
                </c:pt>
                <c:pt idx="291">
                  <c:v>459.13360481945074</c:v>
                </c:pt>
                <c:pt idx="292">
                  <c:v>462.023282269736</c:v>
                </c:pt>
                <c:pt idx="293">
                  <c:v>464.91887253313138</c:v>
                </c:pt>
                <c:pt idx="294">
                  <c:v>467.8203454253395</c:v>
                </c:pt>
                <c:pt idx="295">
                  <c:v>470.72767078252326</c:v>
                </c:pt>
                <c:pt idx="296">
                  <c:v>473.64081846183109</c:v>
                </c:pt>
                <c:pt idx="297">
                  <c:v>476.5597583419177</c:v>
                </c:pt>
                <c:pt idx="298">
                  <c:v>479.48446032346072</c:v>
                </c:pt>
                <c:pt idx="299">
                  <c:v>482.41489432967325</c:v>
                </c:pt>
                <c:pt idx="300">
                  <c:v>485.35103030681199</c:v>
                </c:pt>
                <c:pt idx="301">
                  <c:v>488.29283822468119</c:v>
                </c:pt>
                <c:pt idx="302">
                  <c:v>491.24028807713245</c:v>
                </c:pt>
                <c:pt idx="303">
                  <c:v>494.19334988256031</c:v>
                </c:pt>
                <c:pt idx="304">
                  <c:v>497.15199368439346</c:v>
                </c:pt>
                <c:pt idx="305">
                  <c:v>500.11618955158167</c:v>
                </c:pt>
                <c:pt idx="306">
                  <c:v>503.08590757907876</c:v>
                </c:pt>
                <c:pt idx="307">
                  <c:v>506.06111788832106</c:v>
                </c:pt>
                <c:pt idx="308">
                  <c:v>509.04179062770157</c:v>
                </c:pt>
                <c:pt idx="309">
                  <c:v>512.02789597304024</c:v>
                </c:pt>
                <c:pt idx="310">
                  <c:v>515.01940412804936</c:v>
                </c:pt>
                <c:pt idx="311">
                  <c:v>518.01628532479538</c:v>
                </c:pt>
                <c:pt idx="312">
                  <c:v>521.0185098241559</c:v>
                </c:pt>
                <c:pt idx="313">
                  <c:v>524.026047916273</c:v>
                </c:pt>
                <c:pt idx="314">
                  <c:v>527.03886992100161</c:v>
                </c:pt>
                <c:pt idx="315">
                  <c:v>530.05694618835412</c:v>
                </c:pt>
                <c:pt idx="316">
                  <c:v>533.08024709894062</c:v>
                </c:pt>
                <c:pt idx="317">
                  <c:v>536.10874306440451</c:v>
                </c:pt>
                <c:pt idx="318">
                  <c:v>539.14240452785464</c:v>
                </c:pt>
                <c:pt idx="319">
                  <c:v>542.18120196429254</c:v>
                </c:pt>
                <c:pt idx="320">
                  <c:v>545.22510588103557</c:v>
                </c:pt>
                <c:pt idx="321">
                  <c:v>548.27408681813574</c:v>
                </c:pt>
                <c:pt idx="322">
                  <c:v>551.32811534879465</c:v>
                </c:pt>
                <c:pt idx="323">
                  <c:v>554.38716207977359</c:v>
                </c:pt>
                <c:pt idx="324">
                  <c:v>557.45119765180004</c:v>
                </c:pt>
                <c:pt idx="325">
                  <c:v>560.52019273996939</c:v>
                </c:pt>
                <c:pt idx="326">
                  <c:v>563.59411821005699</c:v>
                </c:pt>
                <c:pt idx="327">
                  <c:v>566.67294527466584</c:v>
                </c:pt>
                <c:pt idx="328">
                  <c:v>569.75664533721852</c:v>
                </c:pt>
                <c:pt idx="329">
                  <c:v>572.84518983609951</c:v>
                </c:pt>
                <c:pt idx="330">
                  <c:v>575.93855024502682</c:v>
                </c:pt>
                <c:pt idx="331">
                  <c:v>579.03669807341885</c:v>
                </c:pt>
                <c:pt idx="332">
                  <c:v>582.13960486675751</c:v>
                </c:pt>
                <c:pt idx="333">
                  <c:v>585.24724220694736</c:v>
                </c:pt>
                <c:pt idx="334">
                  <c:v>588.35958171267043</c:v>
                </c:pt>
                <c:pt idx="335">
                  <c:v>591.47659503973739</c:v>
                </c:pt>
                <c:pt idx="336">
                  <c:v>594.59825388143463</c:v>
                </c:pt>
                <c:pt idx="337">
                  <c:v>597.72452996886682</c:v>
                </c:pt>
                <c:pt idx="338">
                  <c:v>600.85539507129636</c:v>
                </c:pt>
                <c:pt idx="339">
                  <c:v>603.99082099647808</c:v>
                </c:pt>
                <c:pt idx="340">
                  <c:v>607.13077959099007</c:v>
                </c:pt>
                <c:pt idx="341">
                  <c:v>610.27524274056111</c:v>
                </c:pt>
                <c:pt idx="342">
                  <c:v>613.4241823703934</c:v>
                </c:pt>
                <c:pt idx="343">
                  <c:v>616.57757044548168</c:v>
                </c:pt>
                <c:pt idx="344">
                  <c:v>619.73537897092842</c:v>
                </c:pt>
                <c:pt idx="345">
                  <c:v>622.89757999225515</c:v>
                </c:pt>
                <c:pt idx="346">
                  <c:v>626.06414559570942</c:v>
                </c:pt>
                <c:pt idx="347">
                  <c:v>629.23504790856862</c:v>
                </c:pt>
                <c:pt idx="348">
                  <c:v>632.4102590994388</c:v>
                </c:pt>
                <c:pt idx="349">
                  <c:v>635.58975137855089</c:v>
                </c:pt>
                <c:pt idx="350">
                  <c:v>638.773496998052</c:v>
                </c:pt>
                <c:pt idx="351">
                  <c:v>641.96146825229323</c:v>
                </c:pt>
                <c:pt idx="352">
                  <c:v>645.15363747811364</c:v>
                </c:pt>
                <c:pt idx="353">
                  <c:v>648.34997705512046</c:v>
                </c:pt>
                <c:pt idx="354">
                  <c:v>651.5504594059654</c:v>
                </c:pt>
                <c:pt idx="355">
                  <c:v>654.75505699661676</c:v>
                </c:pt>
                <c:pt idx="356">
                  <c:v>657.96374233662834</c:v>
                </c:pt>
                <c:pt idx="357">
                  <c:v>661.17648797940421</c:v>
                </c:pt>
                <c:pt idx="358">
                  <c:v>664.39326652245984</c:v>
                </c:pt>
                <c:pt idx="359">
                  <c:v>667.61405060767913</c:v>
                </c:pt>
                <c:pt idx="360">
                  <c:v>670.83881292156821</c:v>
                </c:pt>
                <c:pt idx="361">
                  <c:v>674.06752619550502</c:v>
                </c:pt>
                <c:pt idx="362">
                  <c:v>677.30016320598543</c:v>
                </c:pt>
                <c:pt idx="363">
                  <c:v>680.53669677486562</c:v>
                </c:pt>
                <c:pt idx="364">
                  <c:v>683.77709976960057</c:v>
                </c:pt>
                <c:pt idx="365">
                  <c:v>687.02134510347923</c:v>
                </c:pt>
                <c:pt idx="366">
                  <c:v>690.26940971924967</c:v>
                </c:pt>
                <c:pt idx="367">
                  <c:v>693.52127856737684</c:v>
                </c:pt>
                <c:pt idx="368">
                  <c:v>696.77694060822057</c:v>
                </c:pt>
                <c:pt idx="369">
                  <c:v>700.03638481950395</c:v>
                </c:pt>
                <c:pt idx="370">
                  <c:v>703.29960019639248</c:v>
                </c:pt>
                <c:pt idx="371">
                  <c:v>706.56657575157203</c:v>
                </c:pt>
                <c:pt idx="372">
                  <c:v>709.83730051532598</c:v>
                </c:pt>
                <c:pt idx="373">
                  <c:v>713.11176353561132</c:v>
                </c:pt>
                <c:pt idx="374">
                  <c:v>716.38995387813452</c:v>
                </c:pt>
                <c:pt idx="375">
                  <c:v>719.67186062642566</c:v>
                </c:pt>
                <c:pt idx="376">
                  <c:v>722.95747288191239</c:v>
                </c:pt>
                <c:pt idx="377">
                  <c:v>726.24677976399289</c:v>
                </c:pt>
                <c:pt idx="378">
                  <c:v>729.53977041010774</c:v>
                </c:pt>
                <c:pt idx="379">
                  <c:v>732.83643397581136</c:v>
                </c:pt>
                <c:pt idx="380">
                  <c:v>736.13675963484229</c:v>
                </c:pt>
                <c:pt idx="381">
                  <c:v>739.4407322675703</c:v>
                </c:pt>
                <c:pt idx="382">
                  <c:v>742.74832815552952</c:v>
                </c:pt>
                <c:pt idx="383">
                  <c:v>746.05951930953643</c:v>
                </c:pt>
                <c:pt idx="384">
                  <c:v>749.37427779178961</c:v>
                </c:pt>
                <c:pt idx="385">
                  <c:v>752.69257571607443</c:v>
                </c:pt>
                <c:pt idx="386">
                  <c:v>756.01438524796424</c:v>
                </c:pt>
                <c:pt idx="387">
                  <c:v>759.33967860501718</c:v>
                </c:pt>
                <c:pt idx="388">
                  <c:v>762.66842805697013</c:v>
                </c:pt>
                <c:pt idx="389">
                  <c:v>766.00060592592774</c:v>
                </c:pt>
                <c:pt idx="390">
                  <c:v>769.33618458654894</c:v>
                </c:pt>
                <c:pt idx="391">
                  <c:v>772.67513646622876</c:v>
                </c:pt>
                <c:pt idx="392">
                  <c:v>776.01743404527701</c:v>
                </c:pt>
                <c:pt idx="393">
                  <c:v>779.36304985709285</c:v>
                </c:pt>
                <c:pt idx="394">
                  <c:v>782.71195648833623</c:v>
                </c:pt>
                <c:pt idx="395">
                  <c:v>786.06412657909539</c:v>
                </c:pt>
                <c:pt idx="396">
                  <c:v>789.41953282305042</c:v>
                </c:pt>
                <c:pt idx="397">
                  <c:v>792.77814796763391</c:v>
                </c:pt>
                <c:pt idx="398">
                  <c:v>796.13994481418752</c:v>
                </c:pt>
                <c:pt idx="399">
                  <c:v>799.50489621811505</c:v>
                </c:pt>
                <c:pt idx="400">
                  <c:v>802.87297508903237</c:v>
                </c:pt>
                <c:pt idx="401">
                  <c:v>806.24415099410623</c:v>
                </c:pt>
                <c:pt idx="402">
                  <c:v>809.6183867667138</c:v>
                </c:pt>
                <c:pt idx="403">
                  <c:v>812.99564191727802</c:v>
                </c:pt>
                <c:pt idx="404">
                  <c:v>816.37587603884538</c:v>
                </c:pt>
                <c:pt idx="405">
                  <c:v>819.75904880735732</c:v>
                </c:pt>
                <c:pt idx="406">
                  <c:v>823.14511998191347</c:v>
                </c:pt>
                <c:pt idx="407">
                  <c:v>826.53404940502912</c:v>
                </c:pt>
                <c:pt idx="408">
                  <c:v>829.92579700288445</c:v>
                </c:pt>
                <c:pt idx="409">
                  <c:v>833.3203227855679</c:v>
                </c:pt>
                <c:pt idx="410">
                  <c:v>836.71758684731185</c:v>
                </c:pt>
                <c:pt idx="411">
                  <c:v>840.1175305855686</c:v>
                </c:pt>
                <c:pt idx="412">
                  <c:v>843.52005795171067</c:v>
                </c:pt>
                <c:pt idx="413">
                  <c:v>846.92505431313396</c:v>
                </c:pt>
                <c:pt idx="414">
                  <c:v>850.33240528453723</c:v>
                </c:pt>
                <c:pt idx="415">
                  <c:v>853.7419967297285</c:v>
                </c:pt>
                <c:pt idx="416">
                  <c:v>857.15371476338169</c:v>
                </c:pt>
                <c:pt idx="417">
                  <c:v>860.5674457527424</c:v>
                </c:pt>
                <c:pt idx="418">
                  <c:v>863.98307631928424</c:v>
                </c:pt>
                <c:pt idx="419">
                  <c:v>867.40049334031517</c:v>
                </c:pt>
                <c:pt idx="420">
                  <c:v>870.81957326204031</c:v>
                </c:pt>
                <c:pt idx="421">
                  <c:v>874.24017143316973</c:v>
                </c:pt>
                <c:pt idx="422">
                  <c:v>877.6621328450459</c:v>
                </c:pt>
                <c:pt idx="423">
                  <c:v>881.0853028518743</c:v>
                </c:pt>
                <c:pt idx="424">
                  <c:v>884.50952717355756</c:v>
                </c:pt>
                <c:pt idx="425">
                  <c:v>887.93465189843914</c:v>
                </c:pt>
                <c:pt idx="426">
                  <c:v>891.3605234859582</c:v>
                </c:pt>
                <c:pt idx="427">
                  <c:v>894.7869887692143</c:v>
                </c:pt>
                <c:pt idx="428">
                  <c:v>898.21389495744484</c:v>
                </c:pt>
                <c:pt idx="429">
                  <c:v>901.6410896384142</c:v>
                </c:pt>
                <c:pt idx="430">
                  <c:v>905.06842078071634</c:v>
                </c:pt>
                <c:pt idx="431">
                  <c:v>908.49573673599082</c:v>
                </c:pt>
                <c:pt idx="432">
                  <c:v>911.92286901082491</c:v>
                </c:pt>
                <c:pt idx="433">
                  <c:v>915.34961507862499</c:v>
                </c:pt>
                <c:pt idx="434">
                  <c:v>918.77575570328543</c:v>
                </c:pt>
                <c:pt idx="435">
                  <c:v>922.20107222423758</c:v>
                </c:pt>
                <c:pt idx="436">
                  <c:v>925.62534656122943</c:v>
                </c:pt>
                <c:pt idx="437">
                  <c:v>929.04836121892822</c:v>
                </c:pt>
                <c:pt idx="438">
                  <c:v>932.46989929134531</c:v>
                </c:pt>
                <c:pt idx="439">
                  <c:v>935.88974446608654</c:v>
                </c:pt>
                <c:pt idx="440">
                  <c:v>939.30768102842853</c:v>
                </c:pt>
                <c:pt idx="441">
                  <c:v>942.72349386522285</c:v>
                </c:pt>
                <c:pt idx="442">
                  <c:v>946.13697893422545</c:v>
                </c:pt>
                <c:pt idx="443">
                  <c:v>949.54795370440308</c:v>
                </c:pt>
                <c:pt idx="444">
                  <c:v>952.95624663154194</c:v>
                </c:pt>
                <c:pt idx="445">
                  <c:v>956.36168666172034</c:v>
                </c:pt>
                <c:pt idx="446">
                  <c:v>959.76410323275718</c:v>
                </c:pt>
                <c:pt idx="447">
                  <c:v>963.16332627555823</c:v>
                </c:pt>
                <c:pt idx="448">
                  <c:v>966.55918621536193</c:v>
                </c:pt>
                <c:pt idx="449">
                  <c:v>969.95151397288544</c:v>
                </c:pt>
                <c:pt idx="450">
                  <c:v>973.34014096537271</c:v>
                </c:pt>
                <c:pt idx="451">
                  <c:v>976.72489910754462</c:v>
                </c:pt>
                <c:pt idx="452">
                  <c:v>980.10562081245394</c:v>
                </c:pt>
                <c:pt idx="453">
                  <c:v>983.48215397757838</c:v>
                </c:pt>
                <c:pt idx="454">
                  <c:v>986.85437692458504</c:v>
                </c:pt>
                <c:pt idx="455">
                  <c:v>990.22218331897454</c:v>
                </c:pt>
                <c:pt idx="456">
                  <c:v>993.58546713534849</c:v>
                </c:pt>
                <c:pt idx="457">
                  <c:v>996.94412265679148</c:v>
                </c:pt>
                <c:pt idx="458">
                  <c:v>1000.2980444742217</c:v>
                </c:pt>
                <c:pt idx="459">
                  <c:v>1003.6471274857109</c:v>
                </c:pt>
                <c:pt idx="460">
                  <c:v>1006.9912668957747</c:v>
                </c:pt>
                <c:pt idx="461">
                  <c:v>1010.3303716988762</c:v>
                </c:pt>
                <c:pt idx="462">
                  <c:v>1013.6643781196631</c:v>
                </c:pt>
                <c:pt idx="463">
                  <c:v>1016.9932360401639</c:v>
                </c:pt>
                <c:pt idx="464">
                  <c:v>1020.3168954702556</c:v>
                </c:pt>
                <c:pt idx="465">
                  <c:v>1023.6353065469464</c:v>
                </c:pt>
                <c:pt idx="466">
                  <c:v>1026.9484082064639</c:v>
                </c:pt>
                <c:pt idx="467">
                  <c:v>1030.256116893034</c:v>
                </c:pt>
                <c:pt idx="468">
                  <c:v>1033.5582118204468</c:v>
                </c:pt>
                <c:pt idx="469">
                  <c:v>1036.8543749797363</c:v>
                </c:pt>
                <c:pt idx="470">
                  <c:v>1040.1444719614792</c:v>
                </c:pt>
                <c:pt idx="471">
                  <c:v>1043.4285231193505</c:v>
                </c:pt>
                <c:pt idx="472">
                  <c:v>1046.7065486942458</c:v>
                </c:pt>
                <c:pt idx="473">
                  <c:v>1049.9785688151203</c:v>
                </c:pt>
                <c:pt idx="474">
                  <c:v>1053.2446034998193</c:v>
                </c:pt>
                <c:pt idx="475">
                  <c:v>1056.5046726559019</c:v>
                </c:pt>
                <c:pt idx="476">
                  <c:v>1059.7587960814574</c:v>
                </c:pt>
                <c:pt idx="477">
                  <c:v>1063.0069934659123</c:v>
                </c:pt>
                <c:pt idx="478">
                  <c:v>1066.2492843908319</c:v>
                </c:pt>
                <c:pt idx="479">
                  <c:v>1069.4856883307134</c:v>
                </c:pt>
                <c:pt idx="480">
                  <c:v>1072.716224653771</c:v>
                </c:pt>
                <c:pt idx="481">
                  <c:v>1075.9409126227156</c:v>
                </c:pt>
                <c:pt idx="482">
                  <c:v>1079.1597713955259</c:v>
                </c:pt>
                <c:pt idx="483">
                  <c:v>1082.3728200262124</c:v>
                </c:pt>
                <c:pt idx="484">
                  <c:v>1085.5800774655752</c:v>
                </c:pt>
                <c:pt idx="485">
                  <c:v>1088.7815625619544</c:v>
                </c:pt>
                <c:pt idx="486">
                  <c:v>1091.9772940619735</c:v>
                </c:pt>
                <c:pt idx="487">
                  <c:v>1095.1672906112763</c:v>
                </c:pt>
                <c:pt idx="488">
                  <c:v>1098.3515707552569</c:v>
                </c:pt>
                <c:pt idx="489">
                  <c:v>1101.5301529397839</c:v>
                </c:pt>
                <c:pt idx="490">
                  <c:v>1104.7030555119154</c:v>
                </c:pt>
                <c:pt idx="491">
                  <c:v>1107.8702967206116</c:v>
                </c:pt>
                <c:pt idx="492">
                  <c:v>1111.0318947174371</c:v>
                </c:pt>
                <c:pt idx="493">
                  <c:v>1114.1878675572598</c:v>
                </c:pt>
                <c:pt idx="494">
                  <c:v>1117.338233198941</c:v>
                </c:pt>
                <c:pt idx="495">
                  <c:v>1120.4830095060213</c:v>
                </c:pt>
                <c:pt idx="496">
                  <c:v>1123.6222142473996</c:v>
                </c:pt>
                <c:pt idx="497">
                  <c:v>1126.7558650980054</c:v>
                </c:pt>
                <c:pt idx="498">
                  <c:v>1129.8839796394664</c:v>
                </c:pt>
                <c:pt idx="499">
                  <c:v>1133.0065753607689</c:v>
                </c:pt>
                <c:pt idx="500">
                  <c:v>1136.1236696589131</c:v>
                </c:pt>
                <c:pt idx="501">
                  <c:v>1166.9933745316325</c:v>
                </c:pt>
                <c:pt idx="502">
                  <c:v>1197.324024968339</c:v>
                </c:pt>
                <c:pt idx="503">
                  <c:v>1227.1321752253491</c:v>
                </c:pt>
                <c:pt idx="504">
                  <c:v>1256.4335402738652</c:v>
                </c:pt>
                <c:pt idx="505">
                  <c:v>1285.2430521758179</c:v>
                </c:pt>
                <c:pt idx="506">
                  <c:v>1313.5749117582604</c:v>
                </c:pt>
                <c:pt idx="507">
                  <c:v>1341.4426360519772</c:v>
                </c:pt>
                <c:pt idx="508">
                  <c:v>1368.8591019067758</c:v>
                </c:pt>
                <c:pt idx="509">
                  <c:v>1395.8365861496115</c:v>
                </c:pt>
                <c:pt idx="510">
                  <c:v>1422.3868026112341</c:v>
                </c:pt>
                <c:pt idx="511">
                  <c:v>1448.5209363116428</c:v>
                </c:pt>
                <c:pt idx="512">
                  <c:v>1474.2496750635746</c:v>
                </c:pt>
                <c:pt idx="513">
                  <c:v>1499.5832387259472</c:v>
                </c:pt>
                <c:pt idx="514">
                  <c:v>1524.5314063151184</c:v>
                </c:pt>
                <c:pt idx="515">
                  <c:v>1549.1035411605933</c:v>
                </c:pt>
                <c:pt idx="516">
                  <c:v>1573.3086142730256</c:v>
                </c:pt>
                <c:pt idx="517">
                  <c:v>1597.1552260757098</c:v>
                </c:pt>
                <c:pt idx="518">
                  <c:v>1620.6516266359888</c:v>
                </c:pt>
                <c:pt idx="519">
                  <c:v>1643.8057345198495</c:v>
                </c:pt>
                <c:pt idx="520">
                  <c:v>1666.6251543812725</c:v>
                </c:pt>
                <c:pt idx="521">
                  <c:v>1689.1171933874439</c:v>
                </c:pt>
                <c:pt idx="522">
                  <c:v>1711.2888765715952</c:v>
                </c:pt>
                <c:pt idx="523">
                  <c:v>1733.1469611968694</c:v>
                </c:pt>
                <c:pt idx="524">
                  <c:v>1754.6979502071074</c:v>
                </c:pt>
                <c:pt idx="525">
                  <c:v>1775.9481048337102</c:v>
                </c:pt>
                <c:pt idx="526">
                  <c:v>1796.9034564216686</c:v>
                </c:pt>
                <c:pt idx="527">
                  <c:v>1817.5698175323955</c:v>
                </c:pt>
                <c:pt idx="528">
                  <c:v>1837.95279237607</c:v>
                </c:pt>
                <c:pt idx="529">
                  <c:v>1858.0577866217511</c:v>
                </c:pt>
                <c:pt idx="530">
                  <c:v>1877.8900166295027</c:v>
                </c:pt>
                <c:pt idx="531">
                  <c:v>1897.4545181451226</c:v>
                </c:pt>
                <c:pt idx="532">
                  <c:v>1916.7561544947685</c:v>
                </c:pt>
                <c:pt idx="533">
                  <c:v>1935.7996243137759</c:v>
                </c:pt>
                <c:pt idx="534">
                  <c:v>1954.5894688412363</c:v>
                </c:pt>
                <c:pt idx="535">
                  <c:v>1973.1300788094265</c:v>
                </c:pt>
                <c:pt idx="536">
                  <c:v>1991.4257009549181</c:v>
                </c:pt>
                <c:pt idx="537">
                  <c:v>2009.4804441761401</c:v>
                </c:pt>
                <c:pt idx="538">
                  <c:v>2027.2982853602853</c:v>
                </c:pt>
                <c:pt idx="539">
                  <c:v>2044.8830749007318</c:v>
                </c:pt>
                <c:pt idx="540">
                  <c:v>2062.2385419245788</c:v>
                </c:pt>
                <c:pt idx="541">
                  <c:v>2079.3682992484605</c:v>
                </c:pt>
                <c:pt idx="542">
                  <c:v>2096.2758480794728</c:v>
                </c:pt>
                <c:pt idx="543">
                  <c:v>2112.9645824768481</c:v>
                </c:pt>
                <c:pt idx="544">
                  <c:v>2129.4377935888911</c:v>
                </c:pt>
                <c:pt idx="545">
                  <c:v>2145.6986736786735</c:v>
                </c:pt>
                <c:pt idx="546">
                  <c:v>2161.7503199510402</c:v>
                </c:pt>
                <c:pt idx="547">
                  <c:v>2177.5957381926164</c:v>
                </c:pt>
                <c:pt idx="548">
                  <c:v>2193.2378462357037</c:v>
                </c:pt>
                <c:pt idx="549">
                  <c:v>2208.6794772562225</c:v>
                </c:pt>
                <c:pt idx="550">
                  <c:v>2223.9233829151676</c:v>
                </c:pt>
                <c:pt idx="551">
                  <c:v>2238.9722363524293</c:v>
                </c:pt>
                <c:pt idx="552">
                  <c:v>2253.82863504124</c:v>
                </c:pt>
                <c:pt idx="553">
                  <c:v>2268.4951035109739</c:v>
                </c:pt>
                <c:pt idx="554">
                  <c:v>2282.9740959455289</c:v>
                </c:pt>
                <c:pt idx="555">
                  <c:v>2297.2679986640587</c:v>
                </c:pt>
                <c:pt idx="556">
                  <c:v>2311.3791324903946</c:v>
                </c:pt>
                <c:pt idx="557">
                  <c:v>2325.3097550170955</c:v>
                </c:pt>
                <c:pt idx="558">
                  <c:v>2339.0620627697062</c:v>
                </c:pt>
                <c:pt idx="559">
                  <c:v>2352.6381932764475</c:v>
                </c:pt>
                <c:pt idx="560">
                  <c:v>2366.0402270482532</c:v>
                </c:pt>
                <c:pt idx="561">
                  <c:v>2379.2701894737665</c:v>
                </c:pt>
                <c:pt idx="562">
                  <c:v>2392.3300526336361</c:v>
                </c:pt>
                <c:pt idx="563">
                  <c:v>2405.2217370381873</c:v>
                </c:pt>
                <c:pt idx="564">
                  <c:v>2417.9471132923145</c:v>
                </c:pt>
                <c:pt idx="565">
                  <c:v>2430.508003691205</c:v>
                </c:pt>
                <c:pt idx="566">
                  <c:v>2442.9061837503027</c:v>
                </c:pt>
                <c:pt idx="567">
                  <c:v>2455.1433836727247</c:v>
                </c:pt>
                <c:pt idx="568">
                  <c:v>2467.2212897571526</c:v>
                </c:pt>
                <c:pt idx="569">
                  <c:v>2479.1415457490634</c:v>
                </c:pt>
                <c:pt idx="570">
                  <c:v>2490.905754137988</c:v>
                </c:pt>
                <c:pt idx="571">
                  <c:v>2502.5154774033535</c:v>
                </c:pt>
                <c:pt idx="572">
                  <c:v>2513.9722392113072</c:v>
                </c:pt>
                <c:pt idx="573">
                  <c:v>2525.2775255648039</c:v>
                </c:pt>
                <c:pt idx="574">
                  <c:v>2536.4327859091059</c:v>
                </c:pt>
                <c:pt idx="575">
                  <c:v>2547.4394341947282</c:v>
                </c:pt>
                <c:pt idx="576">
                  <c:v>2558.2988498997615</c:v>
                </c:pt>
                <c:pt idx="577">
                  <c:v>2569.0123790133953</c:v>
                </c:pt>
                <c:pt idx="578">
                  <c:v>2579.5813349823666</c:v>
                </c:pt>
                <c:pt idx="579">
                  <c:v>2590.0069996219795</c:v>
                </c:pt>
                <c:pt idx="580">
                  <c:v>2600.2906239932436</c:v>
                </c:pt>
                <c:pt idx="581">
                  <c:v>2610.4334292476074</c:v>
                </c:pt>
                <c:pt idx="582">
                  <c:v>2620.4366074406857</c:v>
                </c:pt>
                <c:pt idx="583">
                  <c:v>2630.3013223163061</c:v>
                </c:pt>
                <c:pt idx="584">
                  <c:v>2640.0287100621381</c:v>
                </c:pt>
                <c:pt idx="585">
                  <c:v>2649.6198800381003</c:v>
                </c:pt>
                <c:pt idx="586">
                  <c:v>2659.0759154786851</c:v>
                </c:pt>
                <c:pt idx="587">
                  <c:v>2668.397874170284</c:v>
                </c:pt>
                <c:pt idx="588">
                  <c:v>2677.5867891045386</c:v>
                </c:pt>
                <c:pt idx="589">
                  <c:v>2686.6436691087033</c:v>
                </c:pt>
                <c:pt idx="590">
                  <c:v>2695.5694994539444</c:v>
                </c:pt>
                <c:pt idx="591">
                  <c:v>2704.3652424424686</c:v>
                </c:pt>
                <c:pt idx="592">
                  <c:v>2713.0318379743217</c:v>
                </c:pt>
                <c:pt idx="593">
                  <c:v>2721.5702040946653</c:v>
                </c:pt>
                <c:pt idx="594">
                  <c:v>2729.9812375222973</c:v>
                </c:pt>
                <c:pt idx="595">
                  <c:v>2738.2658141601491</c:v>
                </c:pt>
                <c:pt idx="596">
                  <c:v>2746.4247895884532</c:v>
                </c:pt>
                <c:pt idx="597">
                  <c:v>2754.4589995412525</c:v>
                </c:pt>
                <c:pt idx="598">
                  <c:v>2762.3692603668806</c:v>
                </c:pt>
                <c:pt idx="599">
                  <c:v>2770.1563694730216</c:v>
                </c:pt>
                <c:pt idx="600">
                  <c:v>2777.8211057569283</c:v>
                </c:pt>
                <c:pt idx="601">
                  <c:v>2785.3642300213514</c:v>
                </c:pt>
                <c:pt idx="602">
                  <c:v>2792.7864853767055</c:v>
                </c:pt>
                <c:pt idx="603">
                  <c:v>2800.0885976299805</c:v>
                </c:pt>
                <c:pt idx="604">
                  <c:v>2807.2712756608776</c:v>
                </c:pt>
                <c:pt idx="605">
                  <c:v>2814.3352117856307</c:v>
                </c:pt>
                <c:pt idx="606">
                  <c:v>2821.2810821089602</c:v>
                </c:pt>
                <c:pt idx="607">
                  <c:v>2828.1095468645722</c:v>
                </c:pt>
                <c:pt idx="608">
                  <c:v>2834.8212507446174</c:v>
                </c:pt>
                <c:pt idx="609">
                  <c:v>2841.4168232184888</c:v>
                </c:pt>
                <c:pt idx="610">
                  <c:v>2847.8968788413335</c:v>
                </c:pt>
                <c:pt idx="611">
                  <c:v>2854.2620175526322</c:v>
                </c:pt>
                <c:pt idx="612">
                  <c:v>2860.5128249651884</c:v>
                </c:pt>
                <c:pt idx="613">
                  <c:v>2866.6498726448513</c:v>
                </c:pt>
                <c:pt idx="614">
                  <c:v>2872.6737183812888</c:v>
                </c:pt>
                <c:pt idx="615">
                  <c:v>2878.5849064501108</c:v>
                </c:pt>
                <c:pt idx="616">
                  <c:v>2884.3839678666295</c:v>
                </c:pt>
                <c:pt idx="617">
                  <c:v>2890.0714206315383</c:v>
                </c:pt>
                <c:pt idx="618">
                  <c:v>2895.6477699687721</c:v>
                </c:pt>
                <c:pt idx="619">
                  <c:v>2901.1135085558099</c:v>
                </c:pt>
                <c:pt idx="620">
                  <c:v>2906.4691167466653</c:v>
                </c:pt>
                <c:pt idx="621">
                  <c:v>2911.7150627878032</c:v>
                </c:pt>
                <c:pt idx="622">
                  <c:v>2916.8518030272144</c:v>
                </c:pt>
                <c:pt idx="623">
                  <c:v>2921.87978211687</c:v>
                </c:pt>
                <c:pt idx="624">
                  <c:v>2926.7994332087719</c:v>
                </c:pt>
                <c:pt idx="625">
                  <c:v>2931.6111781448067</c:v>
                </c:pt>
                <c:pt idx="626">
                  <c:v>2936.3154276406085</c:v>
                </c:pt>
                <c:pt idx="627">
                  <c:v>2940.912581463625</c:v>
                </c:pt>
                <c:pt idx="628">
                  <c:v>2945.4030286055836</c:v>
                </c:pt>
                <c:pt idx="629">
                  <c:v>2949.7871474495437</c:v>
                </c:pt>
                <c:pt idx="630">
                  <c:v>2954.065305931721</c:v>
                </c:pt>
                <c:pt idx="631">
                  <c:v>2958.2378616982696</c:v>
                </c:pt>
                <c:pt idx="632">
                  <c:v>2962.305162257202</c:v>
                </c:pt>
                <c:pt idx="633">
                  <c:v>2966.2675451256268</c:v>
                </c:pt>
                <c:pt idx="634">
                  <c:v>2970.1253379724908</c:v>
                </c:pt>
                <c:pt idx="635">
                  <c:v>2973.8788587570029</c:v>
                </c:pt>
                <c:pt idx="636">
                  <c:v>2977.5284158629352</c:v>
                </c:pt>
                <c:pt idx="637">
                  <c:v>2981.0743082289832</c:v>
                </c:pt>
                <c:pt idx="638">
                  <c:v>2984.5168254753962</c:v>
                </c:pt>
                <c:pt idx="639">
                  <c:v>2987.8562480270753</c:v>
                </c:pt>
                <c:pt idx="640">
                  <c:v>2991.0928472333685</c:v>
                </c:pt>
                <c:pt idx="641">
                  <c:v>2994.226885484793</c:v>
                </c:pt>
                <c:pt idx="642">
                  <c:v>2997.2586163269411</c:v>
                </c:pt>
                <c:pt idx="643">
                  <c:v>3000.1882845718474</c:v>
                </c:pt>
                <c:pt idx="644">
                  <c:v>3003.0161264071226</c:v>
                </c:pt>
                <c:pt idx="645">
                  <c:v>3005.7423695031976</c:v>
                </c:pt>
                <c:pt idx="646">
                  <c:v>3008.3672331190573</c:v>
                </c:pt>
                <c:pt idx="647">
                  <c:v>3010.890928206903</c:v>
                </c:pt>
                <c:pt idx="648">
                  <c:v>3013.3136575162339</c:v>
                </c:pt>
                <c:pt idx="649">
                  <c:v>3015.6356156979273</c:v>
                </c:pt>
                <c:pt idx="650">
                  <c:v>3017.8569894089692</c:v>
                </c:pt>
                <c:pt idx="651">
                  <c:v>3019.9779574186091</c:v>
                </c:pt>
                <c:pt idx="652">
                  <c:v>3021.9986907168359</c:v>
                </c:pt>
                <c:pt idx="653">
                  <c:v>3023.9193526262193</c:v>
                </c:pt>
                <c:pt idx="654">
                  <c:v>3025.740098918352</c:v>
                </c:pt>
                <c:pt idx="655">
                  <c:v>3027.4610779363352</c:v>
                </c:pt>
                <c:pt idx="656">
                  <c:v>3029.0824307249941</c:v>
                </c:pt>
                <c:pt idx="657">
                  <c:v>3030.6042911708023</c:v>
                </c:pt>
                <c:pt idx="658">
                  <c:v>3032.0267861538114</c:v>
                </c:pt>
                <c:pt idx="659">
                  <c:v>3033.350035714242</c:v>
                </c:pt>
                <c:pt idx="660">
                  <c:v>3034.5741532367729</c:v>
                </c:pt>
                <c:pt idx="661">
                  <c:v>3035.6992456559633</c:v>
                </c:pt>
                <c:pt idx="662">
                  <c:v>3036.7254136866236</c:v>
                </c:pt>
                <c:pt idx="663">
                  <c:v>3037.6527520832678</c:v>
                </c:pt>
                <c:pt idx="664">
                  <c:v>3038.4813499330007</c:v>
                </c:pt>
                <c:pt idx="665">
                  <c:v>3039.2112909862185</c:v>
                </c:pt>
                <c:pt idx="666">
                  <c:v>3039.842654029248</c:v>
                </c:pt>
                <c:pt idx="667">
                  <c:v>3040.3755133024438</c:v>
                </c:pt>
                <c:pt idx="668">
                  <c:v>3040.8099389661788</c:v>
                </c:pt>
                <c:pt idx="669">
                  <c:v>3041.1459976155788</c:v>
                </c:pt>
                <c:pt idx="670">
                  <c:v>3041.3837528427566</c:v>
                </c:pt>
                <c:pt idx="671">
                  <c:v>3041.5232658427863</c:v>
                </c:pt>
                <c:pt idx="672">
                  <c:v>3041.5645960569277</c:v>
                </c:pt>
                <c:pt idx="673">
                  <c:v>3041.5078018439526</c:v>
                </c:pt>
                <c:pt idx="674">
                  <c:v>3041.3529411681816</c:v>
                </c:pt>
                <c:pt idx="675">
                  <c:v>3041.1000722913541</c:v>
                </c:pt>
                <c:pt idx="676">
                  <c:v>3040.7492544549605</c:v>
                </c:pt>
                <c:pt idx="677">
                  <c:v>3040.3005485402296</c:v>
                </c:pt>
                <c:pt idx="678">
                  <c:v>3039.7540176945431</c:v>
                </c:pt>
                <c:pt idx="679">
                  <c:v>3039.109727915315</c:v>
                </c:pt>
                <c:pt idx="680">
                  <c:v>3038.3677485850767</c:v>
                </c:pt>
                <c:pt idx="681">
                  <c:v>3037.5281529542294</c:v>
                </c:pt>
                <c:pt idx="682">
                  <c:v>3036.5910185704206</c:v>
                </c:pt>
                <c:pt idx="683">
                  <c:v>3035.5564276555742</c:v>
                </c:pt>
                <c:pt idx="684">
                  <c:v>3034.4244674331426</c:v>
                </c:pt>
                <c:pt idx="685">
                  <c:v>3033.1952304091938</c:v>
                </c:pt>
                <c:pt idx="686">
                  <c:v>3031.8688146115232</c:v>
                </c:pt>
                <c:pt idx="687">
                  <c:v>3030.4453237911957</c:v>
                </c:pt>
                <c:pt idx="688">
                  <c:v>3028.9248675908698</c:v>
                </c:pt>
                <c:pt idx="689">
                  <c:v>3027.3075616840315</c:v>
                </c:pt>
                <c:pt idx="690">
                  <c:v>3025.5935278889133</c:v>
                </c:pt>
                <c:pt idx="691">
                  <c:v>3023.7828942604965</c:v>
                </c:pt>
                <c:pt idx="692">
                  <c:v>3021.8757951635862</c:v>
                </c:pt>
                <c:pt idx="693">
                  <c:v>3019.8723713295626</c:v>
                </c:pt>
                <c:pt idx="694">
                  <c:v>3017.7727698990529</c:v>
                </c:pt>
                <c:pt idx="695">
                  <c:v>3015.5771444524394</c:v>
                </c:pt>
                <c:pt idx="696">
                  <c:v>3013.2856550298416</c:v>
                </c:pt>
                <c:pt idx="697">
                  <c:v>3010.8984681419538</c:v>
                </c:pt>
                <c:pt idx="698">
                  <c:v>3008.4157567729121</c:v>
                </c:pt>
                <c:pt idx="699">
                  <c:v>3005.8377003761821</c:v>
                </c:pt>
                <c:pt idx="700">
                  <c:v>3003.1644848643055</c:v>
                </c:pt>
                <c:pt idx="701">
                  <c:v>3000.3963025932112</c:v>
                </c:pt>
                <c:pt idx="702">
                  <c:v>2997.5333523416948</c:v>
                </c:pt>
                <c:pt idx="703">
                  <c:v>2994.575839286576</c:v>
                </c:pt>
                <c:pt idx="704">
                  <c:v>2991.5239749739626</c:v>
                </c:pt>
                <c:pt idx="705">
                  <c:v>2988.377977286998</c:v>
                </c:pt>
                <c:pt idx="706">
                  <c:v>2985.1380704104045</c:v>
                </c:pt>
                <c:pt idx="707">
                  <c:v>2981.8044847920946</c:v>
                </c:pt>
                <c:pt idx="708">
                  <c:v>2978.3774571020895</c:v>
                </c:pt>
                <c:pt idx="709">
                  <c:v>2974.8572301889435</c:v>
                </c:pt>
                <c:pt idx="710">
                  <c:v>2971.2440530338581</c:v>
                </c:pt>
                <c:pt idx="711">
                  <c:v>2967.5381807026356</c:v>
                </c:pt>
                <c:pt idx="712">
                  <c:v>2963.7398742956134</c:v>
                </c:pt>
                <c:pt idx="713">
                  <c:v>2959.8494008957014</c:v>
                </c:pt>
                <c:pt idx="714">
                  <c:v>2955.8670335146276</c:v>
                </c:pt>
                <c:pt idx="715">
                  <c:v>2951.7930510374927</c:v>
                </c:pt>
                <c:pt idx="716">
                  <c:v>2947.6277381657205</c:v>
                </c:pt>
                <c:pt idx="717">
                  <c:v>2943.3713853584841</c:v>
                </c:pt>
                <c:pt idx="718">
                  <c:v>2939.0242887726813</c:v>
                </c:pt>
                <c:pt idx="719">
                  <c:v>2934.586750201528</c:v>
                </c:pt>
                <c:pt idx="720">
                  <c:v>2930.0590770118306</c:v>
                </c:pt>
                <c:pt idx="721">
                  <c:v>2925.4415820799964</c:v>
                </c:pt>
                <c:pt idx="722">
                  <c:v>2920.7345837268376</c:v>
                </c:pt>
                <c:pt idx="723">
                  <c:v>2915.9384056512208</c:v>
                </c:pt>
                <c:pt idx="724">
                  <c:v>2911.0533768626078</c:v>
                </c:pt>
                <c:pt idx="725">
                  <c:v>2906.0798316125406</c:v>
                </c:pt>
                <c:pt idx="726">
                  <c:v>2901.0181093251094</c:v>
                </c:pt>
                <c:pt idx="727">
                  <c:v>2895.868554526452</c:v>
                </c:pt>
                <c:pt idx="728">
                  <c:v>2890.6315167733223</c:v>
                </c:pt>
                <c:pt idx="729">
                  <c:v>2885.3073505807706</c:v>
                </c:pt>
                <c:pt idx="730">
                  <c:v>2879.8964153489746</c:v>
                </c:pt>
                <c:pt idx="731">
                  <c:v>2874.3990752892591</c:v>
                </c:pt>
                <c:pt idx="732">
                  <c:v>2868.8156993493426</c:v>
                </c:pt>
                <c:pt idx="733">
                  <c:v>2863.1466611378455</c:v>
                </c:pt>
                <c:pt idx="734">
                  <c:v>2857.3923388481012</c:v>
                </c:pt>
                <c:pt idx="735">
                  <c:v>2851.5531151812984</c:v>
                </c:pt>
                <c:pt idx="736">
                  <c:v>2845.6293772689955</c:v>
                </c:pt>
                <c:pt idx="737">
                  <c:v>2839.621516595038</c:v>
                </c:pt>
                <c:pt idx="738">
                  <c:v>2833.5299289169143</c:v>
                </c:pt>
                <c:pt idx="739">
                  <c:v>2827.3550141865844</c:v>
                </c:pt>
                <c:pt idx="740">
                  <c:v>2821.0971764708129</c:v>
                </c:pt>
                <c:pt idx="741">
                  <c:v>2814.7568238710401</c:v>
                </c:pt>
                <c:pt idx="742">
                  <c:v>2808.3343684428223</c:v>
                </c:pt>
                <c:pt idx="743">
                  <c:v>2801.8302261148779</c:v>
                </c:pt>
                <c:pt idx="744">
                  <c:v>2795.2448166077638</c:v>
                </c:pt>
                <c:pt idx="745">
                  <c:v>2788.578563352221</c:v>
                </c:pt>
                <c:pt idx="746">
                  <c:v>2781.8318934072158</c:v>
                </c:pt>
                <c:pt idx="747">
                  <c:v>2775.0052373777103</c:v>
                </c:pt>
                <c:pt idx="748">
                  <c:v>2768.0990293321906</c:v>
                </c:pt>
                <c:pt idx="749">
                  <c:v>2761.1137067199838</c:v>
                </c:pt>
                <c:pt idx="750">
                  <c:v>2754.0497102883969</c:v>
                </c:pt>
                <c:pt idx="751">
                  <c:v>2746.9074839997006</c:v>
                </c:pt>
                <c:pt idx="752">
                  <c:v>2739.6874749479944</c:v>
                </c:pt>
                <c:pt idx="753">
                  <c:v>2732.3901332759788</c:v>
                </c:pt>
                <c:pt idx="754">
                  <c:v>2725.0159120916628</c:v>
                </c:pt>
                <c:pt idx="755">
                  <c:v>2717.5652673850359</c:v>
                </c:pt>
                <c:pt idx="756">
                  <c:v>2710.0386579447345</c:v>
                </c:pt>
                <c:pt idx="757">
                  <c:v>2702.4365452747275</c:v>
                </c:pt>
                <c:pt idx="758">
                  <c:v>2694.7593935110508</c:v>
                </c:pt>
                <c:pt idx="759">
                  <c:v>2687.0076693386177</c:v>
                </c:pt>
                <c:pt idx="760">
                  <c:v>2679.1818419081301</c:v>
                </c:pt>
                <c:pt idx="761">
                  <c:v>2671.2823827531188</c:v>
                </c:pt>
                <c:pt idx="762">
                  <c:v>2663.309765707138</c:v>
                </c:pt>
                <c:pt idx="763">
                  <c:v>2655.2644668211406</c:v>
                </c:pt>
                <c:pt idx="764">
                  <c:v>2647.1469642810589</c:v>
                </c:pt>
                <c:pt idx="765">
                  <c:v>2638.9577383256155</c:v>
                </c:pt>
                <c:pt idx="766">
                  <c:v>2630.6972711643875</c:v>
                </c:pt>
                <c:pt idx="767">
                  <c:v>2622.366046896153</c:v>
                </c:pt>
                <c:pt idx="768">
                  <c:v>2613.9645514275371</c:v>
                </c:pt>
                <c:pt idx="769">
                  <c:v>2605.4932723919851</c:v>
                </c:pt>
                <c:pt idx="770">
                  <c:v>2596.9526990690847</c:v>
                </c:pt>
                <c:pt idx="771">
                  <c:v>2588.343322304258</c:v>
                </c:pt>
                <c:pt idx="772">
                  <c:v>2579.6656344288476</c:v>
                </c:pt>
                <c:pt idx="773">
                  <c:v>2570.9201291806185</c:v>
                </c:pt>
                <c:pt idx="774">
                  <c:v>2562.1073016246914</c:v>
                </c:pt>
                <c:pt idx="775">
                  <c:v>2553.2276480749379</c:v>
                </c:pt>
                <c:pt idx="776">
                  <c:v>2544.2816660158473</c:v>
                </c:pt>
                <c:pt idx="777">
                  <c:v>2535.2698540248934</c:v>
                </c:pt>
                <c:pt idx="778">
                  <c:v>2526.192711695413</c:v>
                </c:pt>
                <c:pt idx="779">
                  <c:v>2517.0507395600225</c:v>
                </c:pt>
                <c:pt idx="780">
                  <c:v>2507.8444390145833</c:v>
                </c:pt>
                <c:pt idx="781">
                  <c:v>2498.5743122427407</c:v>
                </c:pt>
                <c:pt idx="782">
                  <c:v>2489.2408621410477</c:v>
                </c:pt>
                <c:pt idx="783">
                  <c:v>2479.8445922446967</c:v>
                </c:pt>
                <c:pt idx="784">
                  <c:v>2470.3860066538678</c:v>
                </c:pt>
                <c:pt idx="785">
                  <c:v>2460.8656099607183</c:v>
                </c:pt>
                <c:pt idx="786">
                  <c:v>2451.2839071770222</c:v>
                </c:pt>
                <c:pt idx="787">
                  <c:v>2441.6414036624765</c:v>
                </c:pt>
                <c:pt idx="788">
                  <c:v>2431.9386050536914</c:v>
                </c:pt>
                <c:pt idx="789">
                  <c:v>2422.1760171938731</c:v>
                </c:pt>
                <c:pt idx="790">
                  <c:v>2412.35414606322</c:v>
                </c:pt>
                <c:pt idx="791">
                  <c:v>2402.4734977100361</c:v>
                </c:pt>
                <c:pt idx="792">
                  <c:v>2392.5345781825831</c:v>
                </c:pt>
                <c:pt idx="793">
                  <c:v>2382.5378934616774</c:v>
                </c:pt>
                <c:pt idx="794">
                  <c:v>2372.4839493940453</c:v>
                </c:pt>
                <c:pt idx="795">
                  <c:v>2362.3732516264486</c:v>
                </c:pt>
                <c:pt idx="796">
                  <c:v>2352.2063055405883</c:v>
                </c:pt>
                <c:pt idx="797">
                  <c:v>2341.9836161888011</c:v>
                </c:pt>
                <c:pt idx="798">
                  <c:v>2331.7056882305515</c:v>
                </c:pt>
                <c:pt idx="799">
                  <c:v>2321.3730258697365</c:v>
                </c:pt>
                <c:pt idx="800">
                  <c:v>2310.9861327928056</c:v>
                </c:pt>
                <c:pt idx="801">
                  <c:v>2300.545512107708</c:v>
                </c:pt>
                <c:pt idx="802">
                  <c:v>2290.0516662836708</c:v>
                </c:pt>
                <c:pt idx="803">
                  <c:v>2279.505097091821</c:v>
                </c:pt>
                <c:pt idx="804">
                  <c:v>2268.9063055466522</c:v>
                </c:pt>
                <c:pt idx="805">
                  <c:v>2258.2557918483467</c:v>
                </c:pt>
                <c:pt idx="806">
                  <c:v>2247.5540553259575</c:v>
                </c:pt>
                <c:pt idx="807">
                  <c:v>2236.8015943814548</c:v>
                </c:pt>
                <c:pt idx="808">
                  <c:v>2225.9989064346441</c:v>
                </c:pt>
                <c:pt idx="809">
                  <c:v>2215.1464878689576</c:v>
                </c:pt>
                <c:pt idx="810">
                  <c:v>2204.2448339781263</c:v>
                </c:pt>
                <c:pt idx="811">
                  <c:v>2193.2944389137333</c:v>
                </c:pt>
                <c:pt idx="812">
                  <c:v>2182.2957956336559</c:v>
                </c:pt>
                <c:pt idx="813">
                  <c:v>2171.2493958513942</c:v>
                </c:pt>
                <c:pt idx="814">
                  <c:v>2160.155729986292</c:v>
                </c:pt>
                <c:pt idx="815">
                  <c:v>2149.0152871146538</c:v>
                </c:pt>
                <c:pt idx="816">
                  <c:v>2137.8285549217526</c:v>
                </c:pt>
                <c:pt idx="817">
                  <c:v>2126.5960196547403</c:v>
                </c:pt>
                <c:pt idx="818">
                  <c:v>2115.3181660764503</c:v>
                </c:pt>
                <c:pt idx="819">
                  <c:v>2103.9954774201024</c:v>
                </c:pt>
                <c:pt idx="820">
                  <c:v>2092.6284353449041</c:v>
                </c:pt>
                <c:pt idx="821">
                  <c:v>2081.2175198925515</c:v>
                </c:pt>
                <c:pt idx="822">
                  <c:v>2069.7632094446262</c:v>
                </c:pt>
                <c:pt idx="823">
                  <c:v>2058.265980680892</c:v>
                </c:pt>
                <c:pt idx="824">
                  <c:v>2046.7263085384843</c:v>
                </c:pt>
                <c:pt idx="825">
                  <c:v>2035.1446661719956</c:v>
                </c:pt>
                <c:pt idx="826">
                  <c:v>2023.5215249144524</c:v>
                </c:pt>
                <c:pt idx="827">
                  <c:v>2011.8573542391825</c:v>
                </c:pt>
                <c:pt idx="828">
                  <c:v>2000.1526217225701</c:v>
                </c:pt>
                <c:pt idx="829">
                  <c:v>1988.4077930076949</c:v>
                </c:pt>
                <c:pt idx="830">
                  <c:v>1976.6233317688534</c:v>
                </c:pt>
                <c:pt idx="831">
                  <c:v>1964.7996996769591</c:v>
                </c:pt>
                <c:pt idx="832">
                  <c:v>1952.9373563658148</c:v>
                </c:pt>
                <c:pt idx="833">
                  <c:v>1941.0367593992582</c:v>
                </c:pt>
                <c:pt idx="834">
                  <c:v>1929.0983642391723</c:v>
                </c:pt>
                <c:pt idx="835">
                  <c:v>1917.1226242143571</c:v>
                </c:pt>
                <c:pt idx="836">
                  <c:v>1905.1099904902599</c:v>
                </c:pt>
                <c:pt idx="837">
                  <c:v>1893.0609120395563</c:v>
                </c:pt>
                <c:pt idx="838">
                  <c:v>1880.9758356135783</c:v>
                </c:pt>
                <c:pt idx="839">
                  <c:v>1868.8552057145832</c:v>
                </c:pt>
                <c:pt idx="840">
                  <c:v>1856.6994645688596</c:v>
                </c:pt>
                <c:pt idx="841">
                  <c:v>1844.5090521006607</c:v>
                </c:pt>
                <c:pt idx="842">
                  <c:v>1832.284405906963</c:v>
                </c:pt>
                <c:pt idx="843">
                  <c:v>1820.0259612330412</c:v>
                </c:pt>
                <c:pt idx="844">
                  <c:v>1807.7341509488538</c:v>
                </c:pt>
                <c:pt idx="845">
                  <c:v>1795.4094055262324</c:v>
                </c:pt>
                <c:pt idx="846">
                  <c:v>1783.0521530168692</c:v>
                </c:pt>
                <c:pt idx="847">
                  <c:v>1770.6628190310921</c:v>
                </c:pt>
                <c:pt idx="848">
                  <c:v>1758.2418267174248</c:v>
                </c:pt>
                <c:pt idx="849">
                  <c:v>1745.7895967429204</c:v>
                </c:pt>
                <c:pt idx="850">
                  <c:v>1733.3065472742637</c:v>
                </c:pt>
                <c:pt idx="851">
                  <c:v>1720.7930939596333</c:v>
                </c:pt>
                <c:pt idx="852">
                  <c:v>1708.2496499113151</c:v>
                </c:pt>
                <c:pt idx="853">
                  <c:v>1695.676625689061</c:v>
                </c:pt>
                <c:pt idx="854">
                  <c:v>1683.074429284183</c:v>
                </c:pt>
                <c:pt idx="855">
                  <c:v>1670.4434661043751</c:v>
                </c:pt>
                <c:pt idx="856">
                  <c:v>1657.7841389592554</c:v>
                </c:pt>
                <c:pt idx="857">
                  <c:v>1645.0968480466179</c:v>
                </c:pt>
                <c:pt idx="858">
                  <c:v>1632.3819909393887</c:v>
                </c:pt>
                <c:pt idx="859">
                  <c:v>1619.6399625732745</c:v>
                </c:pt>
                <c:pt idx="860">
                  <c:v>1606.8711552350967</c:v>
                </c:pt>
                <c:pt idx="861">
                  <c:v>1594.0759585518024</c:v>
                </c:pt>
                <c:pt idx="862">
                  <c:v>1581.2547594801422</c:v>
                </c:pt>
                <c:pt idx="863">
                  <c:v>1568.4079422970074</c:v>
                </c:pt>
                <c:pt idx="864">
                  <c:v>1555.5358885904152</c:v>
                </c:pt>
                <c:pt idx="865">
                  <c:v>1542.6389772511368</c:v>
                </c:pt>
                <c:pt idx="866">
                  <c:v>1529.7175844649541</c:v>
                </c:pt>
                <c:pt idx="867">
                  <c:v>1516.7720837055413</c:v>
                </c:pt>
                <c:pt idx="868">
                  <c:v>1503.802845727957</c:v>
                </c:pt>
                <c:pt idx="869">
                  <c:v>1490.8102385627419</c:v>
                </c:pt>
                <c:pt idx="870">
                  <c:v>1477.7946275106103</c:v>
                </c:pt>
                <c:pt idx="871">
                  <c:v>1464.7563751377268</c:v>
                </c:pt>
                <c:pt idx="872">
                  <c:v>1451.6958412715587</c:v>
                </c:pt>
                <c:pt idx="873">
                  <c:v>1438.6133829972955</c:v>
                </c:pt>
                <c:pt idx="874">
                  <c:v>1425.5093546548251</c:v>
                </c:pt>
                <c:pt idx="875">
                  <c:v>1412.384107836258</c:v>
                </c:pt>
                <c:pt idx="876">
                  <c:v>1399.2379913839895</c:v>
                </c:pt>
                <c:pt idx="877">
                  <c:v>1386.0713513892929</c:v>
                </c:pt>
                <c:pt idx="878">
                  <c:v>1372.884531191429</c:v>
                </c:pt>
                <c:pt idx="879">
                  <c:v>1359.6778713772703</c:v>
                </c:pt>
                <c:pt idx="880">
                  <c:v>1346.451709781423</c:v>
                </c:pt>
                <c:pt idx="881">
                  <c:v>1333.2063814868418</c:v>
                </c:pt>
                <c:pt idx="882">
                  <c:v>1319.9422188259284</c:v>
                </c:pt>
                <c:pt idx="883">
                  <c:v>1306.6595513821019</c:v>
                </c:pt>
                <c:pt idx="884">
                  <c:v>1293.3587059918336</c:v>
                </c:pt>
                <c:pt idx="885">
                  <c:v>1280.0400067471369</c:v>
                </c:pt>
                <c:pt idx="886">
                  <c:v>1266.7037749985029</c:v>
                </c:pt>
                <c:pt idx="887">
                  <c:v>1253.3503293582728</c:v>
                </c:pt>
                <c:pt idx="888">
                  <c:v>1239.9799857044368</c:v>
                </c:pt>
                <c:pt idx="889">
                  <c:v>1226.5930571848533</c:v>
                </c:pt>
                <c:pt idx="890">
                  <c:v>1213.1898542218757</c:v>
                </c:pt>
                <c:pt idx="891">
                  <c:v>1199.7706845173814</c:v>
                </c:pt>
                <c:pt idx="892">
                  <c:v>1186.3358530581913</c:v>
                </c:pt>
                <c:pt idx="893">
                  <c:v>1172.8856621218731</c:v>
                </c:pt>
                <c:pt idx="894">
                  <c:v>1159.4204112829179</c:v>
                </c:pt>
                <c:pt idx="895">
                  <c:v>1145.9403974192837</c:v>
                </c:pt>
                <c:pt idx="896">
                  <c:v>1132.4459147192938</c:v>
                </c:pt>
                <c:pt idx="897">
                  <c:v>1118.9372546888851</c:v>
                </c:pt>
                <c:pt idx="898">
                  <c:v>1105.4147061591948</c:v>
                </c:pt>
                <c:pt idx="899">
                  <c:v>1091.8785552944801</c:v>
                </c:pt>
                <c:pt idx="900">
                  <c:v>1078.3290856003593</c:v>
                </c:pt>
                <c:pt idx="901">
                  <c:v>1064.7665779323686</c:v>
                </c:pt>
                <c:pt idx="902">
                  <c:v>1051.191310504825</c:v>
                </c:pt>
                <c:pt idx="903">
                  <c:v>1037.6035588999873</c:v>
                </c:pt>
                <c:pt idx="904">
                  <c:v>1024.003596077509</c:v>
                </c:pt>
                <c:pt idx="905">
                  <c:v>1010.3916923841712</c:v>
                </c:pt>
                <c:pt idx="906">
                  <c:v>996.76811556389191</c:v>
                </c:pt>
                <c:pt idx="907">
                  <c:v>983.13313076800137</c:v>
                </c:pt>
                <c:pt idx="908">
                  <c:v>969.48700056577627</c:v>
                </c:pt>
                <c:pt idx="909">
                  <c:v>955.82998495522577</c:v>
                </c:pt>
                <c:pt idx="910">
                  <c:v>942.16234137412084</c:v>
                </c:pt>
                <c:pt idx="911">
                  <c:v>928.48432471126057</c:v>
                </c:pt>
                <c:pt idx="912">
                  <c:v>914.79618731796688</c:v>
                </c:pt>
                <c:pt idx="913">
                  <c:v>901.09817901980171</c:v>
                </c:pt>
                <c:pt idx="914">
                  <c:v>887.39054712849804</c:v>
                </c:pt>
                <c:pt idx="915">
                  <c:v>873.67353645409912</c:v>
                </c:pt>
                <c:pt idx="916">
                  <c:v>859.94738931729773</c:v>
                </c:pt>
                <c:pt idx="917">
                  <c:v>846.21234556196941</c:v>
                </c:pt>
                <c:pt idx="918">
                  <c:v>832.46864256789195</c:v>
                </c:pt>
                <c:pt idx="919">
                  <c:v>818.71651526364565</c:v>
                </c:pt>
                <c:pt idx="920">
                  <c:v>804.95619613968643</c:v>
                </c:pt>
                <c:pt idx="921">
                  <c:v>791.18791526158645</c:v>
                </c:pt>
                <c:pt idx="922">
                  <c:v>777.41190028343476</c:v>
                </c:pt>
                <c:pt idx="923">
                  <c:v>763.62837646139224</c:v>
                </c:pt>
                <c:pt idx="924">
                  <c:v>749.83756666739487</c:v>
                </c:pt>
                <c:pt idx="925">
                  <c:v>736.03969140299807</c:v>
                </c:pt>
                <c:pt idx="926">
                  <c:v>722.2349688133578</c:v>
                </c:pt>
                <c:pt idx="927">
                  <c:v>708.42361470134017</c:v>
                </c:pt>
                <c:pt idx="928">
                  <c:v>694.60584254175626</c:v>
                </c:pt>
                <c:pt idx="929">
                  <c:v>680.78186349571422</c:v>
                </c:pt>
                <c:pt idx="930">
                  <c:v>666.95188642508435</c:v>
                </c:pt>
                <c:pt idx="931">
                  <c:v>653.11611790707082</c:v>
                </c:pt>
                <c:pt idx="932">
                  <c:v>639.27476224888517</c:v>
                </c:pt>
                <c:pt idx="933">
                  <c:v>625.42802150251566</c:v>
                </c:pt>
                <c:pt idx="934">
                  <c:v>611.57609547958759</c:v>
                </c:pt>
                <c:pt idx="935">
                  <c:v>597.71918176630891</c:v>
                </c:pt>
                <c:pt idx="936">
                  <c:v>583.85747573849665</c:v>
                </c:pt>
                <c:pt idx="937">
                  <c:v>569.99117057667877</c:v>
                </c:pt>
                <c:pt idx="938">
                  <c:v>556.12045728126668</c:v>
                </c:pt>
                <c:pt idx="939">
                  <c:v>542.24552468779314</c:v>
                </c:pt>
                <c:pt idx="940">
                  <c:v>528.36655948221164</c:v>
                </c:pt>
                <c:pt idx="941">
                  <c:v>514.48374621625203</c:v>
                </c:pt>
                <c:pt idx="942">
                  <c:v>500.59726732282786</c:v>
                </c:pt>
                <c:pt idx="943">
                  <c:v>486.70730313149136</c:v>
                </c:pt>
                <c:pt idx="944">
                  <c:v>472.81403188393119</c:v>
                </c:pt>
                <c:pt idx="945">
                  <c:v>458.91762974950922</c:v>
                </c:pt>
                <c:pt idx="946">
                  <c:v>445.01827084083158</c:v>
                </c:pt>
                <c:pt idx="947">
                  <c:v>431.1161272293503</c:v>
                </c:pt>
                <c:pt idx="948">
                  <c:v>417.21136896099148</c:v>
                </c:pt>
                <c:pt idx="949">
                  <c:v>403.30416407180576</c:v>
                </c:pt>
                <c:pt idx="950">
                  <c:v>389.39467860363777</c:v>
                </c:pt>
                <c:pt idx="951">
                  <c:v>375.48307661981005</c:v>
                </c:pt>
                <c:pt idx="952">
                  <c:v>361.56952022081867</c:v>
                </c:pt>
                <c:pt idx="953">
                  <c:v>347.654169560036</c:v>
                </c:pt>
                <c:pt idx="954">
                  <c:v>333.73718285941811</c:v>
                </c:pt>
                <c:pt idx="955">
                  <c:v>319.81871642521241</c:v>
                </c:pt>
                <c:pt idx="956">
                  <c:v>305.89892466366302</c:v>
                </c:pt>
                <c:pt idx="957">
                  <c:v>291.97796009670986</c:v>
                </c:pt>
                <c:pt idx="958">
                  <c:v>278.05597337767887</c:v>
                </c:pt>
                <c:pt idx="959">
                  <c:v>264.1331133069599</c:v>
                </c:pt>
                <c:pt idx="960">
                  <c:v>250.20952684766939</c:v>
                </c:pt>
                <c:pt idx="961">
                  <c:v>236.28535914129475</c:v>
                </c:pt>
                <c:pt idx="962">
                  <c:v>222.36075352331758</c:v>
                </c:pt>
                <c:pt idx="963">
                  <c:v>208.43585153881315</c:v>
                </c:pt>
                <c:pt idx="964">
                  <c:v>194.51079295802305</c:v>
                </c:pt>
                <c:pt idx="965">
                  <c:v>180.58571579189848</c:v>
                </c:pt>
                <c:pt idx="966">
                  <c:v>166.66075630761179</c:v>
                </c:pt>
                <c:pt idx="967">
                  <c:v>152.73604904403339</c:v>
                </c:pt>
                <c:pt idx="968">
                  <c:v>138.81172682717178</c:v>
                </c:pt>
                <c:pt idx="969">
                  <c:v>124.88792078557437</c:v>
                </c:pt>
                <c:pt idx="970">
                  <c:v>110.96476036568657</c:v>
                </c:pt>
                <c:pt idx="971">
                  <c:v>97.042373347167114</c:v>
                </c:pt>
                <c:pt idx="972">
                  <c:v>83.12088585815718</c:v>
                </c:pt>
                <c:pt idx="973">
                  <c:v>69.200422390501473</c:v>
                </c:pt>
                <c:pt idx="974">
                  <c:v>55.281105814918973</c:v>
                </c:pt>
                <c:pt idx="975">
                  <c:v>41.363057396121462</c:v>
                </c:pt>
                <c:pt idx="976">
                  <c:v>27.446396807877889</c:v>
                </c:pt>
                <c:pt idx="977">
                  <c:v>13.531242148022644</c:v>
                </c:pt>
                <c:pt idx="978">
                  <c:v>-0.38229004659402044</c:v>
                </c:pt>
                <c:pt idx="979">
                  <c:v>-0.39620273771871234</c:v>
                </c:pt>
                <c:pt idx="980">
                  <c:v>-0.41011542704878123</c:v>
                </c:pt>
                <c:pt idx="981">
                  <c:v>-0.42402811458411444</c:v>
                </c:pt>
                <c:pt idx="982">
                  <c:v>-0.43794080032459931</c:v>
                </c:pt>
                <c:pt idx="983">
                  <c:v>-0.45185348427012323</c:v>
                </c:pt>
                <c:pt idx="984">
                  <c:v>-0.46576616642057356</c:v>
                </c:pt>
                <c:pt idx="985">
                  <c:v>-0.47967884677583766</c:v>
                </c:pt>
                <c:pt idx="986">
                  <c:v>-0.49359152533580292</c:v>
                </c:pt>
                <c:pt idx="987">
                  <c:v>-0.50750420210035674</c:v>
                </c:pt>
                <c:pt idx="988">
                  <c:v>-0.52141687706938644</c:v>
                </c:pt>
                <c:pt idx="989">
                  <c:v>-0.53532955024277928</c:v>
                </c:pt>
                <c:pt idx="990">
                  <c:v>-0.5492422216204228</c:v>
                </c:pt>
                <c:pt idx="991">
                  <c:v>-0.5631548912022043</c:v>
                </c:pt>
                <c:pt idx="992">
                  <c:v>-0.57706755898801121</c:v>
                </c:pt>
                <c:pt idx="993">
                  <c:v>-0.59098022497773084</c:v>
                </c:pt>
                <c:pt idx="994">
                  <c:v>-0.60489288917125061</c:v>
                </c:pt>
                <c:pt idx="995">
                  <c:v>-0.61880555156845785</c:v>
                </c:pt>
                <c:pt idx="996">
                  <c:v>-0.63271821216923996</c:v>
                </c:pt>
                <c:pt idx="997">
                  <c:v>-0.64663087097348437</c:v>
                </c:pt>
                <c:pt idx="998">
                  <c:v>-0.6605435279810784</c:v>
                </c:pt>
                <c:pt idx="999">
                  <c:v>-0.67445618319190948</c:v>
                </c:pt>
                <c:pt idx="1000">
                  <c:v>-0.6883688366058649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51-4567-B7A1-067915120221}"/>
            </c:ext>
          </c:extLst>
        </c:ser>
        <c:ser>
          <c:idx val="2"/>
          <c:order val="3"/>
          <c:tx>
            <c:strRef>
              <c:f>Trajecto!$B$108</c:f>
              <c:strCache>
                <c:ptCount val="1"/>
                <c:pt idx="0">
                  <c:v>Fusée sous parachute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51-4567-B7A1-0679151202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Trajecto!$B$131:$B$137</c:f>
              <c:numCache>
                <c:formatCode>0.0</c:formatCode>
                <c:ptCount val="7"/>
                <c:pt idx="0">
                  <c:v>21.8</c:v>
                </c:pt>
                <c:pt idx="1">
                  <c:v>94.981016646128509</c:v>
                </c:pt>
                <c:pt idx="2">
                  <c:v>168.16203329225701</c:v>
                </c:pt>
                <c:pt idx="3">
                  <c:v>166.20651597688268</c:v>
                </c:pt>
                <c:pt idx="4">
                  <c:v>168.16203329225701</c:v>
                </c:pt>
                <c:pt idx="5">
                  <c:v>160.92651597688265</c:v>
                </c:pt>
                <c:pt idx="6">
                  <c:v>168.16203329225701</c:v>
                </c:pt>
              </c:numCache>
            </c:numRef>
          </c:xVal>
          <c:yVal>
            <c:numRef>
              <c:f>Trajecto!$C$129:$C$135</c:f>
              <c:numCache>
                <c:formatCode>0</c:formatCode>
                <c:ptCount val="7"/>
                <c:pt idx="0">
                  <c:v>3040.8099389661788</c:v>
                </c:pt>
                <c:pt idx="1">
                  <c:v>1520.4049694830894</c:v>
                </c:pt>
                <c:pt idx="2">
                  <c:v>0</c:v>
                </c:pt>
                <c:pt idx="3">
                  <c:v>137.0578650190387</c:v>
                </c:pt>
                <c:pt idx="4">
                  <c:v>0</c:v>
                </c:pt>
                <c:pt idx="5">
                  <c:v>53.939383637438901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51-4567-B7A1-067915120221}"/>
            </c:ext>
          </c:extLst>
        </c:ser>
        <c:ser>
          <c:idx val="3"/>
          <c:order val="4"/>
          <c:tx>
            <c:strRef>
              <c:f>Trajecto!$B$109</c:f>
              <c:strCache>
                <c:ptCount val="1"/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FF66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51-4567-B7A1-0679151202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Trajecto!$B$148:$B$154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Trajecto!$C$146:$C$152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51-4567-B7A1-067915120221}"/>
            </c:ext>
          </c:extLst>
        </c:ser>
        <c:ser>
          <c:idx val="5"/>
          <c:order val="5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5.0999999999999375</c:v>
                </c:pt>
                <c:pt idx="502">
                  <c:v>5.1999999999999371</c:v>
                </c:pt>
                <c:pt idx="503">
                  <c:v>5.2999999999999368</c:v>
                </c:pt>
                <c:pt idx="504">
                  <c:v>5.3999999999999364</c:v>
                </c:pt>
                <c:pt idx="505">
                  <c:v>5.4999999999999361</c:v>
                </c:pt>
                <c:pt idx="506">
                  <c:v>5.5999999999999357</c:v>
                </c:pt>
                <c:pt idx="507">
                  <c:v>5.6999999999999353</c:v>
                </c:pt>
                <c:pt idx="508">
                  <c:v>5.799999999999935</c:v>
                </c:pt>
                <c:pt idx="509">
                  <c:v>5.8999999999999346</c:v>
                </c:pt>
                <c:pt idx="510">
                  <c:v>5.9999999999999343</c:v>
                </c:pt>
                <c:pt idx="511">
                  <c:v>6.0999999999999339</c:v>
                </c:pt>
                <c:pt idx="512">
                  <c:v>6.1999999999999336</c:v>
                </c:pt>
                <c:pt idx="513">
                  <c:v>6.2999999999999332</c:v>
                </c:pt>
                <c:pt idx="514">
                  <c:v>6.3999999999999329</c:v>
                </c:pt>
                <c:pt idx="515">
                  <c:v>6.4999999999999325</c:v>
                </c:pt>
                <c:pt idx="516">
                  <c:v>6.5999999999999321</c:v>
                </c:pt>
                <c:pt idx="517">
                  <c:v>6.6999999999999318</c:v>
                </c:pt>
                <c:pt idx="518">
                  <c:v>6.7999999999999314</c:v>
                </c:pt>
                <c:pt idx="519">
                  <c:v>6.8999999999999311</c:v>
                </c:pt>
                <c:pt idx="520">
                  <c:v>6.9999999999999307</c:v>
                </c:pt>
                <c:pt idx="521">
                  <c:v>7.0999999999999304</c:v>
                </c:pt>
                <c:pt idx="522">
                  <c:v>7.19999999999993</c:v>
                </c:pt>
                <c:pt idx="523">
                  <c:v>7.2999999999999297</c:v>
                </c:pt>
                <c:pt idx="524">
                  <c:v>7.3999999999999293</c:v>
                </c:pt>
                <c:pt idx="525">
                  <c:v>7.4999999999999289</c:v>
                </c:pt>
                <c:pt idx="526">
                  <c:v>7.5999999999999286</c:v>
                </c:pt>
                <c:pt idx="527">
                  <c:v>7.6999999999999282</c:v>
                </c:pt>
                <c:pt idx="528">
                  <c:v>7.7999999999999279</c:v>
                </c:pt>
                <c:pt idx="529">
                  <c:v>7.8999999999999275</c:v>
                </c:pt>
                <c:pt idx="530">
                  <c:v>7.9999999999999272</c:v>
                </c:pt>
                <c:pt idx="531">
                  <c:v>8.0999999999999268</c:v>
                </c:pt>
                <c:pt idx="532">
                  <c:v>8.1999999999999265</c:v>
                </c:pt>
                <c:pt idx="533">
                  <c:v>8.2999999999999261</c:v>
                </c:pt>
                <c:pt idx="534">
                  <c:v>8.3999999999999257</c:v>
                </c:pt>
                <c:pt idx="535">
                  <c:v>8.4999999999999254</c:v>
                </c:pt>
                <c:pt idx="536">
                  <c:v>8.599999999999925</c:v>
                </c:pt>
                <c:pt idx="537">
                  <c:v>8.6999999999999247</c:v>
                </c:pt>
                <c:pt idx="538">
                  <c:v>8.7999999999999243</c:v>
                </c:pt>
                <c:pt idx="539">
                  <c:v>8.899999999999924</c:v>
                </c:pt>
                <c:pt idx="540">
                  <c:v>8.9999999999999236</c:v>
                </c:pt>
                <c:pt idx="541">
                  <c:v>9.0999999999999233</c:v>
                </c:pt>
                <c:pt idx="542">
                  <c:v>9.1999999999999229</c:v>
                </c:pt>
                <c:pt idx="543">
                  <c:v>9.2999999999999226</c:v>
                </c:pt>
                <c:pt idx="544">
                  <c:v>9.3999999999999222</c:v>
                </c:pt>
                <c:pt idx="545">
                  <c:v>9.4999999999999218</c:v>
                </c:pt>
                <c:pt idx="546">
                  <c:v>9.5999999999999215</c:v>
                </c:pt>
                <c:pt idx="547">
                  <c:v>9.6999999999999211</c:v>
                </c:pt>
                <c:pt idx="548">
                  <c:v>9.7999999999999208</c:v>
                </c:pt>
                <c:pt idx="549">
                  <c:v>9.8999999999999204</c:v>
                </c:pt>
                <c:pt idx="550">
                  <c:v>9.9999999999999201</c:v>
                </c:pt>
                <c:pt idx="551">
                  <c:v>10.09999999999992</c:v>
                </c:pt>
                <c:pt idx="552">
                  <c:v>10.199999999999919</c:v>
                </c:pt>
                <c:pt idx="553">
                  <c:v>10.299999999999919</c:v>
                </c:pt>
                <c:pt idx="554">
                  <c:v>10.399999999999919</c:v>
                </c:pt>
                <c:pt idx="555">
                  <c:v>10.499999999999918</c:v>
                </c:pt>
                <c:pt idx="556">
                  <c:v>10.599999999999918</c:v>
                </c:pt>
                <c:pt idx="557">
                  <c:v>10.699999999999918</c:v>
                </c:pt>
                <c:pt idx="558">
                  <c:v>10.799999999999917</c:v>
                </c:pt>
                <c:pt idx="559">
                  <c:v>10.899999999999917</c:v>
                </c:pt>
                <c:pt idx="560">
                  <c:v>10.999999999999917</c:v>
                </c:pt>
                <c:pt idx="561">
                  <c:v>11.099999999999916</c:v>
                </c:pt>
                <c:pt idx="562">
                  <c:v>11.199999999999916</c:v>
                </c:pt>
                <c:pt idx="563">
                  <c:v>11.299999999999915</c:v>
                </c:pt>
                <c:pt idx="564">
                  <c:v>11.399999999999915</c:v>
                </c:pt>
                <c:pt idx="565">
                  <c:v>11.499999999999915</c:v>
                </c:pt>
                <c:pt idx="566">
                  <c:v>11.599999999999914</c:v>
                </c:pt>
                <c:pt idx="567">
                  <c:v>11.699999999999914</c:v>
                </c:pt>
                <c:pt idx="568">
                  <c:v>11.799999999999914</c:v>
                </c:pt>
                <c:pt idx="569">
                  <c:v>11.899999999999913</c:v>
                </c:pt>
                <c:pt idx="570">
                  <c:v>11.999999999999913</c:v>
                </c:pt>
                <c:pt idx="571">
                  <c:v>12.099999999999913</c:v>
                </c:pt>
                <c:pt idx="572">
                  <c:v>12.199999999999912</c:v>
                </c:pt>
                <c:pt idx="573">
                  <c:v>12.299999999999912</c:v>
                </c:pt>
                <c:pt idx="574">
                  <c:v>12.399999999999912</c:v>
                </c:pt>
                <c:pt idx="575">
                  <c:v>12.499999999999911</c:v>
                </c:pt>
                <c:pt idx="576">
                  <c:v>12.599999999999911</c:v>
                </c:pt>
                <c:pt idx="577">
                  <c:v>12.69999999999991</c:v>
                </c:pt>
                <c:pt idx="578">
                  <c:v>12.79999999999991</c:v>
                </c:pt>
                <c:pt idx="579">
                  <c:v>12.89999999999991</c:v>
                </c:pt>
                <c:pt idx="580">
                  <c:v>12.999999999999909</c:v>
                </c:pt>
                <c:pt idx="581">
                  <c:v>13.099999999999909</c:v>
                </c:pt>
                <c:pt idx="582">
                  <c:v>13.199999999999909</c:v>
                </c:pt>
                <c:pt idx="583">
                  <c:v>13.299999999999908</c:v>
                </c:pt>
                <c:pt idx="584">
                  <c:v>13.399999999999908</c:v>
                </c:pt>
                <c:pt idx="585">
                  <c:v>13.499999999999908</c:v>
                </c:pt>
                <c:pt idx="586">
                  <c:v>13.599999999999907</c:v>
                </c:pt>
                <c:pt idx="587">
                  <c:v>13.699999999999907</c:v>
                </c:pt>
                <c:pt idx="588">
                  <c:v>13.799999999999907</c:v>
                </c:pt>
                <c:pt idx="589">
                  <c:v>13.899999999999906</c:v>
                </c:pt>
                <c:pt idx="590">
                  <c:v>13.999999999999906</c:v>
                </c:pt>
                <c:pt idx="591">
                  <c:v>14.099999999999905</c:v>
                </c:pt>
                <c:pt idx="592">
                  <c:v>14.199999999999905</c:v>
                </c:pt>
                <c:pt idx="593">
                  <c:v>14.299999999999905</c:v>
                </c:pt>
                <c:pt idx="594">
                  <c:v>14.399999999999904</c:v>
                </c:pt>
                <c:pt idx="595">
                  <c:v>14.499999999999904</c:v>
                </c:pt>
                <c:pt idx="596">
                  <c:v>14.599999999999904</c:v>
                </c:pt>
                <c:pt idx="597">
                  <c:v>14.699999999999903</c:v>
                </c:pt>
                <c:pt idx="598">
                  <c:v>14.799999999999903</c:v>
                </c:pt>
                <c:pt idx="599">
                  <c:v>14.899999999999903</c:v>
                </c:pt>
                <c:pt idx="600">
                  <c:v>14.999999999999902</c:v>
                </c:pt>
                <c:pt idx="601">
                  <c:v>15.099999999999902</c:v>
                </c:pt>
                <c:pt idx="602">
                  <c:v>15.199999999999902</c:v>
                </c:pt>
                <c:pt idx="603">
                  <c:v>15.299999999999901</c:v>
                </c:pt>
                <c:pt idx="604">
                  <c:v>15.399999999999901</c:v>
                </c:pt>
                <c:pt idx="605">
                  <c:v>15.499999999999901</c:v>
                </c:pt>
                <c:pt idx="606">
                  <c:v>15.5999999999999</c:v>
                </c:pt>
                <c:pt idx="607">
                  <c:v>15.6999999999999</c:v>
                </c:pt>
                <c:pt idx="608">
                  <c:v>15.799999999999899</c:v>
                </c:pt>
                <c:pt idx="609">
                  <c:v>15.899999999999899</c:v>
                </c:pt>
                <c:pt idx="610">
                  <c:v>15.999999999999899</c:v>
                </c:pt>
                <c:pt idx="611">
                  <c:v>16.099999999999898</c:v>
                </c:pt>
                <c:pt idx="612">
                  <c:v>16.1999999999999</c:v>
                </c:pt>
                <c:pt idx="613">
                  <c:v>16.299999999999901</c:v>
                </c:pt>
                <c:pt idx="614">
                  <c:v>16.399999999999903</c:v>
                </c:pt>
                <c:pt idx="615">
                  <c:v>16.499999999999904</c:v>
                </c:pt>
                <c:pt idx="616">
                  <c:v>16.599999999999905</c:v>
                </c:pt>
                <c:pt idx="617">
                  <c:v>16.699999999999907</c:v>
                </c:pt>
                <c:pt idx="618">
                  <c:v>16.799999999999908</c:v>
                </c:pt>
                <c:pt idx="619">
                  <c:v>16.89999999999991</c:v>
                </c:pt>
                <c:pt idx="620">
                  <c:v>16.999999999999911</c:v>
                </c:pt>
                <c:pt idx="621">
                  <c:v>17.099999999999913</c:v>
                </c:pt>
                <c:pt idx="622">
                  <c:v>17.199999999999914</c:v>
                </c:pt>
                <c:pt idx="623">
                  <c:v>17.299999999999915</c:v>
                </c:pt>
                <c:pt idx="624">
                  <c:v>17.399999999999917</c:v>
                </c:pt>
                <c:pt idx="625">
                  <c:v>17.499999999999918</c:v>
                </c:pt>
                <c:pt idx="626">
                  <c:v>17.59999999999992</c:v>
                </c:pt>
                <c:pt idx="627">
                  <c:v>17.699999999999921</c:v>
                </c:pt>
                <c:pt idx="628">
                  <c:v>17.799999999999923</c:v>
                </c:pt>
                <c:pt idx="629">
                  <c:v>17.899999999999924</c:v>
                </c:pt>
                <c:pt idx="630">
                  <c:v>17.999999999999925</c:v>
                </c:pt>
                <c:pt idx="631">
                  <c:v>18.099999999999927</c:v>
                </c:pt>
                <c:pt idx="632">
                  <c:v>18.199999999999928</c:v>
                </c:pt>
                <c:pt idx="633">
                  <c:v>18.29999999999993</c:v>
                </c:pt>
                <c:pt idx="634">
                  <c:v>18.399999999999931</c:v>
                </c:pt>
                <c:pt idx="635">
                  <c:v>18.499999999999932</c:v>
                </c:pt>
                <c:pt idx="636">
                  <c:v>18.599999999999934</c:v>
                </c:pt>
                <c:pt idx="637">
                  <c:v>18.699999999999935</c:v>
                </c:pt>
                <c:pt idx="638">
                  <c:v>18.799999999999937</c:v>
                </c:pt>
                <c:pt idx="639">
                  <c:v>18.899999999999938</c:v>
                </c:pt>
                <c:pt idx="640">
                  <c:v>18.99999999999994</c:v>
                </c:pt>
                <c:pt idx="641">
                  <c:v>19.099999999999941</c:v>
                </c:pt>
                <c:pt idx="642">
                  <c:v>19.199999999999942</c:v>
                </c:pt>
                <c:pt idx="643">
                  <c:v>19.299999999999944</c:v>
                </c:pt>
                <c:pt idx="644">
                  <c:v>19.399999999999945</c:v>
                </c:pt>
                <c:pt idx="645">
                  <c:v>19.499999999999947</c:v>
                </c:pt>
                <c:pt idx="646">
                  <c:v>19.599999999999948</c:v>
                </c:pt>
                <c:pt idx="647">
                  <c:v>19.69999999999995</c:v>
                </c:pt>
                <c:pt idx="648">
                  <c:v>19.799999999999951</c:v>
                </c:pt>
                <c:pt idx="649">
                  <c:v>19.899999999999952</c:v>
                </c:pt>
                <c:pt idx="650">
                  <c:v>19.999999999999954</c:v>
                </c:pt>
                <c:pt idx="651">
                  <c:v>20.099999999999955</c:v>
                </c:pt>
                <c:pt idx="652">
                  <c:v>20.199999999999957</c:v>
                </c:pt>
                <c:pt idx="653">
                  <c:v>20.299999999999958</c:v>
                </c:pt>
                <c:pt idx="654">
                  <c:v>20.399999999999959</c:v>
                </c:pt>
                <c:pt idx="655">
                  <c:v>20.499999999999961</c:v>
                </c:pt>
                <c:pt idx="656">
                  <c:v>20.599999999999962</c:v>
                </c:pt>
                <c:pt idx="657">
                  <c:v>20.699999999999964</c:v>
                </c:pt>
                <c:pt idx="658">
                  <c:v>20.799999999999965</c:v>
                </c:pt>
                <c:pt idx="659">
                  <c:v>20.899999999999967</c:v>
                </c:pt>
                <c:pt idx="660">
                  <c:v>20.999999999999968</c:v>
                </c:pt>
                <c:pt idx="661">
                  <c:v>21.099999999999969</c:v>
                </c:pt>
                <c:pt idx="662">
                  <c:v>21.199999999999971</c:v>
                </c:pt>
                <c:pt idx="663">
                  <c:v>21.299999999999972</c:v>
                </c:pt>
                <c:pt idx="664">
                  <c:v>21.399999999999974</c:v>
                </c:pt>
                <c:pt idx="665">
                  <c:v>21.499999999999975</c:v>
                </c:pt>
                <c:pt idx="666">
                  <c:v>21.599999999999977</c:v>
                </c:pt>
                <c:pt idx="667">
                  <c:v>21.699999999999978</c:v>
                </c:pt>
                <c:pt idx="668">
                  <c:v>21.799999999999979</c:v>
                </c:pt>
                <c:pt idx="669">
                  <c:v>21.899999999999981</c:v>
                </c:pt>
                <c:pt idx="670">
                  <c:v>21.999999999999982</c:v>
                </c:pt>
                <c:pt idx="671">
                  <c:v>22.099999999999984</c:v>
                </c:pt>
                <c:pt idx="672">
                  <c:v>22.199999999999985</c:v>
                </c:pt>
                <c:pt idx="673">
                  <c:v>22.299999999999986</c:v>
                </c:pt>
                <c:pt idx="674">
                  <c:v>22.399999999999988</c:v>
                </c:pt>
                <c:pt idx="675">
                  <c:v>22.499999999999989</c:v>
                </c:pt>
                <c:pt idx="676">
                  <c:v>22.599999999999991</c:v>
                </c:pt>
                <c:pt idx="677">
                  <c:v>22.699999999999992</c:v>
                </c:pt>
                <c:pt idx="678">
                  <c:v>22.799999999999994</c:v>
                </c:pt>
                <c:pt idx="679">
                  <c:v>22.899999999999995</c:v>
                </c:pt>
                <c:pt idx="680">
                  <c:v>22.999999999999996</c:v>
                </c:pt>
                <c:pt idx="681">
                  <c:v>23.099999999999998</c:v>
                </c:pt>
                <c:pt idx="682">
                  <c:v>23.2</c:v>
                </c:pt>
                <c:pt idx="683">
                  <c:v>23.3</c:v>
                </c:pt>
                <c:pt idx="684">
                  <c:v>23.400000000000002</c:v>
                </c:pt>
                <c:pt idx="685">
                  <c:v>23.500000000000004</c:v>
                </c:pt>
                <c:pt idx="686">
                  <c:v>23.600000000000005</c:v>
                </c:pt>
                <c:pt idx="687">
                  <c:v>23.700000000000006</c:v>
                </c:pt>
                <c:pt idx="688">
                  <c:v>23.800000000000008</c:v>
                </c:pt>
                <c:pt idx="689">
                  <c:v>23.900000000000009</c:v>
                </c:pt>
                <c:pt idx="690">
                  <c:v>24.000000000000011</c:v>
                </c:pt>
                <c:pt idx="691">
                  <c:v>24.100000000000012</c:v>
                </c:pt>
                <c:pt idx="692">
                  <c:v>24.200000000000014</c:v>
                </c:pt>
                <c:pt idx="693">
                  <c:v>24.300000000000015</c:v>
                </c:pt>
                <c:pt idx="694">
                  <c:v>24.400000000000016</c:v>
                </c:pt>
                <c:pt idx="695">
                  <c:v>24.500000000000018</c:v>
                </c:pt>
                <c:pt idx="696">
                  <c:v>24.600000000000019</c:v>
                </c:pt>
                <c:pt idx="697">
                  <c:v>24.700000000000021</c:v>
                </c:pt>
                <c:pt idx="698">
                  <c:v>24.800000000000022</c:v>
                </c:pt>
                <c:pt idx="699">
                  <c:v>24.900000000000023</c:v>
                </c:pt>
                <c:pt idx="700">
                  <c:v>25.000000000000025</c:v>
                </c:pt>
                <c:pt idx="701">
                  <c:v>25.100000000000026</c:v>
                </c:pt>
                <c:pt idx="702">
                  <c:v>25.200000000000028</c:v>
                </c:pt>
                <c:pt idx="703">
                  <c:v>25.300000000000029</c:v>
                </c:pt>
                <c:pt idx="704">
                  <c:v>25.400000000000031</c:v>
                </c:pt>
                <c:pt idx="705">
                  <c:v>25.500000000000032</c:v>
                </c:pt>
                <c:pt idx="706">
                  <c:v>25.600000000000033</c:v>
                </c:pt>
                <c:pt idx="707">
                  <c:v>25.700000000000035</c:v>
                </c:pt>
                <c:pt idx="708">
                  <c:v>25.800000000000036</c:v>
                </c:pt>
                <c:pt idx="709">
                  <c:v>25.900000000000038</c:v>
                </c:pt>
                <c:pt idx="710">
                  <c:v>26.000000000000039</c:v>
                </c:pt>
                <c:pt idx="711">
                  <c:v>26.100000000000041</c:v>
                </c:pt>
                <c:pt idx="712">
                  <c:v>26.200000000000042</c:v>
                </c:pt>
                <c:pt idx="713">
                  <c:v>26.300000000000043</c:v>
                </c:pt>
                <c:pt idx="714">
                  <c:v>26.400000000000045</c:v>
                </c:pt>
                <c:pt idx="715">
                  <c:v>26.500000000000046</c:v>
                </c:pt>
                <c:pt idx="716">
                  <c:v>26.600000000000048</c:v>
                </c:pt>
                <c:pt idx="717">
                  <c:v>26.700000000000049</c:v>
                </c:pt>
                <c:pt idx="718">
                  <c:v>26.80000000000005</c:v>
                </c:pt>
                <c:pt idx="719">
                  <c:v>26.900000000000052</c:v>
                </c:pt>
                <c:pt idx="720">
                  <c:v>27.000000000000053</c:v>
                </c:pt>
                <c:pt idx="721">
                  <c:v>27.100000000000055</c:v>
                </c:pt>
                <c:pt idx="722">
                  <c:v>27.200000000000056</c:v>
                </c:pt>
                <c:pt idx="723">
                  <c:v>27.300000000000058</c:v>
                </c:pt>
                <c:pt idx="724">
                  <c:v>27.400000000000059</c:v>
                </c:pt>
                <c:pt idx="725">
                  <c:v>27.50000000000006</c:v>
                </c:pt>
                <c:pt idx="726">
                  <c:v>27.600000000000062</c:v>
                </c:pt>
                <c:pt idx="727">
                  <c:v>27.700000000000063</c:v>
                </c:pt>
                <c:pt idx="728">
                  <c:v>27.800000000000065</c:v>
                </c:pt>
                <c:pt idx="729">
                  <c:v>27.900000000000066</c:v>
                </c:pt>
                <c:pt idx="730">
                  <c:v>28.000000000000068</c:v>
                </c:pt>
                <c:pt idx="731">
                  <c:v>28.100000000000069</c:v>
                </c:pt>
                <c:pt idx="732">
                  <c:v>28.20000000000007</c:v>
                </c:pt>
                <c:pt idx="733">
                  <c:v>28.300000000000072</c:v>
                </c:pt>
                <c:pt idx="734">
                  <c:v>28.400000000000073</c:v>
                </c:pt>
                <c:pt idx="735">
                  <c:v>28.500000000000075</c:v>
                </c:pt>
                <c:pt idx="736">
                  <c:v>28.600000000000076</c:v>
                </c:pt>
                <c:pt idx="737">
                  <c:v>28.700000000000077</c:v>
                </c:pt>
                <c:pt idx="738">
                  <c:v>28.800000000000079</c:v>
                </c:pt>
                <c:pt idx="739">
                  <c:v>28.90000000000008</c:v>
                </c:pt>
                <c:pt idx="740">
                  <c:v>29.000000000000082</c:v>
                </c:pt>
                <c:pt idx="741">
                  <c:v>29.100000000000083</c:v>
                </c:pt>
                <c:pt idx="742">
                  <c:v>29.200000000000085</c:v>
                </c:pt>
                <c:pt idx="743">
                  <c:v>29.300000000000086</c:v>
                </c:pt>
                <c:pt idx="744">
                  <c:v>29.400000000000087</c:v>
                </c:pt>
                <c:pt idx="745">
                  <c:v>29.500000000000089</c:v>
                </c:pt>
                <c:pt idx="746">
                  <c:v>29.60000000000009</c:v>
                </c:pt>
                <c:pt idx="747">
                  <c:v>29.700000000000092</c:v>
                </c:pt>
                <c:pt idx="748">
                  <c:v>29.800000000000093</c:v>
                </c:pt>
                <c:pt idx="749">
                  <c:v>29.900000000000095</c:v>
                </c:pt>
                <c:pt idx="750">
                  <c:v>30.000000000000096</c:v>
                </c:pt>
                <c:pt idx="751">
                  <c:v>30.100000000000097</c:v>
                </c:pt>
                <c:pt idx="752">
                  <c:v>30.200000000000099</c:v>
                </c:pt>
                <c:pt idx="753">
                  <c:v>30.3000000000001</c:v>
                </c:pt>
                <c:pt idx="754">
                  <c:v>30.400000000000102</c:v>
                </c:pt>
                <c:pt idx="755">
                  <c:v>30.500000000000103</c:v>
                </c:pt>
                <c:pt idx="756">
                  <c:v>30.600000000000104</c:v>
                </c:pt>
                <c:pt idx="757">
                  <c:v>30.700000000000106</c:v>
                </c:pt>
                <c:pt idx="758">
                  <c:v>30.800000000000107</c:v>
                </c:pt>
                <c:pt idx="759">
                  <c:v>30.900000000000109</c:v>
                </c:pt>
                <c:pt idx="760">
                  <c:v>31.00000000000011</c:v>
                </c:pt>
                <c:pt idx="761">
                  <c:v>31.100000000000112</c:v>
                </c:pt>
                <c:pt idx="762">
                  <c:v>31.200000000000113</c:v>
                </c:pt>
                <c:pt idx="763">
                  <c:v>31.300000000000114</c:v>
                </c:pt>
                <c:pt idx="764">
                  <c:v>31.400000000000116</c:v>
                </c:pt>
                <c:pt idx="765">
                  <c:v>31.500000000000117</c:v>
                </c:pt>
                <c:pt idx="766">
                  <c:v>31.600000000000119</c:v>
                </c:pt>
                <c:pt idx="767">
                  <c:v>31.70000000000012</c:v>
                </c:pt>
                <c:pt idx="768">
                  <c:v>31.800000000000122</c:v>
                </c:pt>
                <c:pt idx="769">
                  <c:v>31.900000000000123</c:v>
                </c:pt>
                <c:pt idx="770">
                  <c:v>32.000000000000121</c:v>
                </c:pt>
                <c:pt idx="771">
                  <c:v>32.100000000000122</c:v>
                </c:pt>
                <c:pt idx="772">
                  <c:v>32.200000000000124</c:v>
                </c:pt>
                <c:pt idx="773">
                  <c:v>32.300000000000125</c:v>
                </c:pt>
                <c:pt idx="774">
                  <c:v>32.400000000000126</c:v>
                </c:pt>
                <c:pt idx="775">
                  <c:v>32.500000000000128</c:v>
                </c:pt>
                <c:pt idx="776">
                  <c:v>32.600000000000129</c:v>
                </c:pt>
                <c:pt idx="777">
                  <c:v>32.700000000000131</c:v>
                </c:pt>
                <c:pt idx="778">
                  <c:v>32.800000000000132</c:v>
                </c:pt>
                <c:pt idx="779">
                  <c:v>32.900000000000134</c:v>
                </c:pt>
                <c:pt idx="780">
                  <c:v>33.000000000000135</c:v>
                </c:pt>
                <c:pt idx="781">
                  <c:v>33.100000000000136</c:v>
                </c:pt>
                <c:pt idx="782">
                  <c:v>33.200000000000138</c:v>
                </c:pt>
                <c:pt idx="783">
                  <c:v>33.300000000000139</c:v>
                </c:pt>
                <c:pt idx="784">
                  <c:v>33.400000000000141</c:v>
                </c:pt>
                <c:pt idx="785">
                  <c:v>33.500000000000142</c:v>
                </c:pt>
                <c:pt idx="786">
                  <c:v>33.600000000000144</c:v>
                </c:pt>
                <c:pt idx="787">
                  <c:v>33.700000000000145</c:v>
                </c:pt>
                <c:pt idx="788">
                  <c:v>33.800000000000146</c:v>
                </c:pt>
                <c:pt idx="789">
                  <c:v>33.900000000000148</c:v>
                </c:pt>
                <c:pt idx="790">
                  <c:v>34.000000000000149</c:v>
                </c:pt>
                <c:pt idx="791">
                  <c:v>34.100000000000151</c:v>
                </c:pt>
                <c:pt idx="792">
                  <c:v>34.200000000000152</c:v>
                </c:pt>
                <c:pt idx="793">
                  <c:v>34.300000000000153</c:v>
                </c:pt>
                <c:pt idx="794">
                  <c:v>34.400000000000155</c:v>
                </c:pt>
                <c:pt idx="795">
                  <c:v>34.500000000000156</c:v>
                </c:pt>
                <c:pt idx="796">
                  <c:v>34.600000000000158</c:v>
                </c:pt>
                <c:pt idx="797">
                  <c:v>34.700000000000159</c:v>
                </c:pt>
                <c:pt idx="798">
                  <c:v>34.800000000000161</c:v>
                </c:pt>
                <c:pt idx="799">
                  <c:v>34.900000000000162</c:v>
                </c:pt>
                <c:pt idx="800">
                  <c:v>35.000000000000163</c:v>
                </c:pt>
                <c:pt idx="801">
                  <c:v>35.100000000000165</c:v>
                </c:pt>
                <c:pt idx="802">
                  <c:v>35.200000000000166</c:v>
                </c:pt>
                <c:pt idx="803">
                  <c:v>35.300000000000168</c:v>
                </c:pt>
                <c:pt idx="804">
                  <c:v>35.400000000000169</c:v>
                </c:pt>
                <c:pt idx="805">
                  <c:v>35.500000000000171</c:v>
                </c:pt>
                <c:pt idx="806">
                  <c:v>35.600000000000172</c:v>
                </c:pt>
                <c:pt idx="807">
                  <c:v>35.700000000000173</c:v>
                </c:pt>
                <c:pt idx="808">
                  <c:v>35.800000000000175</c:v>
                </c:pt>
                <c:pt idx="809">
                  <c:v>35.900000000000176</c:v>
                </c:pt>
                <c:pt idx="810">
                  <c:v>36.000000000000178</c:v>
                </c:pt>
                <c:pt idx="811">
                  <c:v>36.100000000000179</c:v>
                </c:pt>
                <c:pt idx="812">
                  <c:v>36.20000000000018</c:v>
                </c:pt>
                <c:pt idx="813">
                  <c:v>36.300000000000182</c:v>
                </c:pt>
                <c:pt idx="814">
                  <c:v>36.400000000000183</c:v>
                </c:pt>
                <c:pt idx="815">
                  <c:v>36.500000000000185</c:v>
                </c:pt>
                <c:pt idx="816">
                  <c:v>36.600000000000186</c:v>
                </c:pt>
                <c:pt idx="817">
                  <c:v>36.700000000000188</c:v>
                </c:pt>
                <c:pt idx="818">
                  <c:v>36.800000000000189</c:v>
                </c:pt>
                <c:pt idx="819">
                  <c:v>36.90000000000019</c:v>
                </c:pt>
                <c:pt idx="820">
                  <c:v>37.000000000000192</c:v>
                </c:pt>
                <c:pt idx="821">
                  <c:v>37.100000000000193</c:v>
                </c:pt>
                <c:pt idx="822">
                  <c:v>37.200000000000195</c:v>
                </c:pt>
                <c:pt idx="823">
                  <c:v>37.300000000000196</c:v>
                </c:pt>
                <c:pt idx="824">
                  <c:v>37.400000000000198</c:v>
                </c:pt>
                <c:pt idx="825">
                  <c:v>37.500000000000199</c:v>
                </c:pt>
                <c:pt idx="826">
                  <c:v>37.6000000000002</c:v>
                </c:pt>
                <c:pt idx="827">
                  <c:v>37.700000000000202</c:v>
                </c:pt>
                <c:pt idx="828">
                  <c:v>37.800000000000203</c:v>
                </c:pt>
                <c:pt idx="829">
                  <c:v>37.900000000000205</c:v>
                </c:pt>
                <c:pt idx="830">
                  <c:v>38.000000000000206</c:v>
                </c:pt>
                <c:pt idx="831">
                  <c:v>38.100000000000207</c:v>
                </c:pt>
                <c:pt idx="832">
                  <c:v>38.200000000000209</c:v>
                </c:pt>
                <c:pt idx="833">
                  <c:v>38.30000000000021</c:v>
                </c:pt>
                <c:pt idx="834">
                  <c:v>38.400000000000212</c:v>
                </c:pt>
                <c:pt idx="835">
                  <c:v>38.500000000000213</c:v>
                </c:pt>
                <c:pt idx="836">
                  <c:v>38.600000000000215</c:v>
                </c:pt>
                <c:pt idx="837">
                  <c:v>38.700000000000216</c:v>
                </c:pt>
                <c:pt idx="838">
                  <c:v>38.800000000000217</c:v>
                </c:pt>
                <c:pt idx="839">
                  <c:v>38.900000000000219</c:v>
                </c:pt>
                <c:pt idx="840">
                  <c:v>39.00000000000022</c:v>
                </c:pt>
                <c:pt idx="841">
                  <c:v>39.100000000000222</c:v>
                </c:pt>
                <c:pt idx="842">
                  <c:v>39.200000000000223</c:v>
                </c:pt>
                <c:pt idx="843">
                  <c:v>39.300000000000225</c:v>
                </c:pt>
                <c:pt idx="844">
                  <c:v>39.400000000000226</c:v>
                </c:pt>
                <c:pt idx="845">
                  <c:v>39.500000000000227</c:v>
                </c:pt>
                <c:pt idx="846">
                  <c:v>39.600000000000229</c:v>
                </c:pt>
                <c:pt idx="847">
                  <c:v>39.70000000000023</c:v>
                </c:pt>
                <c:pt idx="848">
                  <c:v>39.800000000000232</c:v>
                </c:pt>
                <c:pt idx="849">
                  <c:v>39.900000000000233</c:v>
                </c:pt>
                <c:pt idx="850">
                  <c:v>40.000000000000234</c:v>
                </c:pt>
                <c:pt idx="851">
                  <c:v>40.100000000000236</c:v>
                </c:pt>
                <c:pt idx="852">
                  <c:v>40.200000000000237</c:v>
                </c:pt>
                <c:pt idx="853">
                  <c:v>40.300000000000239</c:v>
                </c:pt>
                <c:pt idx="854">
                  <c:v>40.40000000000024</c:v>
                </c:pt>
                <c:pt idx="855">
                  <c:v>40.500000000000242</c:v>
                </c:pt>
                <c:pt idx="856">
                  <c:v>40.600000000000243</c:v>
                </c:pt>
                <c:pt idx="857">
                  <c:v>40.700000000000244</c:v>
                </c:pt>
                <c:pt idx="858">
                  <c:v>40.800000000000246</c:v>
                </c:pt>
                <c:pt idx="859">
                  <c:v>40.900000000000247</c:v>
                </c:pt>
                <c:pt idx="860">
                  <c:v>41.000000000000249</c:v>
                </c:pt>
                <c:pt idx="861">
                  <c:v>41.10000000000025</c:v>
                </c:pt>
                <c:pt idx="862">
                  <c:v>41.200000000000252</c:v>
                </c:pt>
                <c:pt idx="863">
                  <c:v>41.300000000000253</c:v>
                </c:pt>
                <c:pt idx="864">
                  <c:v>41.400000000000254</c:v>
                </c:pt>
                <c:pt idx="865">
                  <c:v>41.500000000000256</c:v>
                </c:pt>
                <c:pt idx="866">
                  <c:v>41.600000000000257</c:v>
                </c:pt>
                <c:pt idx="867">
                  <c:v>41.700000000000259</c:v>
                </c:pt>
                <c:pt idx="868">
                  <c:v>41.80000000000026</c:v>
                </c:pt>
                <c:pt idx="869">
                  <c:v>41.900000000000261</c:v>
                </c:pt>
                <c:pt idx="870">
                  <c:v>42.000000000000263</c:v>
                </c:pt>
                <c:pt idx="871">
                  <c:v>42.100000000000264</c:v>
                </c:pt>
                <c:pt idx="872">
                  <c:v>42.200000000000266</c:v>
                </c:pt>
                <c:pt idx="873">
                  <c:v>42.300000000000267</c:v>
                </c:pt>
                <c:pt idx="874">
                  <c:v>42.400000000000269</c:v>
                </c:pt>
                <c:pt idx="875">
                  <c:v>42.50000000000027</c:v>
                </c:pt>
                <c:pt idx="876">
                  <c:v>42.600000000000271</c:v>
                </c:pt>
                <c:pt idx="877">
                  <c:v>42.700000000000273</c:v>
                </c:pt>
                <c:pt idx="878">
                  <c:v>42.800000000000274</c:v>
                </c:pt>
                <c:pt idx="879">
                  <c:v>42.900000000000276</c:v>
                </c:pt>
                <c:pt idx="880">
                  <c:v>43.000000000000277</c:v>
                </c:pt>
                <c:pt idx="881">
                  <c:v>43.100000000000279</c:v>
                </c:pt>
                <c:pt idx="882">
                  <c:v>43.20000000000028</c:v>
                </c:pt>
                <c:pt idx="883">
                  <c:v>43.300000000000281</c:v>
                </c:pt>
                <c:pt idx="884">
                  <c:v>43.400000000000283</c:v>
                </c:pt>
                <c:pt idx="885">
                  <c:v>43.500000000000284</c:v>
                </c:pt>
                <c:pt idx="886">
                  <c:v>43.600000000000286</c:v>
                </c:pt>
                <c:pt idx="887">
                  <c:v>43.700000000000287</c:v>
                </c:pt>
                <c:pt idx="888">
                  <c:v>43.800000000000288</c:v>
                </c:pt>
                <c:pt idx="889">
                  <c:v>43.90000000000029</c:v>
                </c:pt>
                <c:pt idx="890">
                  <c:v>44.000000000000291</c:v>
                </c:pt>
                <c:pt idx="891">
                  <c:v>44.100000000000293</c:v>
                </c:pt>
                <c:pt idx="892">
                  <c:v>44.200000000000294</c:v>
                </c:pt>
                <c:pt idx="893">
                  <c:v>44.300000000000296</c:v>
                </c:pt>
                <c:pt idx="894">
                  <c:v>44.400000000000297</c:v>
                </c:pt>
                <c:pt idx="895">
                  <c:v>44.500000000000298</c:v>
                </c:pt>
                <c:pt idx="896">
                  <c:v>44.6000000000003</c:v>
                </c:pt>
                <c:pt idx="897">
                  <c:v>44.700000000000301</c:v>
                </c:pt>
                <c:pt idx="898">
                  <c:v>44.800000000000303</c:v>
                </c:pt>
                <c:pt idx="899">
                  <c:v>44.900000000000304</c:v>
                </c:pt>
                <c:pt idx="900">
                  <c:v>45.000000000000306</c:v>
                </c:pt>
                <c:pt idx="901">
                  <c:v>45.100000000000307</c:v>
                </c:pt>
                <c:pt idx="902">
                  <c:v>45.200000000000308</c:v>
                </c:pt>
                <c:pt idx="903">
                  <c:v>45.30000000000031</c:v>
                </c:pt>
                <c:pt idx="904">
                  <c:v>45.400000000000311</c:v>
                </c:pt>
                <c:pt idx="905">
                  <c:v>45.500000000000313</c:v>
                </c:pt>
                <c:pt idx="906">
                  <c:v>45.600000000000314</c:v>
                </c:pt>
                <c:pt idx="907">
                  <c:v>45.700000000000315</c:v>
                </c:pt>
                <c:pt idx="908">
                  <c:v>45.800000000000317</c:v>
                </c:pt>
                <c:pt idx="909">
                  <c:v>45.900000000000318</c:v>
                </c:pt>
                <c:pt idx="910">
                  <c:v>46.00000000000032</c:v>
                </c:pt>
                <c:pt idx="911">
                  <c:v>46.100000000000321</c:v>
                </c:pt>
                <c:pt idx="912">
                  <c:v>46.200000000000323</c:v>
                </c:pt>
                <c:pt idx="913">
                  <c:v>46.300000000000324</c:v>
                </c:pt>
                <c:pt idx="914">
                  <c:v>46.400000000000325</c:v>
                </c:pt>
                <c:pt idx="915">
                  <c:v>46.500000000000327</c:v>
                </c:pt>
                <c:pt idx="916">
                  <c:v>46.600000000000328</c:v>
                </c:pt>
                <c:pt idx="917">
                  <c:v>46.70000000000033</c:v>
                </c:pt>
                <c:pt idx="918">
                  <c:v>46.800000000000331</c:v>
                </c:pt>
                <c:pt idx="919">
                  <c:v>46.900000000000333</c:v>
                </c:pt>
                <c:pt idx="920">
                  <c:v>47.000000000000334</c:v>
                </c:pt>
                <c:pt idx="921">
                  <c:v>47.100000000000335</c:v>
                </c:pt>
                <c:pt idx="922">
                  <c:v>47.200000000000337</c:v>
                </c:pt>
                <c:pt idx="923">
                  <c:v>47.300000000000338</c:v>
                </c:pt>
                <c:pt idx="924">
                  <c:v>47.40000000000034</c:v>
                </c:pt>
                <c:pt idx="925">
                  <c:v>47.500000000000341</c:v>
                </c:pt>
                <c:pt idx="926">
                  <c:v>47.600000000000342</c:v>
                </c:pt>
                <c:pt idx="927">
                  <c:v>47.700000000000344</c:v>
                </c:pt>
                <c:pt idx="928">
                  <c:v>47.800000000000345</c:v>
                </c:pt>
                <c:pt idx="929">
                  <c:v>47.900000000000347</c:v>
                </c:pt>
                <c:pt idx="930">
                  <c:v>48.000000000000348</c:v>
                </c:pt>
                <c:pt idx="931">
                  <c:v>48.10000000000035</c:v>
                </c:pt>
                <c:pt idx="932">
                  <c:v>48.200000000000351</c:v>
                </c:pt>
                <c:pt idx="933">
                  <c:v>48.300000000000352</c:v>
                </c:pt>
                <c:pt idx="934">
                  <c:v>48.400000000000354</c:v>
                </c:pt>
                <c:pt idx="935">
                  <c:v>48.500000000000355</c:v>
                </c:pt>
                <c:pt idx="936">
                  <c:v>48.600000000000357</c:v>
                </c:pt>
                <c:pt idx="937">
                  <c:v>48.700000000000358</c:v>
                </c:pt>
                <c:pt idx="938">
                  <c:v>48.80000000000036</c:v>
                </c:pt>
                <c:pt idx="939">
                  <c:v>48.900000000000361</c:v>
                </c:pt>
                <c:pt idx="940">
                  <c:v>49.000000000000362</c:v>
                </c:pt>
                <c:pt idx="941">
                  <c:v>49.100000000000364</c:v>
                </c:pt>
                <c:pt idx="942">
                  <c:v>49.200000000000365</c:v>
                </c:pt>
                <c:pt idx="943">
                  <c:v>49.300000000000367</c:v>
                </c:pt>
                <c:pt idx="944">
                  <c:v>49.400000000000368</c:v>
                </c:pt>
                <c:pt idx="945">
                  <c:v>49.500000000000369</c:v>
                </c:pt>
                <c:pt idx="946">
                  <c:v>49.600000000000371</c:v>
                </c:pt>
                <c:pt idx="947">
                  <c:v>49.700000000000372</c:v>
                </c:pt>
                <c:pt idx="948">
                  <c:v>49.800000000000374</c:v>
                </c:pt>
                <c:pt idx="949">
                  <c:v>49.900000000000375</c:v>
                </c:pt>
                <c:pt idx="950">
                  <c:v>50.000000000000377</c:v>
                </c:pt>
                <c:pt idx="951">
                  <c:v>50.100000000000378</c:v>
                </c:pt>
                <c:pt idx="952">
                  <c:v>50.200000000000379</c:v>
                </c:pt>
                <c:pt idx="953">
                  <c:v>50.300000000000381</c:v>
                </c:pt>
                <c:pt idx="954">
                  <c:v>50.400000000000382</c:v>
                </c:pt>
                <c:pt idx="955">
                  <c:v>50.500000000000384</c:v>
                </c:pt>
                <c:pt idx="956">
                  <c:v>50.600000000000385</c:v>
                </c:pt>
                <c:pt idx="957">
                  <c:v>50.700000000000387</c:v>
                </c:pt>
                <c:pt idx="958">
                  <c:v>50.800000000000388</c:v>
                </c:pt>
                <c:pt idx="959">
                  <c:v>50.900000000000389</c:v>
                </c:pt>
                <c:pt idx="960">
                  <c:v>51.000000000000391</c:v>
                </c:pt>
                <c:pt idx="961">
                  <c:v>51.100000000000392</c:v>
                </c:pt>
                <c:pt idx="962">
                  <c:v>51.200000000000394</c:v>
                </c:pt>
                <c:pt idx="963">
                  <c:v>51.300000000000395</c:v>
                </c:pt>
                <c:pt idx="964">
                  <c:v>51.400000000000396</c:v>
                </c:pt>
                <c:pt idx="965">
                  <c:v>51.500000000000398</c:v>
                </c:pt>
                <c:pt idx="966">
                  <c:v>51.600000000000399</c:v>
                </c:pt>
                <c:pt idx="967">
                  <c:v>51.700000000000401</c:v>
                </c:pt>
                <c:pt idx="968">
                  <c:v>51.800000000000402</c:v>
                </c:pt>
                <c:pt idx="969">
                  <c:v>51.900000000000404</c:v>
                </c:pt>
                <c:pt idx="970">
                  <c:v>52.000000000000405</c:v>
                </c:pt>
                <c:pt idx="971">
                  <c:v>52.100000000000406</c:v>
                </c:pt>
                <c:pt idx="972">
                  <c:v>52.200000000000408</c:v>
                </c:pt>
                <c:pt idx="973">
                  <c:v>52.300000000000409</c:v>
                </c:pt>
                <c:pt idx="974">
                  <c:v>52.400000000000411</c:v>
                </c:pt>
                <c:pt idx="975">
                  <c:v>52.500000000000412</c:v>
                </c:pt>
                <c:pt idx="976">
                  <c:v>52.600000000000414</c:v>
                </c:pt>
                <c:pt idx="977">
                  <c:v>52.700000000000415</c:v>
                </c:pt>
                <c:pt idx="978">
                  <c:v>52.800000000000416</c:v>
                </c:pt>
                <c:pt idx="979">
                  <c:v>52.80010000000042</c:v>
                </c:pt>
                <c:pt idx="980">
                  <c:v>52.800200000000423</c:v>
                </c:pt>
                <c:pt idx="981">
                  <c:v>52.800300000000426</c:v>
                </c:pt>
                <c:pt idx="982">
                  <c:v>52.80040000000043</c:v>
                </c:pt>
                <c:pt idx="983">
                  <c:v>52.800500000000433</c:v>
                </c:pt>
                <c:pt idx="984">
                  <c:v>52.800600000000436</c:v>
                </c:pt>
                <c:pt idx="985">
                  <c:v>52.80070000000044</c:v>
                </c:pt>
                <c:pt idx="986">
                  <c:v>52.800800000000443</c:v>
                </c:pt>
                <c:pt idx="987">
                  <c:v>52.800900000000446</c:v>
                </c:pt>
                <c:pt idx="988">
                  <c:v>52.80100000000045</c:v>
                </c:pt>
                <c:pt idx="989">
                  <c:v>52.801100000000453</c:v>
                </c:pt>
                <c:pt idx="990">
                  <c:v>52.801200000000456</c:v>
                </c:pt>
                <c:pt idx="991">
                  <c:v>52.80130000000046</c:v>
                </c:pt>
                <c:pt idx="992">
                  <c:v>52.801400000000463</c:v>
                </c:pt>
                <c:pt idx="993">
                  <c:v>52.801500000000466</c:v>
                </c:pt>
                <c:pt idx="994">
                  <c:v>52.801600000000469</c:v>
                </c:pt>
                <c:pt idx="995">
                  <c:v>52.801700000000473</c:v>
                </c:pt>
                <c:pt idx="996">
                  <c:v>52.801800000000476</c:v>
                </c:pt>
                <c:pt idx="997">
                  <c:v>52.801900000000479</c:v>
                </c:pt>
                <c:pt idx="998">
                  <c:v>52.802000000000483</c:v>
                </c:pt>
                <c:pt idx="999">
                  <c:v>52.802100000000486</c:v>
                </c:pt>
                <c:pt idx="1000">
                  <c:v>52.802200000000489</c:v>
                </c:pt>
              </c:numCache>
            </c:numRef>
          </c:xVal>
          <c:yVal>
            <c:numRef>
              <c:f>Calculs!$AE$4:$AE$1004</c:f>
              <c:numCache>
                <c:formatCode>0</c:formatCode>
                <c:ptCount val="1001"/>
                <c:pt idx="0">
                  <c:v>0</c:v>
                </c:pt>
                <c:pt idx="1">
                  <c:v>7.9551017983196934E-4</c:v>
                </c:pt>
                <c:pt idx="2">
                  <c:v>4.5969806451097925E-3</c:v>
                </c:pt>
                <c:pt idx="3">
                  <c:v>1.3406949949768451E-2</c:v>
                </c:pt>
                <c:pt idx="4">
                  <c:v>2.8401219250121523E-2</c:v>
                </c:pt>
                <c:pt idx="5">
                  <c:v>5.0756894473462134E-2</c:v>
                </c:pt>
                <c:pt idx="6">
                  <c:v>8.1652578986609478E-2</c:v>
                </c:pt>
                <c:pt idx="7">
                  <c:v>0.12226856376226272</c:v>
                </c:pt>
                <c:pt idx="8">
                  <c:v>0.17378701513006151</c:v>
                </c:pt>
                <c:pt idx="9">
                  <c:v>0.23739216019483012</c:v>
                </c:pt>
                <c:pt idx="10">
                  <c:v>0.31427047000019614</c:v>
                </c:pt>
                <c:pt idx="11">
                  <c:v>0.40527228320445341</c:v>
                </c:pt>
                <c:pt idx="12">
                  <c:v>0.51057232448723888</c:v>
                </c:pt>
                <c:pt idx="13">
                  <c:v>0.63000415809525101</c:v>
                </c:pt>
                <c:pt idx="14">
                  <c:v>0.76339565266121023</c:v>
                </c:pt>
                <c:pt idx="15">
                  <c:v>0.91057155858677497</c:v>
                </c:pt>
                <c:pt idx="16">
                  <c:v>1.0713560932387671</c:v>
                </c:pt>
                <c:pt idx="17">
                  <c:v>1.2455729506424484</c:v>
                </c:pt>
                <c:pt idx="18">
                  <c:v>1.4330453111800932</c:v>
                </c:pt>
                <c:pt idx="19">
                  <c:v>1.6335958512925897</c:v>
                </c:pt>
                <c:pt idx="20">
                  <c:v>1.8470467531818142</c:v>
                </c:pt>
                <c:pt idx="21">
                  <c:v>2.0732197145115308</c:v>
                </c:pt>
                <c:pt idx="22">
                  <c:v>2.3119359581045873</c:v>
                </c:pt>
                <c:pt idx="23">
                  <c:v>2.5630162416341902</c:v>
                </c:pt>
                <c:pt idx="24">
                  <c:v>2.8262808673070552</c:v>
                </c:pt>
                <c:pt idx="25">
                  <c:v>3.1015496915362473</c:v>
                </c:pt>
                <c:pt idx="26">
                  <c:v>3.3886421346015396</c:v>
                </c:pt>
                <c:pt idx="27">
                  <c:v>3.6874228307268293</c:v>
                </c:pt>
                <c:pt idx="28">
                  <c:v>3.9978473810024013</c:v>
                </c:pt>
                <c:pt idx="29">
                  <c:v>4.3199131395194454</c:v>
                </c:pt>
                <c:pt idx="30">
                  <c:v>4.6536172071448449</c:v>
                </c:pt>
                <c:pt idx="31">
                  <c:v>4.9989601612126009</c:v>
                </c:pt>
                <c:pt idx="32">
                  <c:v>5.3559424720361681</c:v>
                </c:pt>
                <c:pt idx="33">
                  <c:v>5.7245645047271552</c:v>
                </c:pt>
                <c:pt idx="34">
                  <c:v>6.1048265185892134</c:v>
                </c:pt>
                <c:pt idx="35">
                  <c:v>6.4967286665539499</c:v>
                </c:pt>
                <c:pt idx="36">
                  <c:v>6.9002709946546332</c:v>
                </c:pt>
                <c:pt idx="37">
                  <c:v>7.3154534415340731</c:v>
                </c:pt>
                <c:pt idx="38">
                  <c:v>7.7422758379835255</c:v>
                </c:pt>
                <c:pt idx="39">
                  <c:v>8.1807379065099113</c:v>
                </c:pt>
                <c:pt idx="40">
                  <c:v>8.6308392609289761</c:v>
                </c:pt>
                <c:pt idx="41">
                  <c:v>9.0925794059823275</c:v>
                </c:pt>
                <c:pt idx="42">
                  <c:v>9.5659577369765305</c:v>
                </c:pt>
                <c:pt idx="43">
                  <c:v>10.050973539442658</c:v>
                </c:pt>
                <c:pt idx="44">
                  <c:v>10.547625988814906</c:v>
                </c:pt>
                <c:pt idx="45">
                  <c:v>11.055914150126995</c:v>
                </c:pt>
                <c:pt idx="46">
                  <c:v>11.575836977725285</c:v>
                </c:pt>
                <c:pt idx="47">
                  <c:v>12.107393314997577</c:v>
                </c:pt>
                <c:pt idx="48">
                  <c:v>12.650581894116762</c:v>
                </c:pt>
                <c:pt idx="49">
                  <c:v>13.205401335798495</c:v>
                </c:pt>
                <c:pt idx="50">
                  <c:v>13.771850149072204</c:v>
                </c:pt>
                <c:pt idx="51">
                  <c:v>14.349926731064793</c:v>
                </c:pt>
                <c:pt idx="52">
                  <c:v>14.939629366796469</c:v>
                </c:pt>
                <c:pt idx="53">
                  <c:v>15.540956228988179</c:v>
                </c:pt>
                <c:pt idx="54">
                  <c:v>16.153905377880172</c:v>
                </c:pt>
                <c:pt idx="55">
                  <c:v>16.778474761061283</c:v>
                </c:pt>
                <c:pt idx="56">
                  <c:v>17.414662213308553</c:v>
                </c:pt>
                <c:pt idx="57">
                  <c:v>18.062465456436811</c:v>
                </c:pt>
                <c:pt idx="58">
                  <c:v>18.72188209915792</c:v>
                </c:pt>
                <c:pt idx="59">
                  <c:v>19.392909636949394</c:v>
                </c:pt>
                <c:pt idx="60">
                  <c:v>20.075545451932118</c:v>
                </c:pt>
                <c:pt idx="61">
                  <c:v>20.769786812756912</c:v>
                </c:pt>
                <c:pt idx="62">
                  <c:v>21.475630874499739</c:v>
                </c:pt>
                <c:pt idx="63">
                  <c:v>22.193074678565338</c:v>
                </c:pt>
                <c:pt idx="64">
                  <c:v>22.922115152599083</c:v>
                </c:pt>
                <c:pt idx="65">
                  <c:v>23.662749110406921</c:v>
                </c:pt>
                <c:pt idx="66">
                  <c:v>24.414973251883193</c:v>
                </c:pt>
                <c:pt idx="67">
                  <c:v>25.178784162946222</c:v>
                </c:pt>
                <c:pt idx="68">
                  <c:v>25.954178315481506</c:v>
                </c:pt>
                <c:pt idx="69">
                  <c:v>26.741152067292397</c:v>
                </c:pt>
                <c:pt idx="70">
                  <c:v>27.539701662058153</c:v>
                </c:pt>
                <c:pt idx="71">
                  <c:v>28.349823229299233</c:v>
                </c:pt>
                <c:pt idx="72">
                  <c:v>29.171512258083826</c:v>
                </c:pt>
                <c:pt idx="73">
                  <c:v>30.004763069772565</c:v>
                </c:pt>
                <c:pt idx="74">
                  <c:v>30.84956934302107</c:v>
                </c:pt>
                <c:pt idx="75">
                  <c:v>31.705924639788361</c:v>
                </c:pt>
                <c:pt idx="76">
                  <c:v>32.573822405397408</c:v>
                </c:pt>
                <c:pt idx="77">
                  <c:v>33.453255968602654</c:v>
                </c:pt>
                <c:pt idx="78">
                  <c:v>34.344218541664418</c:v>
                </c:pt>
                <c:pt idx="79">
                  <c:v>35.246703220430092</c:v>
                </c:pt>
                <c:pt idx="80">
                  <c:v>36.160702984422102</c:v>
                </c:pt>
                <c:pt idx="81">
                  <c:v>37.086210696932518</c:v>
                </c:pt>
                <c:pt idx="82">
                  <c:v>38.023219105124284</c:v>
                </c:pt>
                <c:pt idx="83">
                  <c:v>38.971720840139</c:v>
                </c:pt>
                <c:pt idx="84">
                  <c:v>39.931708417211176</c:v>
                </c:pt>
                <c:pt idx="85">
                  <c:v>40.903174235788939</c:v>
                </c:pt>
                <c:pt idx="86">
                  <c:v>41.8861105796611</c:v>
                </c:pt>
                <c:pt idx="87">
                  <c:v>42.880509617090574</c:v>
                </c:pt>
                <c:pt idx="88">
                  <c:v>43.886363400954053</c:v>
                </c:pt>
                <c:pt idx="89">
                  <c:v>44.903663868887918</c:v>
                </c:pt>
                <c:pt idx="90">
                  <c:v>45.93240284344035</c:v>
                </c:pt>
                <c:pt idx="91">
                  <c:v>46.972572032229557</c:v>
                </c:pt>
                <c:pt idx="92">
                  <c:v>48.024163028108106</c:v>
                </c:pt>
                <c:pt idx="93">
                  <c:v>49.087167309333324</c:v>
                </c:pt>
                <c:pt idx="94">
                  <c:v>50.161576239743674</c:v>
                </c:pt>
                <c:pt idx="95">
                  <c:v>51.247381068941131</c:v>
                </c:pt>
                <c:pt idx="96">
                  <c:v>52.344572932479487</c:v>
                </c:pt>
                <c:pt idx="97">
                  <c:v>53.453142852058527</c:v>
                </c:pt>
                <c:pt idx="98">
                  <c:v>54.573081735724081</c:v>
                </c:pt>
                <c:pt idx="99">
                  <c:v>55.704380378073886</c:v>
                </c:pt>
                <c:pt idx="100">
                  <c:v>56.847029460469216</c:v>
                </c:pt>
                <c:pt idx="101">
                  <c:v>58.001019551252256</c:v>
                </c:pt>
                <c:pt idx="102">
                  <c:v>59.166341105969195</c:v>
                </c:pt>
                <c:pt idx="103">
                  <c:v>60.342984467598995</c:v>
                </c:pt>
                <c:pt idx="104">
                  <c:v>61.530939866787755</c:v>
                </c:pt>
                <c:pt idx="105">
                  <c:v>62.730197422088715</c:v>
                </c:pt>
                <c:pt idx="106">
                  <c:v>63.940747140207819</c:v>
                </c:pt>
                <c:pt idx="107">
                  <c:v>65.162578916254773</c:v>
                </c:pt>
                <c:pt idx="108">
                  <c:v>66.395682533999675</c:v>
                </c:pt>
                <c:pt idx="109">
                  <c:v>67.64004766613499</c:v>
                </c:pt>
                <c:pt idx="110">
                  <c:v>68.895663874543061</c:v>
                </c:pt>
                <c:pt idx="111">
                  <c:v>70.162520610568976</c:v>
                </c:pt>
                <c:pt idx="112">
                  <c:v>71.440607215298755</c:v>
                </c:pt>
                <c:pt idx="113">
                  <c:v>72.729912919842917</c:v>
                </c:pt>
                <c:pt idx="114">
                  <c:v>74.0304268456253</c:v>
                </c:pt>
                <c:pt idx="115">
                  <c:v>75.342138004677139</c:v>
                </c:pt>
                <c:pt idx="116">
                  <c:v>76.66503529993642</c:v>
                </c:pt>
                <c:pt idx="117">
                  <c:v>77.999107525552333</c:v>
                </c:pt>
                <c:pt idx="118">
                  <c:v>79.344343367194924</c:v>
                </c:pt>
                <c:pt idx="119">
                  <c:v>80.700731402369897</c:v>
                </c:pt>
                <c:pt idx="120">
                  <c:v>82.068260100738428</c:v>
                </c:pt>
                <c:pt idx="121">
                  <c:v>83.446917824442096</c:v>
                </c:pt>
                <c:pt idx="122">
                  <c:v>84.836692828432788</c:v>
                </c:pt>
                <c:pt idx="123">
                  <c:v>86.237573260807565</c:v>
                </c:pt>
                <c:pt idx="124">
                  <c:v>87.649547163148554</c:v>
                </c:pt>
                <c:pt idx="125">
                  <c:v>89.07260247086765</c:v>
                </c:pt>
                <c:pt idx="126">
                  <c:v>90.506727013556144</c:v>
                </c:pt>
                <c:pt idx="127">
                  <c:v>91.951908515339184</c:v>
                </c:pt>
                <c:pt idx="128">
                  <c:v>93.408134595235055</c:v>
                </c:pt>
                <c:pt idx="129">
                  <c:v>94.875390311136059</c:v>
                </c:pt>
                <c:pt idx="130">
                  <c:v>96.353655700702035</c:v>
                </c:pt>
                <c:pt idx="131">
                  <c:v>97.842908235197584</c:v>
                </c:pt>
                <c:pt idx="132">
                  <c:v>99.343125276582242</c:v>
                </c:pt>
                <c:pt idx="133">
                  <c:v>100.85428407820518</c:v>
                </c:pt>
                <c:pt idx="134">
                  <c:v>102.37636178550432</c:v>
                </c:pt>
                <c:pt idx="135">
                  <c:v>103.90933543670967</c:v>
                </c:pt>
                <c:pt idx="136">
                  <c:v>105.45318196355095</c:v>
                </c:pt>
                <c:pt idx="137">
                  <c:v>107.00787819196927</c:v>
                </c:pt>
                <c:pt idx="138">
                  <c:v>108.57340084283292</c:v>
                </c:pt>
                <c:pt idx="139">
                  <c:v>110.14972653265716</c:v>
                </c:pt>
                <c:pt idx="140">
                  <c:v>111.73683177432785</c:v>
                </c:pt>
                <c:pt idx="141">
                  <c:v>113.33469297782908</c:v>
                </c:pt>
                <c:pt idx="142">
                  <c:v>114.94328645097441</c:v>
                </c:pt>
                <c:pt idx="143">
                  <c:v>116.56258840014196</c:v>
                </c:pt>
                <c:pt idx="144">
                  <c:v>118.19257493101301</c:v>
                </c:pt>
                <c:pt idx="145">
                  <c:v>119.83322204931429</c:v>
                </c:pt>
                <c:pt idx="146">
                  <c:v>121.4845056615636</c:v>
                </c:pt>
                <c:pt idx="147">
                  <c:v>123.14640157581906</c:v>
                </c:pt>
                <c:pt idx="148">
                  <c:v>124.81888550243146</c:v>
                </c:pt>
                <c:pt idx="149">
                  <c:v>126.50193305480009</c:v>
                </c:pt>
                <c:pt idx="150">
                  <c:v>128.19551975013169</c:v>
                </c:pt>
                <c:pt idx="151">
                  <c:v>129.89962101020248</c:v>
                </c:pt>
                <c:pt idx="152">
                  <c:v>131.61421216212335</c:v>
                </c:pt>
                <c:pt idx="153">
                  <c:v>133.33926843910797</c:v>
                </c:pt>
                <c:pt idx="154">
                  <c:v>135.07476498124382</c:v>
                </c:pt>
                <c:pt idx="155">
                  <c:v>136.82067683626607</c:v>
                </c:pt>
                <c:pt idx="156">
                  <c:v>138.57697896033426</c:v>
                </c:pt>
                <c:pt idx="157">
                  <c:v>140.34364621881156</c:v>
                </c:pt>
                <c:pt idx="158">
                  <c:v>142.12065338704687</c:v>
                </c:pt>
                <c:pt idx="159">
                  <c:v>143.90797515115923</c:v>
                </c:pt>
                <c:pt idx="160">
                  <c:v>145.70558610882495</c:v>
                </c:pt>
                <c:pt idx="161">
                  <c:v>147.51346077006687</c:v>
                </c:pt>
                <c:pt idx="162">
                  <c:v>149.33157355804627</c:v>
                </c:pt>
                <c:pt idx="163">
                  <c:v>151.15989880985683</c:v>
                </c:pt>
                <c:pt idx="164">
                  <c:v>152.9984107773208</c:v>
                </c:pt>
                <c:pt idx="165">
                  <c:v>154.84708362778741</c:v>
                </c:pt>
                <c:pt idx="166">
                  <c:v>156.70589144493326</c:v>
                </c:pt>
                <c:pt idx="167">
                  <c:v>158.57480822956464</c:v>
                </c:pt>
                <c:pt idx="168">
                  <c:v>160.45380790042185</c:v>
                </c:pt>
                <c:pt idx="169">
                  <c:v>162.34286429498536</c:v>
                </c:pt>
                <c:pt idx="170">
                  <c:v>164.24195117028367</c:v>
                </c:pt>
                <c:pt idx="171">
                  <c:v>166.15104220370281</c:v>
                </c:pt>
                <c:pt idx="172">
                  <c:v>168.0701109937977</c:v>
                </c:pt>
                <c:pt idx="173">
                  <c:v>169.99913106110483</c:v>
                </c:pt>
                <c:pt idx="174">
                  <c:v>171.93807584895654</c:v>
                </c:pt>
                <c:pt idx="175">
                  <c:v>173.88691872429666</c:v>
                </c:pt>
                <c:pt idx="176">
                  <c:v>175.84563297849755</c:v>
                </c:pt>
                <c:pt idx="177">
                  <c:v>177.81419182817839</c:v>
                </c:pt>
                <c:pt idx="178">
                  <c:v>179.79256841602469</c:v>
                </c:pt>
                <c:pt idx="179">
                  <c:v>181.78073581160885</c:v>
                </c:pt>
                <c:pt idx="180">
                  <c:v>183.77866701221194</c:v>
                </c:pt>
                <c:pt idx="181">
                  <c:v>185.78633494364632</c:v>
                </c:pt>
                <c:pt idx="182">
                  <c:v>187.80371246107936</c:v>
                </c:pt>
                <c:pt idx="183">
                  <c:v>189.8307723498578</c:v>
                </c:pt>
                <c:pt idx="184">
                  <c:v>191.86748732633311</c:v>
                </c:pt>
                <c:pt idx="185">
                  <c:v>193.91383003868748</c:v>
                </c:pt>
                <c:pt idx="186">
                  <c:v>195.96977306776049</c:v>
                </c:pt>
                <c:pt idx="187">
                  <c:v>198.03528892787631</c:v>
                </c:pt>
                <c:pt idx="188">
                  <c:v>200.11035006767145</c:v>
                </c:pt>
                <c:pt idx="189">
                  <c:v>202.19492887092306</c:v>
                </c:pt>
                <c:pt idx="190">
                  <c:v>204.28899765737751</c:v>
                </c:pt>
                <c:pt idx="191">
                  <c:v>206.39252868357926</c:v>
                </c:pt>
                <c:pt idx="192">
                  <c:v>208.50549414370008</c:v>
                </c:pt>
                <c:pt idx="193">
                  <c:v>210.62786617036846</c:v>
                </c:pt>
                <c:pt idx="194">
                  <c:v>212.75961683549909</c:v>
                </c:pt>
                <c:pt idx="195">
                  <c:v>214.90071815112233</c:v>
                </c:pt>
                <c:pt idx="196">
                  <c:v>217.0511420702139</c:v>
                </c:pt>
                <c:pt idx="197">
                  <c:v>219.21086048752423</c:v>
                </c:pt>
                <c:pt idx="198">
                  <c:v>221.37984524040786</c:v>
                </c:pt>
                <c:pt idx="199">
                  <c:v>223.55806810965257</c:v>
                </c:pt>
                <c:pt idx="200">
                  <c:v>225.74550082030828</c:v>
                </c:pt>
                <c:pt idx="201">
                  <c:v>227.94211504251555</c:v>
                </c:pt>
                <c:pt idx="202">
                  <c:v>230.14788239233383</c:v>
                </c:pt>
                <c:pt idx="203">
                  <c:v>232.36277443256904</c:v>
                </c:pt>
                <c:pt idx="204">
                  <c:v>234.58676267360093</c:v>
                </c:pt>
                <c:pt idx="205">
                  <c:v>236.81981857420953</c:v>
                </c:pt>
                <c:pt idx="206">
                  <c:v>239.06191293311676</c:v>
                </c:pt>
                <c:pt idx="207">
                  <c:v>241.31301528033208</c:v>
                </c:pt>
                <c:pt idx="208">
                  <c:v>243.57309448764053</c:v>
                </c:pt>
                <c:pt idx="209">
                  <c:v>245.84211937932093</c:v>
                </c:pt>
                <c:pt idx="210">
                  <c:v>248.12005873304085</c:v>
                </c:pt>
                <c:pt idx="211">
                  <c:v>250.40688128075013</c:v>
                </c:pt>
                <c:pt idx="212">
                  <c:v>252.70255570957312</c:v>
                </c:pt>
                <c:pt idx="213">
                  <c:v>255.00705066269913</c:v>
                </c:pt>
                <c:pt idx="214">
                  <c:v>257.32033474027162</c:v>
                </c:pt>
                <c:pt idx="215">
                  <c:v>259.64237650027547</c:v>
                </c:pt>
                <c:pt idx="216">
                  <c:v>261.97314445942271</c:v>
                </c:pt>
                <c:pt idx="217">
                  <c:v>264.31260709403642</c:v>
                </c:pt>
                <c:pt idx="218">
                  <c:v>266.66073284093289</c:v>
                </c:pt>
                <c:pt idx="219">
                  <c:v>269.01749009830166</c:v>
                </c:pt>
                <c:pt idx="220">
                  <c:v>271.38284722658398</c:v>
                </c:pt>
                <c:pt idx="221">
                  <c:v>273.75677254934885</c:v>
                </c:pt>
                <c:pt idx="222">
                  <c:v>276.1392343541674</c:v>
                </c:pt>
                <c:pt idx="223">
                  <c:v>278.53020089348485</c:v>
                </c:pt>
                <c:pt idx="224">
                  <c:v>280.92964038549042</c:v>
                </c:pt>
                <c:pt idx="225">
                  <c:v>283.33752101498487</c:v>
                </c:pt>
                <c:pt idx="226">
                  <c:v>285.75381093424608</c:v>
                </c:pt>
                <c:pt idx="227">
                  <c:v>288.1784782638918</c:v>
                </c:pt>
                <c:pt idx="228">
                  <c:v>290.61149109374037</c:v>
                </c:pt>
                <c:pt idx="229">
                  <c:v>293.05281748366883</c:v>
                </c:pt>
                <c:pt idx="230">
                  <c:v>295.50242546446856</c:v>
                </c:pt>
                <c:pt idx="231">
                  <c:v>297.96028303869832</c:v>
                </c:pt>
                <c:pt idx="232">
                  <c:v>300.42635818153468</c:v>
                </c:pt>
                <c:pt idx="233">
                  <c:v>302.90061884161969</c:v>
                </c:pt>
                <c:pt idx="234">
                  <c:v>305.38303294190615</c:v>
                </c:pt>
                <c:pt idx="235">
                  <c:v>307.87356838049959</c:v>
                </c:pt>
                <c:pt idx="236">
                  <c:v>310.37219303149789</c:v>
                </c:pt>
                <c:pt idx="237">
                  <c:v>312.87887474582777</c:v>
                </c:pt>
                <c:pt idx="238">
                  <c:v>315.39358135207857</c:v>
                </c:pt>
                <c:pt idx="239">
                  <c:v>317.91628065733266</c:v>
                </c:pt>
                <c:pt idx="240">
                  <c:v>320.44694044799326</c:v>
                </c:pt>
                <c:pt idx="241">
                  <c:v>322.98552849060906</c:v>
                </c:pt>
                <c:pt idx="242">
                  <c:v>325.53201040899722</c:v>
                </c:pt>
                <c:pt idx="243">
                  <c:v>328.08634756159699</c:v>
                </c:pt>
                <c:pt idx="244">
                  <c:v>330.64849916902807</c:v>
                </c:pt>
                <c:pt idx="245">
                  <c:v>333.21842444153123</c:v>
                </c:pt>
                <c:pt idx="246">
                  <c:v>335.79608258001269</c:v>
                </c:pt>
                <c:pt idx="247">
                  <c:v>338.38143277708326</c:v>
                </c:pt>
                <c:pt idx="248">
                  <c:v>340.97443421809157</c:v>
                </c:pt>
                <c:pt idx="249">
                  <c:v>343.57504608215203</c:v>
                </c:pt>
                <c:pt idx="250">
                  <c:v>346.18322754316677</c:v>
                </c:pt>
                <c:pt idx="251">
                  <c:v>348.79893777084214</c:v>
                </c:pt>
                <c:pt idx="252">
                  <c:v>351.42213593169924</c:v>
                </c:pt>
                <c:pt idx="253">
                  <c:v>354.05278119007863</c:v>
                </c:pt>
                <c:pt idx="254">
                  <c:v>356.69083270913922</c:v>
                </c:pt>
                <c:pt idx="255">
                  <c:v>359.33624965185123</c:v>
                </c:pt>
                <c:pt idx="256">
                  <c:v>361.98899118198324</c:v>
                </c:pt>
                <c:pt idx="257">
                  <c:v>364.64901646508298</c:v>
                </c:pt>
                <c:pt idx="258">
                  <c:v>367.31628466945227</c:v>
                </c:pt>
                <c:pt idx="259">
                  <c:v>369.99075496711589</c:v>
                </c:pt>
                <c:pt idx="260">
                  <c:v>372.67238653478415</c:v>
                </c:pt>
                <c:pt idx="261">
                  <c:v>375.36113855480926</c:v>
                </c:pt>
                <c:pt idx="262">
                  <c:v>378.05697021613571</c:v>
                </c:pt>
                <c:pt idx="263">
                  <c:v>380.75984071524414</c:v>
                </c:pt>
                <c:pt idx="264">
                  <c:v>383.46970925708894</c:v>
                </c:pt>
                <c:pt idx="265">
                  <c:v>386.1865350560297</c:v>
                </c:pt>
                <c:pt idx="266">
                  <c:v>388.910277336756</c:v>
                </c:pt>
                <c:pt idx="267">
                  <c:v>391.6408953352061</c:v>
                </c:pt>
                <c:pt idx="268">
                  <c:v>394.37834829947883</c:v>
                </c:pt>
                <c:pt idx="269">
                  <c:v>397.1225954907394</c:v>
                </c:pt>
                <c:pt idx="270">
                  <c:v>399.87359618411836</c:v>
                </c:pt>
                <c:pt idx="271">
                  <c:v>402.63130966960426</c:v>
                </c:pt>
                <c:pt idx="272">
                  <c:v>405.39569525292961</c:v>
                </c:pt>
                <c:pt idx="273">
                  <c:v>408.16671225645035</c:v>
                </c:pt>
                <c:pt idx="274">
                  <c:v>410.94432002001861</c:v>
                </c:pt>
                <c:pt idx="275">
                  <c:v>413.72847790184875</c:v>
                </c:pt>
                <c:pt idx="276">
                  <c:v>416.51914527937703</c:v>
                </c:pt>
                <c:pt idx="277">
                  <c:v>419.3162815501143</c:v>
                </c:pt>
                <c:pt idx="278">
                  <c:v>422.11984613249206</c:v>
                </c:pt>
                <c:pt idx="279">
                  <c:v>424.9297984667017</c:v>
                </c:pt>
                <c:pt idx="280">
                  <c:v>427.74609801552714</c:v>
                </c:pt>
                <c:pt idx="281">
                  <c:v>430.56870426517065</c:v>
                </c:pt>
                <c:pt idx="282">
                  <c:v>433.39757672607175</c:v>
                </c:pt>
                <c:pt idx="283">
                  <c:v>436.23267493371935</c:v>
                </c:pt>
                <c:pt idx="284">
                  <c:v>439.07396096575485</c:v>
                </c:pt>
                <c:pt idx="285">
                  <c:v>441.92140195746595</c:v>
                </c:pt>
                <c:pt idx="286">
                  <c:v>444.77496758027593</c:v>
                </c:pt>
                <c:pt idx="287">
                  <c:v>447.63462752171773</c:v>
                </c:pt>
                <c:pt idx="288">
                  <c:v>450.50035148599227</c:v>
                </c:pt>
                <c:pt idx="289">
                  <c:v>453.37210919452264</c:v>
                </c:pt>
                <c:pt idx="290">
                  <c:v>456.2498703865042</c:v>
                </c:pt>
                <c:pt idx="291">
                  <c:v>459.13360481945074</c:v>
                </c:pt>
                <c:pt idx="292">
                  <c:v>462.023282269736</c:v>
                </c:pt>
                <c:pt idx="293">
                  <c:v>464.91887253313138</c:v>
                </c:pt>
                <c:pt idx="294">
                  <c:v>467.8203454253395</c:v>
                </c:pt>
                <c:pt idx="295">
                  <c:v>470.72767078252326</c:v>
                </c:pt>
                <c:pt idx="296">
                  <c:v>473.64081846183109</c:v>
                </c:pt>
                <c:pt idx="297">
                  <c:v>476.5597583419177</c:v>
                </c:pt>
                <c:pt idx="298">
                  <c:v>479.48446032346072</c:v>
                </c:pt>
                <c:pt idx="299">
                  <c:v>482.41489432967325</c:v>
                </c:pt>
                <c:pt idx="300">
                  <c:v>485.35103030681199</c:v>
                </c:pt>
                <c:pt idx="301">
                  <c:v>488.29283822468119</c:v>
                </c:pt>
                <c:pt idx="302">
                  <c:v>491.24028807713245</c:v>
                </c:pt>
                <c:pt idx="303">
                  <c:v>494.19334988256031</c:v>
                </c:pt>
                <c:pt idx="304">
                  <c:v>497.15199368439346</c:v>
                </c:pt>
                <c:pt idx="305">
                  <c:v>500.11618955158167</c:v>
                </c:pt>
                <c:pt idx="306">
                  <c:v>503.08590757907876</c:v>
                </c:pt>
                <c:pt idx="307">
                  <c:v>506.06111788832106</c:v>
                </c:pt>
                <c:pt idx="308">
                  <c:v>509.04179062770157</c:v>
                </c:pt>
                <c:pt idx="309">
                  <c:v>512.02789597304024</c:v>
                </c:pt>
                <c:pt idx="310">
                  <c:v>515.01940412804936</c:v>
                </c:pt>
                <c:pt idx="311">
                  <c:v>518.01628532479538</c:v>
                </c:pt>
                <c:pt idx="312">
                  <c:v>521.0185098241559</c:v>
                </c:pt>
                <c:pt idx="313">
                  <c:v>524.026047916273</c:v>
                </c:pt>
                <c:pt idx="314">
                  <c:v>527.03886992100161</c:v>
                </c:pt>
                <c:pt idx="315">
                  <c:v>530.05694618835412</c:v>
                </c:pt>
                <c:pt idx="316">
                  <c:v>533.08024709894062</c:v>
                </c:pt>
                <c:pt idx="317">
                  <c:v>536.10874306440451</c:v>
                </c:pt>
                <c:pt idx="318">
                  <c:v>539.14240452785464</c:v>
                </c:pt>
                <c:pt idx="319">
                  <c:v>542.18120196429254</c:v>
                </c:pt>
                <c:pt idx="320">
                  <c:v>545.22510588103557</c:v>
                </c:pt>
                <c:pt idx="321">
                  <c:v>548.27408681813574</c:v>
                </c:pt>
                <c:pt idx="322">
                  <c:v>551.32811534879465</c:v>
                </c:pt>
                <c:pt idx="323">
                  <c:v>554.38716207977359</c:v>
                </c:pt>
                <c:pt idx="324">
                  <c:v>557.45119765180004</c:v>
                </c:pt>
                <c:pt idx="325">
                  <c:v>560.52019273996939</c:v>
                </c:pt>
                <c:pt idx="326">
                  <c:v>563.59411821005699</c:v>
                </c:pt>
                <c:pt idx="327">
                  <c:v>566.67294527466584</c:v>
                </c:pt>
                <c:pt idx="328">
                  <c:v>569.75664533721852</c:v>
                </c:pt>
                <c:pt idx="329">
                  <c:v>572.84518983609951</c:v>
                </c:pt>
                <c:pt idx="330">
                  <c:v>575.93855024502682</c:v>
                </c:pt>
                <c:pt idx="331">
                  <c:v>579.03669807341885</c:v>
                </c:pt>
                <c:pt idx="332">
                  <c:v>582.13960486675751</c:v>
                </c:pt>
                <c:pt idx="333">
                  <c:v>585.24724220694736</c:v>
                </c:pt>
                <c:pt idx="334">
                  <c:v>588.35958171267043</c:v>
                </c:pt>
                <c:pt idx="335">
                  <c:v>591.47659503973739</c:v>
                </c:pt>
                <c:pt idx="336">
                  <c:v>594.59825388143463</c:v>
                </c:pt>
                <c:pt idx="337">
                  <c:v>597.72452996886682</c:v>
                </c:pt>
                <c:pt idx="338">
                  <c:v>600.85539507129636</c:v>
                </c:pt>
                <c:pt idx="339">
                  <c:v>603.99082099647808</c:v>
                </c:pt>
                <c:pt idx="340">
                  <c:v>607.13077959099007</c:v>
                </c:pt>
                <c:pt idx="341">
                  <c:v>610.27524274056111</c:v>
                </c:pt>
                <c:pt idx="342">
                  <c:v>613.4241823703934</c:v>
                </c:pt>
                <c:pt idx="343">
                  <c:v>616.57757044548168</c:v>
                </c:pt>
                <c:pt idx="344">
                  <c:v>619.73537897092842</c:v>
                </c:pt>
                <c:pt idx="345">
                  <c:v>622.89757999225515</c:v>
                </c:pt>
                <c:pt idx="346">
                  <c:v>626.06414559570942</c:v>
                </c:pt>
                <c:pt idx="347">
                  <c:v>629.23504790856862</c:v>
                </c:pt>
                <c:pt idx="348">
                  <c:v>632.4102590994388</c:v>
                </c:pt>
                <c:pt idx="349">
                  <c:v>635.58975137855089</c:v>
                </c:pt>
                <c:pt idx="350">
                  <c:v>638.773496998052</c:v>
                </c:pt>
                <c:pt idx="351">
                  <c:v>641.96146825229323</c:v>
                </c:pt>
                <c:pt idx="352">
                  <c:v>645.15363747811364</c:v>
                </c:pt>
                <c:pt idx="353">
                  <c:v>648.34997705512046</c:v>
                </c:pt>
                <c:pt idx="354">
                  <c:v>651.5504594059654</c:v>
                </c:pt>
                <c:pt idx="355">
                  <c:v>654.75505699661676</c:v>
                </c:pt>
                <c:pt idx="356">
                  <c:v>657.96374233662834</c:v>
                </c:pt>
                <c:pt idx="357">
                  <c:v>661.17648797940421</c:v>
                </c:pt>
                <c:pt idx="358">
                  <c:v>664.39326652245984</c:v>
                </c:pt>
                <c:pt idx="359">
                  <c:v>667.61405060767913</c:v>
                </c:pt>
                <c:pt idx="360">
                  <c:v>670.83881292156821</c:v>
                </c:pt>
                <c:pt idx="361">
                  <c:v>674.06752619550502</c:v>
                </c:pt>
                <c:pt idx="362">
                  <c:v>677.30016320598543</c:v>
                </c:pt>
                <c:pt idx="363">
                  <c:v>680.53669677486562</c:v>
                </c:pt>
                <c:pt idx="364">
                  <c:v>683.77709976960057</c:v>
                </c:pt>
                <c:pt idx="365">
                  <c:v>687.02134510347923</c:v>
                </c:pt>
                <c:pt idx="366">
                  <c:v>690.26940971924967</c:v>
                </c:pt>
                <c:pt idx="367">
                  <c:v>693.52127856737684</c:v>
                </c:pt>
                <c:pt idx="368">
                  <c:v>696.77694060822057</c:v>
                </c:pt>
                <c:pt idx="369">
                  <c:v>700.03638481950395</c:v>
                </c:pt>
                <c:pt idx="370">
                  <c:v>703.29960019639248</c:v>
                </c:pt>
                <c:pt idx="371">
                  <c:v>706.56657575157203</c:v>
                </c:pt>
                <c:pt idx="372">
                  <c:v>709.83730051532598</c:v>
                </c:pt>
                <c:pt idx="373">
                  <c:v>713.11176353561132</c:v>
                </c:pt>
                <c:pt idx="374">
                  <c:v>716.38995387813452</c:v>
                </c:pt>
                <c:pt idx="375">
                  <c:v>719.67186062642566</c:v>
                </c:pt>
                <c:pt idx="376">
                  <c:v>722.95747288191239</c:v>
                </c:pt>
                <c:pt idx="377">
                  <c:v>726.24677976399289</c:v>
                </c:pt>
                <c:pt idx="378">
                  <c:v>729.53977041010774</c:v>
                </c:pt>
                <c:pt idx="379">
                  <c:v>732.83643397581136</c:v>
                </c:pt>
                <c:pt idx="380">
                  <c:v>736.13675963484229</c:v>
                </c:pt>
                <c:pt idx="381">
                  <c:v>739.4407322675703</c:v>
                </c:pt>
                <c:pt idx="382">
                  <c:v>742.74832815552952</c:v>
                </c:pt>
                <c:pt idx="383">
                  <c:v>746.05951930953643</c:v>
                </c:pt>
                <c:pt idx="384">
                  <c:v>749.37427779178961</c:v>
                </c:pt>
                <c:pt idx="385">
                  <c:v>752.69257571607443</c:v>
                </c:pt>
                <c:pt idx="386">
                  <c:v>756.01438524796424</c:v>
                </c:pt>
                <c:pt idx="387">
                  <c:v>759.33967860501718</c:v>
                </c:pt>
                <c:pt idx="388">
                  <c:v>762.66842805697013</c:v>
                </c:pt>
                <c:pt idx="389">
                  <c:v>766.00060592592774</c:v>
                </c:pt>
                <c:pt idx="390">
                  <c:v>769.33618458654894</c:v>
                </c:pt>
                <c:pt idx="391">
                  <c:v>772.67513646622876</c:v>
                </c:pt>
                <c:pt idx="392">
                  <c:v>776.01743404527701</c:v>
                </c:pt>
                <c:pt idx="393">
                  <c:v>779.36304985709285</c:v>
                </c:pt>
                <c:pt idx="394">
                  <c:v>782.71195648833623</c:v>
                </c:pt>
                <c:pt idx="395">
                  <c:v>786.06412657909539</c:v>
                </c:pt>
                <c:pt idx="396">
                  <c:v>789.41953282305042</c:v>
                </c:pt>
                <c:pt idx="397">
                  <c:v>792.77814796763391</c:v>
                </c:pt>
                <c:pt idx="398">
                  <c:v>796.13994481418752</c:v>
                </c:pt>
                <c:pt idx="399">
                  <c:v>799.50489621811505</c:v>
                </c:pt>
                <c:pt idx="400">
                  <c:v>802.87297508903237</c:v>
                </c:pt>
                <c:pt idx="401">
                  <c:v>806.24415099410623</c:v>
                </c:pt>
                <c:pt idx="402">
                  <c:v>809.6183867667138</c:v>
                </c:pt>
                <c:pt idx="403">
                  <c:v>812.99564191727802</c:v>
                </c:pt>
                <c:pt idx="404">
                  <c:v>816.37587603884538</c:v>
                </c:pt>
                <c:pt idx="405">
                  <c:v>819.75904880735732</c:v>
                </c:pt>
                <c:pt idx="406">
                  <c:v>823.14511998191347</c:v>
                </c:pt>
                <c:pt idx="407">
                  <c:v>826.53404940502912</c:v>
                </c:pt>
                <c:pt idx="408">
                  <c:v>829.92579700288445</c:v>
                </c:pt>
                <c:pt idx="409">
                  <c:v>833.3203227855679</c:v>
                </c:pt>
                <c:pt idx="410">
                  <c:v>836.71758684731185</c:v>
                </c:pt>
                <c:pt idx="411">
                  <c:v>840.1175305855686</c:v>
                </c:pt>
                <c:pt idx="412">
                  <c:v>843.52005795171067</c:v>
                </c:pt>
                <c:pt idx="413">
                  <c:v>846.92505431313396</c:v>
                </c:pt>
                <c:pt idx="414">
                  <c:v>850.33240528453723</c:v>
                </c:pt>
                <c:pt idx="415">
                  <c:v>853.7419967297285</c:v>
                </c:pt>
                <c:pt idx="416">
                  <c:v>857.15371476338169</c:v>
                </c:pt>
                <c:pt idx="417">
                  <c:v>860.5674457527424</c:v>
                </c:pt>
                <c:pt idx="418">
                  <c:v>863.98307631928424</c:v>
                </c:pt>
                <c:pt idx="419">
                  <c:v>867.40049334031517</c:v>
                </c:pt>
                <c:pt idx="420">
                  <c:v>870.81957326204031</c:v>
                </c:pt>
                <c:pt idx="421">
                  <c:v>874.24017143316973</c:v>
                </c:pt>
                <c:pt idx="422">
                  <c:v>877.6621328450459</c:v>
                </c:pt>
                <c:pt idx="423">
                  <c:v>881.0853028518743</c:v>
                </c:pt>
                <c:pt idx="424">
                  <c:v>884.50952717355756</c:v>
                </c:pt>
                <c:pt idx="425">
                  <c:v>887.93465189843914</c:v>
                </c:pt>
                <c:pt idx="426">
                  <c:v>891.3605234859582</c:v>
                </c:pt>
                <c:pt idx="427">
                  <c:v>894.7869887692143</c:v>
                </c:pt>
                <c:pt idx="428">
                  <c:v>898.21389495744484</c:v>
                </c:pt>
                <c:pt idx="429">
                  <c:v>901.6410896384142</c:v>
                </c:pt>
                <c:pt idx="430">
                  <c:v>905.06842078071634</c:v>
                </c:pt>
                <c:pt idx="431">
                  <c:v>908.49573673599082</c:v>
                </c:pt>
                <c:pt idx="432">
                  <c:v>911.92286901082491</c:v>
                </c:pt>
                <c:pt idx="433">
                  <c:v>915.34961507862499</c:v>
                </c:pt>
                <c:pt idx="434">
                  <c:v>918.77575570328543</c:v>
                </c:pt>
                <c:pt idx="435">
                  <c:v>922.20107222423758</c:v>
                </c:pt>
                <c:pt idx="436">
                  <c:v>925.62534656122943</c:v>
                </c:pt>
                <c:pt idx="437">
                  <c:v>929.04836121892822</c:v>
                </c:pt>
                <c:pt idx="438">
                  <c:v>932.46989929134531</c:v>
                </c:pt>
                <c:pt idx="439">
                  <c:v>935.88974446608654</c:v>
                </c:pt>
                <c:pt idx="440">
                  <c:v>939.30768102842853</c:v>
                </c:pt>
                <c:pt idx="441">
                  <c:v>942.72349386522285</c:v>
                </c:pt>
                <c:pt idx="442">
                  <c:v>946.13697893422545</c:v>
                </c:pt>
                <c:pt idx="443">
                  <c:v>949.54795370440308</c:v>
                </c:pt>
                <c:pt idx="444">
                  <c:v>952.95624663154194</c:v>
                </c:pt>
                <c:pt idx="445">
                  <c:v>956.36168666172034</c:v>
                </c:pt>
                <c:pt idx="446">
                  <c:v>959.76410323275718</c:v>
                </c:pt>
                <c:pt idx="447">
                  <c:v>963.16332627555823</c:v>
                </c:pt>
                <c:pt idx="448">
                  <c:v>966.55918621536193</c:v>
                </c:pt>
                <c:pt idx="449">
                  <c:v>969.95151397288544</c:v>
                </c:pt>
                <c:pt idx="450">
                  <c:v>973.34014096537271</c:v>
                </c:pt>
                <c:pt idx="451">
                  <c:v>976.72489910754462</c:v>
                </c:pt>
                <c:pt idx="452">
                  <c:v>980.10562081245394</c:v>
                </c:pt>
                <c:pt idx="453">
                  <c:v>983.48215397757838</c:v>
                </c:pt>
                <c:pt idx="454">
                  <c:v>986.85437692458504</c:v>
                </c:pt>
                <c:pt idx="455">
                  <c:v>990.22218331897454</c:v>
                </c:pt>
                <c:pt idx="456">
                  <c:v>993.58546713534849</c:v>
                </c:pt>
                <c:pt idx="457">
                  <c:v>996.94412265679148</c:v>
                </c:pt>
                <c:pt idx="458">
                  <c:v>1000.2980444742217</c:v>
                </c:pt>
                <c:pt idx="459">
                  <c:v>1003.6471274857109</c:v>
                </c:pt>
                <c:pt idx="460">
                  <c:v>1006.9912668957747</c:v>
                </c:pt>
                <c:pt idx="461">
                  <c:v>1010.3303716988762</c:v>
                </c:pt>
                <c:pt idx="462">
                  <c:v>1013.6643781196631</c:v>
                </c:pt>
                <c:pt idx="463">
                  <c:v>1016.9932360401639</c:v>
                </c:pt>
                <c:pt idx="464">
                  <c:v>1020.3168954702556</c:v>
                </c:pt>
                <c:pt idx="465">
                  <c:v>1023.6353065469464</c:v>
                </c:pt>
                <c:pt idx="466">
                  <c:v>1026.9484082064639</c:v>
                </c:pt>
                <c:pt idx="467">
                  <c:v>1030.256116893034</c:v>
                </c:pt>
                <c:pt idx="468">
                  <c:v>1033.5582118204468</c:v>
                </c:pt>
                <c:pt idx="469">
                  <c:v>1036.8543749797363</c:v>
                </c:pt>
                <c:pt idx="470">
                  <c:v>1040.1444719614792</c:v>
                </c:pt>
                <c:pt idx="471">
                  <c:v>1043.4285231193505</c:v>
                </c:pt>
                <c:pt idx="472">
                  <c:v>1046.7065486942458</c:v>
                </c:pt>
                <c:pt idx="473">
                  <c:v>1049.9785688151203</c:v>
                </c:pt>
                <c:pt idx="474">
                  <c:v>1053.2446034998193</c:v>
                </c:pt>
                <c:pt idx="475">
                  <c:v>1056.5046726559019</c:v>
                </c:pt>
                <c:pt idx="476">
                  <c:v>1059.7587960814574</c:v>
                </c:pt>
                <c:pt idx="477">
                  <c:v>1063.0069934659123</c:v>
                </c:pt>
                <c:pt idx="478">
                  <c:v>1066.2492843908319</c:v>
                </c:pt>
                <c:pt idx="479">
                  <c:v>1069.4856883307134</c:v>
                </c:pt>
                <c:pt idx="480">
                  <c:v>1072.716224653771</c:v>
                </c:pt>
                <c:pt idx="481">
                  <c:v>1075.9409126227156</c:v>
                </c:pt>
                <c:pt idx="482">
                  <c:v>1079.1597713955259</c:v>
                </c:pt>
                <c:pt idx="483">
                  <c:v>1082.3728200262124</c:v>
                </c:pt>
                <c:pt idx="484">
                  <c:v>1085.5800774655752</c:v>
                </c:pt>
                <c:pt idx="485">
                  <c:v>1088.7815625619544</c:v>
                </c:pt>
                <c:pt idx="486">
                  <c:v>1091.9772940619735</c:v>
                </c:pt>
                <c:pt idx="487">
                  <c:v>1095.1672906112763</c:v>
                </c:pt>
                <c:pt idx="488">
                  <c:v>1098.3515707552569</c:v>
                </c:pt>
                <c:pt idx="489">
                  <c:v>1101.5301529397839</c:v>
                </c:pt>
                <c:pt idx="490">
                  <c:v>1104.7030555119154</c:v>
                </c:pt>
                <c:pt idx="491">
                  <c:v>1107.8702967206116</c:v>
                </c:pt>
                <c:pt idx="492">
                  <c:v>1111.0318947174371</c:v>
                </c:pt>
                <c:pt idx="493">
                  <c:v>1114.1878675572598</c:v>
                </c:pt>
                <c:pt idx="494">
                  <c:v>1117.338233198941</c:v>
                </c:pt>
                <c:pt idx="495">
                  <c:v>1120.4830095060213</c:v>
                </c:pt>
                <c:pt idx="496">
                  <c:v>1123.6222142473996</c:v>
                </c:pt>
                <c:pt idx="497">
                  <c:v>1126.7558650980054</c:v>
                </c:pt>
                <c:pt idx="498">
                  <c:v>1129.8839796394664</c:v>
                </c:pt>
                <c:pt idx="499">
                  <c:v>1133.0065753607689</c:v>
                </c:pt>
                <c:pt idx="500">
                  <c:v>1136.1236696589131</c:v>
                </c:pt>
                <c:pt idx="501">
                  <c:v>1166.9933745316325</c:v>
                </c:pt>
                <c:pt idx="502">
                  <c:v>1197.324024968339</c:v>
                </c:pt>
                <c:pt idx="503">
                  <c:v>1227.1321752253491</c:v>
                </c:pt>
                <c:pt idx="504">
                  <c:v>1256.4335402738652</c:v>
                </c:pt>
                <c:pt idx="505">
                  <c:v>1285.2430521758179</c:v>
                </c:pt>
                <c:pt idx="506">
                  <c:v>1313.5749117582604</c:v>
                </c:pt>
                <c:pt idx="507">
                  <c:v>1341.4426360519772</c:v>
                </c:pt>
                <c:pt idx="508">
                  <c:v>1368.8591019067758</c:v>
                </c:pt>
                <c:pt idx="509">
                  <c:v>1395.8365861496115</c:v>
                </c:pt>
                <c:pt idx="510">
                  <c:v>1422.3868026112341</c:v>
                </c:pt>
                <c:pt idx="511">
                  <c:v>1448.5209363116428</c:v>
                </c:pt>
                <c:pt idx="512">
                  <c:v>1474.2496750635746</c:v>
                </c:pt>
                <c:pt idx="513">
                  <c:v>1499.5832387259472</c:v>
                </c:pt>
                <c:pt idx="514">
                  <c:v>1524.5314063151184</c:v>
                </c:pt>
                <c:pt idx="515">
                  <c:v>1549.1035411605933</c:v>
                </c:pt>
                <c:pt idx="516">
                  <c:v>1573.3086142730256</c:v>
                </c:pt>
                <c:pt idx="517">
                  <c:v>1597.1552260757098</c:v>
                </c:pt>
                <c:pt idx="518">
                  <c:v>1620.6516266359888</c:v>
                </c:pt>
                <c:pt idx="519">
                  <c:v>1643.8057345198495</c:v>
                </c:pt>
                <c:pt idx="520">
                  <c:v>1666.6251543812725</c:v>
                </c:pt>
                <c:pt idx="521">
                  <c:v>1689.1171933874439</c:v>
                </c:pt>
                <c:pt idx="522">
                  <c:v>1711.2888765715952</c:v>
                </c:pt>
                <c:pt idx="523">
                  <c:v>1733.1469611968694</c:v>
                </c:pt>
                <c:pt idx="524">
                  <c:v>1754.6979502071074</c:v>
                </c:pt>
                <c:pt idx="525">
                  <c:v>1775.9481048337102</c:v>
                </c:pt>
                <c:pt idx="526">
                  <c:v>1796.9034564216686</c:v>
                </c:pt>
                <c:pt idx="527">
                  <c:v>1817.5698175323955</c:v>
                </c:pt>
                <c:pt idx="528">
                  <c:v>1837.95279237607</c:v>
                </c:pt>
                <c:pt idx="529">
                  <c:v>1858.0577866217511</c:v>
                </c:pt>
                <c:pt idx="530">
                  <c:v>1877.8900166295027</c:v>
                </c:pt>
                <c:pt idx="531">
                  <c:v>1897.4545181451226</c:v>
                </c:pt>
                <c:pt idx="532">
                  <c:v>1916.7561544947685</c:v>
                </c:pt>
                <c:pt idx="533">
                  <c:v>1935.7996243137759</c:v>
                </c:pt>
                <c:pt idx="534">
                  <c:v>1954.5894688412363</c:v>
                </c:pt>
                <c:pt idx="535">
                  <c:v>1973.1300788094265</c:v>
                </c:pt>
                <c:pt idx="536">
                  <c:v>1991.4257009549181</c:v>
                </c:pt>
                <c:pt idx="537">
                  <c:v>2009.4804441761401</c:v>
                </c:pt>
                <c:pt idx="538">
                  <c:v>2027.2982853602853</c:v>
                </c:pt>
                <c:pt idx="539">
                  <c:v>2044.8830749007318</c:v>
                </c:pt>
                <c:pt idx="540">
                  <c:v>2062.2385419245788</c:v>
                </c:pt>
                <c:pt idx="541">
                  <c:v>2079.3682992484605</c:v>
                </c:pt>
                <c:pt idx="542">
                  <c:v>2096.2758480794728</c:v>
                </c:pt>
                <c:pt idx="543">
                  <c:v>2112.9645824768481</c:v>
                </c:pt>
                <c:pt idx="544">
                  <c:v>2129.4377935888911</c:v>
                </c:pt>
                <c:pt idx="545">
                  <c:v>2145.6986736786735</c:v>
                </c:pt>
                <c:pt idx="546">
                  <c:v>2161.7503199510402</c:v>
                </c:pt>
                <c:pt idx="547">
                  <c:v>2177.5957381926164</c:v>
                </c:pt>
                <c:pt idx="548">
                  <c:v>2193.2378462357037</c:v>
                </c:pt>
                <c:pt idx="549">
                  <c:v>2208.6794772562225</c:v>
                </c:pt>
                <c:pt idx="550">
                  <c:v>2223.9233829151676</c:v>
                </c:pt>
                <c:pt idx="551">
                  <c:v>2238.9722363524293</c:v>
                </c:pt>
                <c:pt idx="552">
                  <c:v>2253.82863504124</c:v>
                </c:pt>
                <c:pt idx="553">
                  <c:v>2268.4951035109739</c:v>
                </c:pt>
                <c:pt idx="554">
                  <c:v>2282.9740959455289</c:v>
                </c:pt>
                <c:pt idx="555">
                  <c:v>2297.2679986640587</c:v>
                </c:pt>
                <c:pt idx="556">
                  <c:v>2311.3791324903946</c:v>
                </c:pt>
                <c:pt idx="557">
                  <c:v>2325.3097550170955</c:v>
                </c:pt>
                <c:pt idx="558">
                  <c:v>2339.0620627697062</c:v>
                </c:pt>
                <c:pt idx="559">
                  <c:v>2352.6381932764475</c:v>
                </c:pt>
                <c:pt idx="560">
                  <c:v>2366.0402270482532</c:v>
                </c:pt>
                <c:pt idx="561">
                  <c:v>2379.2701894737665</c:v>
                </c:pt>
                <c:pt idx="562">
                  <c:v>2392.3300526336361</c:v>
                </c:pt>
                <c:pt idx="563">
                  <c:v>2405.2217370381873</c:v>
                </c:pt>
                <c:pt idx="564">
                  <c:v>2417.9471132923145</c:v>
                </c:pt>
                <c:pt idx="565">
                  <c:v>2430.508003691205</c:v>
                </c:pt>
                <c:pt idx="566">
                  <c:v>2442.9061837503027</c:v>
                </c:pt>
                <c:pt idx="567">
                  <c:v>2455.1433836727247</c:v>
                </c:pt>
                <c:pt idx="568">
                  <c:v>2467.2212897571526</c:v>
                </c:pt>
                <c:pt idx="569">
                  <c:v>2479.1415457490634</c:v>
                </c:pt>
                <c:pt idx="570">
                  <c:v>2490.905754137988</c:v>
                </c:pt>
                <c:pt idx="571">
                  <c:v>2502.5154774033535</c:v>
                </c:pt>
                <c:pt idx="572">
                  <c:v>2513.9722392113072</c:v>
                </c:pt>
                <c:pt idx="573">
                  <c:v>2525.2775255648039</c:v>
                </c:pt>
                <c:pt idx="574">
                  <c:v>2536.4327859091059</c:v>
                </c:pt>
                <c:pt idx="575">
                  <c:v>2547.4394341947282</c:v>
                </c:pt>
                <c:pt idx="576">
                  <c:v>2558.2988498997615</c:v>
                </c:pt>
                <c:pt idx="577">
                  <c:v>2569.0123790133953</c:v>
                </c:pt>
                <c:pt idx="578">
                  <c:v>2579.5813349823666</c:v>
                </c:pt>
                <c:pt idx="579">
                  <c:v>2590.0069996219795</c:v>
                </c:pt>
                <c:pt idx="580">
                  <c:v>2600.2906239932436</c:v>
                </c:pt>
                <c:pt idx="581">
                  <c:v>2610.4334292476074</c:v>
                </c:pt>
                <c:pt idx="582">
                  <c:v>2620.4366074406857</c:v>
                </c:pt>
                <c:pt idx="583">
                  <c:v>2630.3013223163061</c:v>
                </c:pt>
                <c:pt idx="584">
                  <c:v>2640.0287100621381</c:v>
                </c:pt>
                <c:pt idx="585">
                  <c:v>2649.6198800381003</c:v>
                </c:pt>
                <c:pt idx="586">
                  <c:v>2659.0759154786851</c:v>
                </c:pt>
                <c:pt idx="587">
                  <c:v>2668.397874170284</c:v>
                </c:pt>
                <c:pt idx="588">
                  <c:v>2677.5867891045386</c:v>
                </c:pt>
                <c:pt idx="589">
                  <c:v>2686.6436691087033</c:v>
                </c:pt>
                <c:pt idx="590">
                  <c:v>2695.5694994539444</c:v>
                </c:pt>
                <c:pt idx="591">
                  <c:v>2704.3652424424686</c:v>
                </c:pt>
                <c:pt idx="592">
                  <c:v>2713.0318379743217</c:v>
                </c:pt>
                <c:pt idx="593">
                  <c:v>2721.5702040946653</c:v>
                </c:pt>
                <c:pt idx="594">
                  <c:v>2729.9812375222973</c:v>
                </c:pt>
                <c:pt idx="595">
                  <c:v>2738.2658141601491</c:v>
                </c:pt>
                <c:pt idx="596">
                  <c:v>2746.4247895884532</c:v>
                </c:pt>
                <c:pt idx="597">
                  <c:v>2754.4589995412525</c:v>
                </c:pt>
                <c:pt idx="598">
                  <c:v>2762.3692603668806</c:v>
                </c:pt>
                <c:pt idx="599">
                  <c:v>2770.1563694730216</c:v>
                </c:pt>
                <c:pt idx="600">
                  <c:v>2777.8211057569283</c:v>
                </c:pt>
                <c:pt idx="601">
                  <c:v>2785.3642300213514</c:v>
                </c:pt>
                <c:pt idx="602">
                  <c:v>2792.7864853767055</c:v>
                </c:pt>
                <c:pt idx="603">
                  <c:v>2800.0885976299805</c:v>
                </c:pt>
                <c:pt idx="604">
                  <c:v>2807.2712756608776</c:v>
                </c:pt>
                <c:pt idx="605">
                  <c:v>2814.3352117856307</c:v>
                </c:pt>
                <c:pt idx="606">
                  <c:v>2821.2810821089602</c:v>
                </c:pt>
                <c:pt idx="607">
                  <c:v>2828.1095468645722</c:v>
                </c:pt>
                <c:pt idx="608">
                  <c:v>2834.8212507446174</c:v>
                </c:pt>
                <c:pt idx="609">
                  <c:v>2841.4168232184888</c:v>
                </c:pt>
                <c:pt idx="610">
                  <c:v>2847.8968788413335</c:v>
                </c:pt>
                <c:pt idx="611">
                  <c:v>2854.2620175526322</c:v>
                </c:pt>
                <c:pt idx="612">
                  <c:v>2860.5128249651884</c:v>
                </c:pt>
                <c:pt idx="613">
                  <c:v>2866.6498726448513</c:v>
                </c:pt>
                <c:pt idx="614">
                  <c:v>2872.6737183812888</c:v>
                </c:pt>
                <c:pt idx="615">
                  <c:v>2878.5849064501108</c:v>
                </c:pt>
                <c:pt idx="616">
                  <c:v>2884.3839678666295</c:v>
                </c:pt>
                <c:pt idx="617">
                  <c:v>2890.0714206315383</c:v>
                </c:pt>
                <c:pt idx="618">
                  <c:v>2895.6477699687721</c:v>
                </c:pt>
                <c:pt idx="619">
                  <c:v>2901.1135085558099</c:v>
                </c:pt>
                <c:pt idx="620">
                  <c:v>2906.4691167466653</c:v>
                </c:pt>
                <c:pt idx="621">
                  <c:v>2911.7150627878032</c:v>
                </c:pt>
                <c:pt idx="622">
                  <c:v>2916.8518030272144</c:v>
                </c:pt>
                <c:pt idx="623">
                  <c:v>2921.87978211687</c:v>
                </c:pt>
                <c:pt idx="624">
                  <c:v>2926.7994332087719</c:v>
                </c:pt>
                <c:pt idx="625">
                  <c:v>2931.6111781448067</c:v>
                </c:pt>
                <c:pt idx="626">
                  <c:v>2936.3154276406085</c:v>
                </c:pt>
                <c:pt idx="627">
                  <c:v>2940.912581463625</c:v>
                </c:pt>
                <c:pt idx="628">
                  <c:v>2945.4030286055836</c:v>
                </c:pt>
                <c:pt idx="629">
                  <c:v>2949.7871474495437</c:v>
                </c:pt>
                <c:pt idx="630">
                  <c:v>2954.065305931721</c:v>
                </c:pt>
                <c:pt idx="631">
                  <c:v>2958.2378616982696</c:v>
                </c:pt>
                <c:pt idx="632">
                  <c:v>2962.305162257202</c:v>
                </c:pt>
                <c:pt idx="633">
                  <c:v>2966.2675451256268</c:v>
                </c:pt>
                <c:pt idx="634">
                  <c:v>2970.1253379724908</c:v>
                </c:pt>
                <c:pt idx="635">
                  <c:v>2973.8788587570029</c:v>
                </c:pt>
                <c:pt idx="636">
                  <c:v>2977.5284158629352</c:v>
                </c:pt>
                <c:pt idx="637">
                  <c:v>2981.0743082289832</c:v>
                </c:pt>
                <c:pt idx="638">
                  <c:v>2984.5168254753962</c:v>
                </c:pt>
                <c:pt idx="639">
                  <c:v>2987.8562480270753</c:v>
                </c:pt>
                <c:pt idx="640">
                  <c:v>2991.0928472333685</c:v>
                </c:pt>
                <c:pt idx="641">
                  <c:v>2994.226885484793</c:v>
                </c:pt>
                <c:pt idx="642">
                  <c:v>2997.2586163269411</c:v>
                </c:pt>
                <c:pt idx="643">
                  <c:v>3000.1882845718474</c:v>
                </c:pt>
                <c:pt idx="644">
                  <c:v>3003.0161264071226</c:v>
                </c:pt>
                <c:pt idx="645">
                  <c:v>3005.7423695031976</c:v>
                </c:pt>
                <c:pt idx="646">
                  <c:v>3008.3672331190573</c:v>
                </c:pt>
                <c:pt idx="647">
                  <c:v>3010.890928206903</c:v>
                </c:pt>
                <c:pt idx="648">
                  <c:v>3013.3136575162339</c:v>
                </c:pt>
                <c:pt idx="649">
                  <c:v>3015.6356156979273</c:v>
                </c:pt>
                <c:pt idx="650">
                  <c:v>3017.8569894089692</c:v>
                </c:pt>
                <c:pt idx="651">
                  <c:v>3019.9779574186091</c:v>
                </c:pt>
                <c:pt idx="652">
                  <c:v>3021.9986907168359</c:v>
                </c:pt>
                <c:pt idx="653">
                  <c:v>3023.9193526262193</c:v>
                </c:pt>
                <c:pt idx="654">
                  <c:v>3025.740098918352</c:v>
                </c:pt>
                <c:pt idx="655">
                  <c:v>3027.4610779363352</c:v>
                </c:pt>
                <c:pt idx="656">
                  <c:v>3029.0824307249941</c:v>
                </c:pt>
                <c:pt idx="657">
                  <c:v>3030.6042911708023</c:v>
                </c:pt>
                <c:pt idx="658">
                  <c:v>3032.0267861538114</c:v>
                </c:pt>
                <c:pt idx="659">
                  <c:v>3033.350035714242</c:v>
                </c:pt>
                <c:pt idx="660">
                  <c:v>3034.5741532367729</c:v>
                </c:pt>
                <c:pt idx="661">
                  <c:v>3035.6992456559633</c:v>
                </c:pt>
                <c:pt idx="662">
                  <c:v>3036.7254136866236</c:v>
                </c:pt>
                <c:pt idx="663">
                  <c:v>3037.6527520832678</c:v>
                </c:pt>
                <c:pt idx="664">
                  <c:v>3038.4813499330007</c:v>
                </c:pt>
                <c:pt idx="665">
                  <c:v>3039.2112909862185</c:v>
                </c:pt>
                <c:pt idx="666">
                  <c:v>3039.842654029248</c:v>
                </c:pt>
                <c:pt idx="667">
                  <c:v>3040.3755133024438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51-4567-B7A1-067915120221}"/>
            </c:ext>
          </c:extLst>
        </c:ser>
        <c:ser>
          <c:idx val="6"/>
          <c:order val="6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Trajecto!$B$157</c:f>
              <c:numCache>
                <c:formatCode>General</c:formatCode>
                <c:ptCount val="1"/>
                <c:pt idx="0">
                  <c:v>5.45</c:v>
                </c:pt>
              </c:numCache>
            </c:numRef>
          </c:xVal>
          <c:yVal>
            <c:numRef>
              <c:f>Trajecto!$C$155</c:f>
              <c:numCache>
                <c:formatCode>0</c:formatCode>
                <c:ptCount val="1"/>
                <c:pt idx="0">
                  <c:v>1520.4049694830894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51-4567-B7A1-067915120221}"/>
            </c:ext>
          </c:extLst>
        </c:ser>
        <c:ser>
          <c:idx val="7"/>
          <c:order val="7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808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Trajecto!$B$158</c:f>
              <c:numCache>
                <c:formatCode>General</c:formatCode>
                <c:ptCount val="1"/>
                <c:pt idx="0">
                  <c:v>37.450000000000202</c:v>
                </c:pt>
              </c:numCache>
            </c:numRef>
          </c:xVal>
          <c:yVal>
            <c:numRef>
              <c:f>Trajecto!$C$156</c:f>
              <c:numCache>
                <c:formatCode>0</c:formatCode>
                <c:ptCount val="1"/>
                <c:pt idx="0">
                  <c:v>1520.7616329213931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51-4567-B7A1-06791512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75008"/>
        <c:axId val="149276928"/>
      </c:scatterChart>
      <c:valAx>
        <c:axId val="149275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Trajecto!$B$112</c:f>
              <c:strCache>
                <c:ptCount val="1"/>
                <c:pt idx="0">
                  <c:v>Temps [s]</c:v>
                </c:pt>
              </c:strCache>
            </c:strRef>
          </c:tx>
          <c:layout>
            <c:manualLayout>
              <c:xMode val="edge"/>
              <c:yMode val="edge"/>
              <c:x val="0.60555551848391842"/>
              <c:y val="0.8513930569999506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800" b="1" i="0" u="none" strike="noStrike" baseline="0">
                  <a:solidFill>
                    <a:srgbClr val="0000FF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276928"/>
        <c:crosses val="autoZero"/>
        <c:crossBetween val="midCat"/>
      </c:valAx>
      <c:valAx>
        <c:axId val="14927692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Altitude z [m]</a:t>
                </a:r>
              </a:p>
            </c:rich>
          </c:tx>
          <c:layout>
            <c:manualLayout>
              <c:xMode val="edge"/>
              <c:yMode val="edge"/>
              <c:x val="9.0000333644735087E-2"/>
              <c:y val="6.8111391736410315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275008"/>
        <c:crosses val="autoZero"/>
        <c:crossBetween val="midCat"/>
      </c:valAx>
      <c:spPr>
        <a:gradFill rotWithShape="0">
          <a:gsLst>
            <a:gs pos="0">
              <a:srgbClr val="99CC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Forces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674528301886802"/>
          <c:y val="9.4771544282144501E-2"/>
          <c:w val="0.86438679245283023"/>
          <c:h val="0.74183243282920064"/>
        </c:manualLayout>
      </c:layout>
      <c:scatterChart>
        <c:scatterStyle val="lineMarker"/>
        <c:varyColors val="0"/>
        <c:ser>
          <c:idx val="1"/>
          <c:order val="0"/>
          <c:tx>
            <c:strRef>
              <c:f>Courbes!$B$134</c:f>
              <c:strCache>
                <c:ptCount val="1"/>
                <c:pt idx="0">
                  <c:v>Poussée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5.0999999999999375</c:v>
                </c:pt>
                <c:pt idx="502">
                  <c:v>5.1999999999999371</c:v>
                </c:pt>
                <c:pt idx="503">
                  <c:v>5.2999999999999368</c:v>
                </c:pt>
                <c:pt idx="504">
                  <c:v>5.3999999999999364</c:v>
                </c:pt>
                <c:pt idx="505">
                  <c:v>5.4999999999999361</c:v>
                </c:pt>
                <c:pt idx="506">
                  <c:v>5.5999999999999357</c:v>
                </c:pt>
                <c:pt idx="507">
                  <c:v>5.6999999999999353</c:v>
                </c:pt>
                <c:pt idx="508">
                  <c:v>5.799999999999935</c:v>
                </c:pt>
                <c:pt idx="509">
                  <c:v>5.8999999999999346</c:v>
                </c:pt>
                <c:pt idx="510">
                  <c:v>5.9999999999999343</c:v>
                </c:pt>
                <c:pt idx="511">
                  <c:v>6.0999999999999339</c:v>
                </c:pt>
                <c:pt idx="512">
                  <c:v>6.1999999999999336</c:v>
                </c:pt>
                <c:pt idx="513">
                  <c:v>6.2999999999999332</c:v>
                </c:pt>
                <c:pt idx="514">
                  <c:v>6.3999999999999329</c:v>
                </c:pt>
                <c:pt idx="515">
                  <c:v>6.4999999999999325</c:v>
                </c:pt>
                <c:pt idx="516">
                  <c:v>6.5999999999999321</c:v>
                </c:pt>
                <c:pt idx="517">
                  <c:v>6.6999999999999318</c:v>
                </c:pt>
                <c:pt idx="518">
                  <c:v>6.7999999999999314</c:v>
                </c:pt>
                <c:pt idx="519">
                  <c:v>6.8999999999999311</c:v>
                </c:pt>
                <c:pt idx="520">
                  <c:v>6.9999999999999307</c:v>
                </c:pt>
                <c:pt idx="521">
                  <c:v>7.0999999999999304</c:v>
                </c:pt>
                <c:pt idx="522">
                  <c:v>7.19999999999993</c:v>
                </c:pt>
                <c:pt idx="523">
                  <c:v>7.2999999999999297</c:v>
                </c:pt>
                <c:pt idx="524">
                  <c:v>7.3999999999999293</c:v>
                </c:pt>
                <c:pt idx="525">
                  <c:v>7.4999999999999289</c:v>
                </c:pt>
                <c:pt idx="526">
                  <c:v>7.5999999999999286</c:v>
                </c:pt>
                <c:pt idx="527">
                  <c:v>7.6999999999999282</c:v>
                </c:pt>
                <c:pt idx="528">
                  <c:v>7.7999999999999279</c:v>
                </c:pt>
                <c:pt idx="529">
                  <c:v>7.8999999999999275</c:v>
                </c:pt>
                <c:pt idx="530">
                  <c:v>7.9999999999999272</c:v>
                </c:pt>
                <c:pt idx="531">
                  <c:v>8.0999999999999268</c:v>
                </c:pt>
                <c:pt idx="532">
                  <c:v>8.1999999999999265</c:v>
                </c:pt>
                <c:pt idx="533">
                  <c:v>8.2999999999999261</c:v>
                </c:pt>
                <c:pt idx="534">
                  <c:v>8.3999999999999257</c:v>
                </c:pt>
                <c:pt idx="535">
                  <c:v>8.4999999999999254</c:v>
                </c:pt>
                <c:pt idx="536">
                  <c:v>8.599999999999925</c:v>
                </c:pt>
                <c:pt idx="537">
                  <c:v>8.6999999999999247</c:v>
                </c:pt>
                <c:pt idx="538">
                  <c:v>8.7999999999999243</c:v>
                </c:pt>
                <c:pt idx="539">
                  <c:v>8.899999999999924</c:v>
                </c:pt>
                <c:pt idx="540">
                  <c:v>8.9999999999999236</c:v>
                </c:pt>
                <c:pt idx="541">
                  <c:v>9.0999999999999233</c:v>
                </c:pt>
                <c:pt idx="542">
                  <c:v>9.1999999999999229</c:v>
                </c:pt>
                <c:pt idx="543">
                  <c:v>9.2999999999999226</c:v>
                </c:pt>
                <c:pt idx="544">
                  <c:v>9.3999999999999222</c:v>
                </c:pt>
                <c:pt idx="545">
                  <c:v>9.4999999999999218</c:v>
                </c:pt>
                <c:pt idx="546">
                  <c:v>9.5999999999999215</c:v>
                </c:pt>
                <c:pt idx="547">
                  <c:v>9.6999999999999211</c:v>
                </c:pt>
                <c:pt idx="548">
                  <c:v>9.7999999999999208</c:v>
                </c:pt>
                <c:pt idx="549">
                  <c:v>9.8999999999999204</c:v>
                </c:pt>
                <c:pt idx="550">
                  <c:v>9.9999999999999201</c:v>
                </c:pt>
                <c:pt idx="551">
                  <c:v>10.09999999999992</c:v>
                </c:pt>
                <c:pt idx="552">
                  <c:v>10.199999999999919</c:v>
                </c:pt>
                <c:pt idx="553">
                  <c:v>10.299999999999919</c:v>
                </c:pt>
                <c:pt idx="554">
                  <c:v>10.399999999999919</c:v>
                </c:pt>
                <c:pt idx="555">
                  <c:v>10.499999999999918</c:v>
                </c:pt>
                <c:pt idx="556">
                  <c:v>10.599999999999918</c:v>
                </c:pt>
                <c:pt idx="557">
                  <c:v>10.699999999999918</c:v>
                </c:pt>
                <c:pt idx="558">
                  <c:v>10.799999999999917</c:v>
                </c:pt>
                <c:pt idx="559">
                  <c:v>10.899999999999917</c:v>
                </c:pt>
                <c:pt idx="560">
                  <c:v>10.999999999999917</c:v>
                </c:pt>
                <c:pt idx="561">
                  <c:v>11.099999999999916</c:v>
                </c:pt>
                <c:pt idx="562">
                  <c:v>11.199999999999916</c:v>
                </c:pt>
                <c:pt idx="563">
                  <c:v>11.299999999999915</c:v>
                </c:pt>
                <c:pt idx="564">
                  <c:v>11.399999999999915</c:v>
                </c:pt>
                <c:pt idx="565">
                  <c:v>11.499999999999915</c:v>
                </c:pt>
                <c:pt idx="566">
                  <c:v>11.599999999999914</c:v>
                </c:pt>
                <c:pt idx="567">
                  <c:v>11.699999999999914</c:v>
                </c:pt>
                <c:pt idx="568">
                  <c:v>11.799999999999914</c:v>
                </c:pt>
                <c:pt idx="569">
                  <c:v>11.899999999999913</c:v>
                </c:pt>
                <c:pt idx="570">
                  <c:v>11.999999999999913</c:v>
                </c:pt>
                <c:pt idx="571">
                  <c:v>12.099999999999913</c:v>
                </c:pt>
                <c:pt idx="572">
                  <c:v>12.199999999999912</c:v>
                </c:pt>
                <c:pt idx="573">
                  <c:v>12.299999999999912</c:v>
                </c:pt>
                <c:pt idx="574">
                  <c:v>12.399999999999912</c:v>
                </c:pt>
                <c:pt idx="575">
                  <c:v>12.499999999999911</c:v>
                </c:pt>
                <c:pt idx="576">
                  <c:v>12.599999999999911</c:v>
                </c:pt>
                <c:pt idx="577">
                  <c:v>12.69999999999991</c:v>
                </c:pt>
                <c:pt idx="578">
                  <c:v>12.79999999999991</c:v>
                </c:pt>
                <c:pt idx="579">
                  <c:v>12.89999999999991</c:v>
                </c:pt>
                <c:pt idx="580">
                  <c:v>12.999999999999909</c:v>
                </c:pt>
                <c:pt idx="581">
                  <c:v>13.099999999999909</c:v>
                </c:pt>
                <c:pt idx="582">
                  <c:v>13.199999999999909</c:v>
                </c:pt>
                <c:pt idx="583">
                  <c:v>13.299999999999908</c:v>
                </c:pt>
                <c:pt idx="584">
                  <c:v>13.399999999999908</c:v>
                </c:pt>
                <c:pt idx="585">
                  <c:v>13.499999999999908</c:v>
                </c:pt>
                <c:pt idx="586">
                  <c:v>13.599999999999907</c:v>
                </c:pt>
                <c:pt idx="587">
                  <c:v>13.699999999999907</c:v>
                </c:pt>
                <c:pt idx="588">
                  <c:v>13.799999999999907</c:v>
                </c:pt>
                <c:pt idx="589">
                  <c:v>13.899999999999906</c:v>
                </c:pt>
                <c:pt idx="590">
                  <c:v>13.999999999999906</c:v>
                </c:pt>
                <c:pt idx="591">
                  <c:v>14.099999999999905</c:v>
                </c:pt>
                <c:pt idx="592">
                  <c:v>14.199999999999905</c:v>
                </c:pt>
                <c:pt idx="593">
                  <c:v>14.299999999999905</c:v>
                </c:pt>
                <c:pt idx="594">
                  <c:v>14.399999999999904</c:v>
                </c:pt>
                <c:pt idx="595">
                  <c:v>14.499999999999904</c:v>
                </c:pt>
                <c:pt idx="596">
                  <c:v>14.599999999999904</c:v>
                </c:pt>
                <c:pt idx="597">
                  <c:v>14.699999999999903</c:v>
                </c:pt>
                <c:pt idx="598">
                  <c:v>14.799999999999903</c:v>
                </c:pt>
                <c:pt idx="599">
                  <c:v>14.899999999999903</c:v>
                </c:pt>
                <c:pt idx="600">
                  <c:v>14.999999999999902</c:v>
                </c:pt>
                <c:pt idx="601">
                  <c:v>15.099999999999902</c:v>
                </c:pt>
                <c:pt idx="602">
                  <c:v>15.199999999999902</c:v>
                </c:pt>
                <c:pt idx="603">
                  <c:v>15.299999999999901</c:v>
                </c:pt>
                <c:pt idx="604">
                  <c:v>15.399999999999901</c:v>
                </c:pt>
                <c:pt idx="605">
                  <c:v>15.499999999999901</c:v>
                </c:pt>
                <c:pt idx="606">
                  <c:v>15.5999999999999</c:v>
                </c:pt>
                <c:pt idx="607">
                  <c:v>15.6999999999999</c:v>
                </c:pt>
                <c:pt idx="608">
                  <c:v>15.799999999999899</c:v>
                </c:pt>
                <c:pt idx="609">
                  <c:v>15.899999999999899</c:v>
                </c:pt>
                <c:pt idx="610">
                  <c:v>15.999999999999899</c:v>
                </c:pt>
                <c:pt idx="611">
                  <c:v>16.099999999999898</c:v>
                </c:pt>
                <c:pt idx="612">
                  <c:v>16.1999999999999</c:v>
                </c:pt>
                <c:pt idx="613">
                  <c:v>16.299999999999901</c:v>
                </c:pt>
                <c:pt idx="614">
                  <c:v>16.399999999999903</c:v>
                </c:pt>
                <c:pt idx="615">
                  <c:v>16.499999999999904</c:v>
                </c:pt>
                <c:pt idx="616">
                  <c:v>16.599999999999905</c:v>
                </c:pt>
                <c:pt idx="617">
                  <c:v>16.699999999999907</c:v>
                </c:pt>
                <c:pt idx="618">
                  <c:v>16.799999999999908</c:v>
                </c:pt>
                <c:pt idx="619">
                  <c:v>16.89999999999991</c:v>
                </c:pt>
                <c:pt idx="620">
                  <c:v>16.999999999999911</c:v>
                </c:pt>
                <c:pt idx="621">
                  <c:v>17.099999999999913</c:v>
                </c:pt>
                <c:pt idx="622">
                  <c:v>17.199999999999914</c:v>
                </c:pt>
                <c:pt idx="623">
                  <c:v>17.299999999999915</c:v>
                </c:pt>
                <c:pt idx="624">
                  <c:v>17.399999999999917</c:v>
                </c:pt>
                <c:pt idx="625">
                  <c:v>17.499999999999918</c:v>
                </c:pt>
                <c:pt idx="626">
                  <c:v>17.59999999999992</c:v>
                </c:pt>
                <c:pt idx="627">
                  <c:v>17.699999999999921</c:v>
                </c:pt>
                <c:pt idx="628">
                  <c:v>17.799999999999923</c:v>
                </c:pt>
                <c:pt idx="629">
                  <c:v>17.899999999999924</c:v>
                </c:pt>
                <c:pt idx="630">
                  <c:v>17.999999999999925</c:v>
                </c:pt>
                <c:pt idx="631">
                  <c:v>18.099999999999927</c:v>
                </c:pt>
                <c:pt idx="632">
                  <c:v>18.199999999999928</c:v>
                </c:pt>
                <c:pt idx="633">
                  <c:v>18.29999999999993</c:v>
                </c:pt>
                <c:pt idx="634">
                  <c:v>18.399999999999931</c:v>
                </c:pt>
                <c:pt idx="635">
                  <c:v>18.499999999999932</c:v>
                </c:pt>
                <c:pt idx="636">
                  <c:v>18.599999999999934</c:v>
                </c:pt>
                <c:pt idx="637">
                  <c:v>18.699999999999935</c:v>
                </c:pt>
                <c:pt idx="638">
                  <c:v>18.799999999999937</c:v>
                </c:pt>
                <c:pt idx="639">
                  <c:v>18.899999999999938</c:v>
                </c:pt>
                <c:pt idx="640">
                  <c:v>18.99999999999994</c:v>
                </c:pt>
                <c:pt idx="641">
                  <c:v>19.099999999999941</c:v>
                </c:pt>
                <c:pt idx="642">
                  <c:v>19.199999999999942</c:v>
                </c:pt>
                <c:pt idx="643">
                  <c:v>19.299999999999944</c:v>
                </c:pt>
                <c:pt idx="644">
                  <c:v>19.399999999999945</c:v>
                </c:pt>
                <c:pt idx="645">
                  <c:v>19.499999999999947</c:v>
                </c:pt>
                <c:pt idx="646">
                  <c:v>19.599999999999948</c:v>
                </c:pt>
                <c:pt idx="647">
                  <c:v>19.69999999999995</c:v>
                </c:pt>
                <c:pt idx="648">
                  <c:v>19.799999999999951</c:v>
                </c:pt>
                <c:pt idx="649">
                  <c:v>19.899999999999952</c:v>
                </c:pt>
                <c:pt idx="650">
                  <c:v>19.999999999999954</c:v>
                </c:pt>
                <c:pt idx="651">
                  <c:v>20.099999999999955</c:v>
                </c:pt>
                <c:pt idx="652">
                  <c:v>20.199999999999957</c:v>
                </c:pt>
                <c:pt idx="653">
                  <c:v>20.299999999999958</c:v>
                </c:pt>
                <c:pt idx="654">
                  <c:v>20.399999999999959</c:v>
                </c:pt>
                <c:pt idx="655">
                  <c:v>20.499999999999961</c:v>
                </c:pt>
                <c:pt idx="656">
                  <c:v>20.599999999999962</c:v>
                </c:pt>
                <c:pt idx="657">
                  <c:v>20.699999999999964</c:v>
                </c:pt>
                <c:pt idx="658">
                  <c:v>20.799999999999965</c:v>
                </c:pt>
                <c:pt idx="659">
                  <c:v>20.899999999999967</c:v>
                </c:pt>
                <c:pt idx="660">
                  <c:v>20.999999999999968</c:v>
                </c:pt>
                <c:pt idx="661">
                  <c:v>21.099999999999969</c:v>
                </c:pt>
                <c:pt idx="662">
                  <c:v>21.199999999999971</c:v>
                </c:pt>
                <c:pt idx="663">
                  <c:v>21.299999999999972</c:v>
                </c:pt>
                <c:pt idx="664">
                  <c:v>21.399999999999974</c:v>
                </c:pt>
                <c:pt idx="665">
                  <c:v>21.499999999999975</c:v>
                </c:pt>
                <c:pt idx="666">
                  <c:v>21.599999999999977</c:v>
                </c:pt>
                <c:pt idx="667">
                  <c:v>21.699999999999978</c:v>
                </c:pt>
                <c:pt idx="668">
                  <c:v>21.799999999999979</c:v>
                </c:pt>
                <c:pt idx="669">
                  <c:v>21.899999999999981</c:v>
                </c:pt>
                <c:pt idx="670">
                  <c:v>21.999999999999982</c:v>
                </c:pt>
                <c:pt idx="671">
                  <c:v>22.099999999999984</c:v>
                </c:pt>
                <c:pt idx="672">
                  <c:v>22.199999999999985</c:v>
                </c:pt>
                <c:pt idx="673">
                  <c:v>22.299999999999986</c:v>
                </c:pt>
                <c:pt idx="674">
                  <c:v>22.399999999999988</c:v>
                </c:pt>
                <c:pt idx="675">
                  <c:v>22.499999999999989</c:v>
                </c:pt>
                <c:pt idx="676">
                  <c:v>22.599999999999991</c:v>
                </c:pt>
                <c:pt idx="677">
                  <c:v>22.699999999999992</c:v>
                </c:pt>
                <c:pt idx="678">
                  <c:v>22.799999999999994</c:v>
                </c:pt>
                <c:pt idx="679">
                  <c:v>22.899999999999995</c:v>
                </c:pt>
                <c:pt idx="680">
                  <c:v>22.999999999999996</c:v>
                </c:pt>
                <c:pt idx="681">
                  <c:v>23.099999999999998</c:v>
                </c:pt>
                <c:pt idx="682">
                  <c:v>23.2</c:v>
                </c:pt>
                <c:pt idx="683">
                  <c:v>23.3</c:v>
                </c:pt>
                <c:pt idx="684">
                  <c:v>23.400000000000002</c:v>
                </c:pt>
                <c:pt idx="685">
                  <c:v>23.500000000000004</c:v>
                </c:pt>
                <c:pt idx="686">
                  <c:v>23.600000000000005</c:v>
                </c:pt>
                <c:pt idx="687">
                  <c:v>23.700000000000006</c:v>
                </c:pt>
                <c:pt idx="688">
                  <c:v>23.800000000000008</c:v>
                </c:pt>
                <c:pt idx="689">
                  <c:v>23.900000000000009</c:v>
                </c:pt>
                <c:pt idx="690">
                  <c:v>24.000000000000011</c:v>
                </c:pt>
                <c:pt idx="691">
                  <c:v>24.100000000000012</c:v>
                </c:pt>
                <c:pt idx="692">
                  <c:v>24.200000000000014</c:v>
                </c:pt>
                <c:pt idx="693">
                  <c:v>24.300000000000015</c:v>
                </c:pt>
                <c:pt idx="694">
                  <c:v>24.400000000000016</c:v>
                </c:pt>
                <c:pt idx="695">
                  <c:v>24.500000000000018</c:v>
                </c:pt>
                <c:pt idx="696">
                  <c:v>24.600000000000019</c:v>
                </c:pt>
                <c:pt idx="697">
                  <c:v>24.700000000000021</c:v>
                </c:pt>
                <c:pt idx="698">
                  <c:v>24.800000000000022</c:v>
                </c:pt>
                <c:pt idx="699">
                  <c:v>24.900000000000023</c:v>
                </c:pt>
                <c:pt idx="700">
                  <c:v>25.000000000000025</c:v>
                </c:pt>
                <c:pt idx="701">
                  <c:v>25.100000000000026</c:v>
                </c:pt>
                <c:pt idx="702">
                  <c:v>25.200000000000028</c:v>
                </c:pt>
                <c:pt idx="703">
                  <c:v>25.300000000000029</c:v>
                </c:pt>
                <c:pt idx="704">
                  <c:v>25.400000000000031</c:v>
                </c:pt>
                <c:pt idx="705">
                  <c:v>25.500000000000032</c:v>
                </c:pt>
                <c:pt idx="706">
                  <c:v>25.600000000000033</c:v>
                </c:pt>
                <c:pt idx="707">
                  <c:v>25.700000000000035</c:v>
                </c:pt>
                <c:pt idx="708">
                  <c:v>25.800000000000036</c:v>
                </c:pt>
                <c:pt idx="709">
                  <c:v>25.900000000000038</c:v>
                </c:pt>
                <c:pt idx="710">
                  <c:v>26.000000000000039</c:v>
                </c:pt>
                <c:pt idx="711">
                  <c:v>26.100000000000041</c:v>
                </c:pt>
                <c:pt idx="712">
                  <c:v>26.200000000000042</c:v>
                </c:pt>
                <c:pt idx="713">
                  <c:v>26.300000000000043</c:v>
                </c:pt>
                <c:pt idx="714">
                  <c:v>26.400000000000045</c:v>
                </c:pt>
                <c:pt idx="715">
                  <c:v>26.500000000000046</c:v>
                </c:pt>
                <c:pt idx="716">
                  <c:v>26.600000000000048</c:v>
                </c:pt>
                <c:pt idx="717">
                  <c:v>26.700000000000049</c:v>
                </c:pt>
                <c:pt idx="718">
                  <c:v>26.80000000000005</c:v>
                </c:pt>
                <c:pt idx="719">
                  <c:v>26.900000000000052</c:v>
                </c:pt>
                <c:pt idx="720">
                  <c:v>27.000000000000053</c:v>
                </c:pt>
                <c:pt idx="721">
                  <c:v>27.100000000000055</c:v>
                </c:pt>
                <c:pt idx="722">
                  <c:v>27.200000000000056</c:v>
                </c:pt>
                <c:pt idx="723">
                  <c:v>27.300000000000058</c:v>
                </c:pt>
                <c:pt idx="724">
                  <c:v>27.400000000000059</c:v>
                </c:pt>
                <c:pt idx="725">
                  <c:v>27.50000000000006</c:v>
                </c:pt>
                <c:pt idx="726">
                  <c:v>27.600000000000062</c:v>
                </c:pt>
                <c:pt idx="727">
                  <c:v>27.700000000000063</c:v>
                </c:pt>
                <c:pt idx="728">
                  <c:v>27.800000000000065</c:v>
                </c:pt>
                <c:pt idx="729">
                  <c:v>27.900000000000066</c:v>
                </c:pt>
                <c:pt idx="730">
                  <c:v>28.000000000000068</c:v>
                </c:pt>
                <c:pt idx="731">
                  <c:v>28.100000000000069</c:v>
                </c:pt>
                <c:pt idx="732">
                  <c:v>28.20000000000007</c:v>
                </c:pt>
                <c:pt idx="733">
                  <c:v>28.300000000000072</c:v>
                </c:pt>
                <c:pt idx="734">
                  <c:v>28.400000000000073</c:v>
                </c:pt>
                <c:pt idx="735">
                  <c:v>28.500000000000075</c:v>
                </c:pt>
                <c:pt idx="736">
                  <c:v>28.600000000000076</c:v>
                </c:pt>
                <c:pt idx="737">
                  <c:v>28.700000000000077</c:v>
                </c:pt>
                <c:pt idx="738">
                  <c:v>28.800000000000079</c:v>
                </c:pt>
                <c:pt idx="739">
                  <c:v>28.90000000000008</c:v>
                </c:pt>
                <c:pt idx="740">
                  <c:v>29.000000000000082</c:v>
                </c:pt>
                <c:pt idx="741">
                  <c:v>29.100000000000083</c:v>
                </c:pt>
                <c:pt idx="742">
                  <c:v>29.200000000000085</c:v>
                </c:pt>
                <c:pt idx="743">
                  <c:v>29.300000000000086</c:v>
                </c:pt>
                <c:pt idx="744">
                  <c:v>29.400000000000087</c:v>
                </c:pt>
                <c:pt idx="745">
                  <c:v>29.500000000000089</c:v>
                </c:pt>
                <c:pt idx="746">
                  <c:v>29.60000000000009</c:v>
                </c:pt>
                <c:pt idx="747">
                  <c:v>29.700000000000092</c:v>
                </c:pt>
                <c:pt idx="748">
                  <c:v>29.800000000000093</c:v>
                </c:pt>
                <c:pt idx="749">
                  <c:v>29.900000000000095</c:v>
                </c:pt>
                <c:pt idx="750">
                  <c:v>30.000000000000096</c:v>
                </c:pt>
                <c:pt idx="751">
                  <c:v>30.100000000000097</c:v>
                </c:pt>
                <c:pt idx="752">
                  <c:v>30.200000000000099</c:v>
                </c:pt>
                <c:pt idx="753">
                  <c:v>30.3000000000001</c:v>
                </c:pt>
                <c:pt idx="754">
                  <c:v>30.400000000000102</c:v>
                </c:pt>
                <c:pt idx="755">
                  <c:v>30.500000000000103</c:v>
                </c:pt>
                <c:pt idx="756">
                  <c:v>30.600000000000104</c:v>
                </c:pt>
                <c:pt idx="757">
                  <c:v>30.700000000000106</c:v>
                </c:pt>
                <c:pt idx="758">
                  <c:v>30.800000000000107</c:v>
                </c:pt>
                <c:pt idx="759">
                  <c:v>30.900000000000109</c:v>
                </c:pt>
                <c:pt idx="760">
                  <c:v>31.00000000000011</c:v>
                </c:pt>
                <c:pt idx="761">
                  <c:v>31.100000000000112</c:v>
                </c:pt>
                <c:pt idx="762">
                  <c:v>31.200000000000113</c:v>
                </c:pt>
                <c:pt idx="763">
                  <c:v>31.300000000000114</c:v>
                </c:pt>
                <c:pt idx="764">
                  <c:v>31.400000000000116</c:v>
                </c:pt>
                <c:pt idx="765">
                  <c:v>31.500000000000117</c:v>
                </c:pt>
                <c:pt idx="766">
                  <c:v>31.600000000000119</c:v>
                </c:pt>
                <c:pt idx="767">
                  <c:v>31.70000000000012</c:v>
                </c:pt>
                <c:pt idx="768">
                  <c:v>31.800000000000122</c:v>
                </c:pt>
                <c:pt idx="769">
                  <c:v>31.900000000000123</c:v>
                </c:pt>
                <c:pt idx="770">
                  <c:v>32.000000000000121</c:v>
                </c:pt>
                <c:pt idx="771">
                  <c:v>32.100000000000122</c:v>
                </c:pt>
                <c:pt idx="772">
                  <c:v>32.200000000000124</c:v>
                </c:pt>
                <c:pt idx="773">
                  <c:v>32.300000000000125</c:v>
                </c:pt>
                <c:pt idx="774">
                  <c:v>32.400000000000126</c:v>
                </c:pt>
                <c:pt idx="775">
                  <c:v>32.500000000000128</c:v>
                </c:pt>
                <c:pt idx="776">
                  <c:v>32.600000000000129</c:v>
                </c:pt>
                <c:pt idx="777">
                  <c:v>32.700000000000131</c:v>
                </c:pt>
                <c:pt idx="778">
                  <c:v>32.800000000000132</c:v>
                </c:pt>
                <c:pt idx="779">
                  <c:v>32.900000000000134</c:v>
                </c:pt>
                <c:pt idx="780">
                  <c:v>33.000000000000135</c:v>
                </c:pt>
                <c:pt idx="781">
                  <c:v>33.100000000000136</c:v>
                </c:pt>
                <c:pt idx="782">
                  <c:v>33.200000000000138</c:v>
                </c:pt>
                <c:pt idx="783">
                  <c:v>33.300000000000139</c:v>
                </c:pt>
                <c:pt idx="784">
                  <c:v>33.400000000000141</c:v>
                </c:pt>
                <c:pt idx="785">
                  <c:v>33.500000000000142</c:v>
                </c:pt>
                <c:pt idx="786">
                  <c:v>33.600000000000144</c:v>
                </c:pt>
                <c:pt idx="787">
                  <c:v>33.700000000000145</c:v>
                </c:pt>
                <c:pt idx="788">
                  <c:v>33.800000000000146</c:v>
                </c:pt>
                <c:pt idx="789">
                  <c:v>33.900000000000148</c:v>
                </c:pt>
                <c:pt idx="790">
                  <c:v>34.000000000000149</c:v>
                </c:pt>
                <c:pt idx="791">
                  <c:v>34.100000000000151</c:v>
                </c:pt>
                <c:pt idx="792">
                  <c:v>34.200000000000152</c:v>
                </c:pt>
                <c:pt idx="793">
                  <c:v>34.300000000000153</c:v>
                </c:pt>
                <c:pt idx="794">
                  <c:v>34.400000000000155</c:v>
                </c:pt>
                <c:pt idx="795">
                  <c:v>34.500000000000156</c:v>
                </c:pt>
                <c:pt idx="796">
                  <c:v>34.600000000000158</c:v>
                </c:pt>
                <c:pt idx="797">
                  <c:v>34.700000000000159</c:v>
                </c:pt>
                <c:pt idx="798">
                  <c:v>34.800000000000161</c:v>
                </c:pt>
                <c:pt idx="799">
                  <c:v>34.900000000000162</c:v>
                </c:pt>
                <c:pt idx="800">
                  <c:v>35.000000000000163</c:v>
                </c:pt>
                <c:pt idx="801">
                  <c:v>35.100000000000165</c:v>
                </c:pt>
                <c:pt idx="802">
                  <c:v>35.200000000000166</c:v>
                </c:pt>
                <c:pt idx="803">
                  <c:v>35.300000000000168</c:v>
                </c:pt>
                <c:pt idx="804">
                  <c:v>35.400000000000169</c:v>
                </c:pt>
                <c:pt idx="805">
                  <c:v>35.500000000000171</c:v>
                </c:pt>
                <c:pt idx="806">
                  <c:v>35.600000000000172</c:v>
                </c:pt>
                <c:pt idx="807">
                  <c:v>35.700000000000173</c:v>
                </c:pt>
                <c:pt idx="808">
                  <c:v>35.800000000000175</c:v>
                </c:pt>
                <c:pt idx="809">
                  <c:v>35.900000000000176</c:v>
                </c:pt>
                <c:pt idx="810">
                  <c:v>36.000000000000178</c:v>
                </c:pt>
                <c:pt idx="811">
                  <c:v>36.100000000000179</c:v>
                </c:pt>
                <c:pt idx="812">
                  <c:v>36.20000000000018</c:v>
                </c:pt>
                <c:pt idx="813">
                  <c:v>36.300000000000182</c:v>
                </c:pt>
                <c:pt idx="814">
                  <c:v>36.400000000000183</c:v>
                </c:pt>
                <c:pt idx="815">
                  <c:v>36.500000000000185</c:v>
                </c:pt>
                <c:pt idx="816">
                  <c:v>36.600000000000186</c:v>
                </c:pt>
                <c:pt idx="817">
                  <c:v>36.700000000000188</c:v>
                </c:pt>
                <c:pt idx="818">
                  <c:v>36.800000000000189</c:v>
                </c:pt>
                <c:pt idx="819">
                  <c:v>36.90000000000019</c:v>
                </c:pt>
                <c:pt idx="820">
                  <c:v>37.000000000000192</c:v>
                </c:pt>
                <c:pt idx="821">
                  <c:v>37.100000000000193</c:v>
                </c:pt>
                <c:pt idx="822">
                  <c:v>37.200000000000195</c:v>
                </c:pt>
                <c:pt idx="823">
                  <c:v>37.300000000000196</c:v>
                </c:pt>
                <c:pt idx="824">
                  <c:v>37.400000000000198</c:v>
                </c:pt>
                <c:pt idx="825">
                  <c:v>37.500000000000199</c:v>
                </c:pt>
                <c:pt idx="826">
                  <c:v>37.6000000000002</c:v>
                </c:pt>
                <c:pt idx="827">
                  <c:v>37.700000000000202</c:v>
                </c:pt>
                <c:pt idx="828">
                  <c:v>37.800000000000203</c:v>
                </c:pt>
                <c:pt idx="829">
                  <c:v>37.900000000000205</c:v>
                </c:pt>
                <c:pt idx="830">
                  <c:v>38.000000000000206</c:v>
                </c:pt>
                <c:pt idx="831">
                  <c:v>38.100000000000207</c:v>
                </c:pt>
                <c:pt idx="832">
                  <c:v>38.200000000000209</c:v>
                </c:pt>
                <c:pt idx="833">
                  <c:v>38.30000000000021</c:v>
                </c:pt>
                <c:pt idx="834">
                  <c:v>38.400000000000212</c:v>
                </c:pt>
                <c:pt idx="835">
                  <c:v>38.500000000000213</c:v>
                </c:pt>
                <c:pt idx="836">
                  <c:v>38.600000000000215</c:v>
                </c:pt>
                <c:pt idx="837">
                  <c:v>38.700000000000216</c:v>
                </c:pt>
                <c:pt idx="838">
                  <c:v>38.800000000000217</c:v>
                </c:pt>
                <c:pt idx="839">
                  <c:v>38.900000000000219</c:v>
                </c:pt>
                <c:pt idx="840">
                  <c:v>39.00000000000022</c:v>
                </c:pt>
                <c:pt idx="841">
                  <c:v>39.100000000000222</c:v>
                </c:pt>
                <c:pt idx="842">
                  <c:v>39.200000000000223</c:v>
                </c:pt>
                <c:pt idx="843">
                  <c:v>39.300000000000225</c:v>
                </c:pt>
                <c:pt idx="844">
                  <c:v>39.400000000000226</c:v>
                </c:pt>
                <c:pt idx="845">
                  <c:v>39.500000000000227</c:v>
                </c:pt>
                <c:pt idx="846">
                  <c:v>39.600000000000229</c:v>
                </c:pt>
                <c:pt idx="847">
                  <c:v>39.70000000000023</c:v>
                </c:pt>
                <c:pt idx="848">
                  <c:v>39.800000000000232</c:v>
                </c:pt>
                <c:pt idx="849">
                  <c:v>39.900000000000233</c:v>
                </c:pt>
                <c:pt idx="850">
                  <c:v>40.000000000000234</c:v>
                </c:pt>
                <c:pt idx="851">
                  <c:v>40.100000000000236</c:v>
                </c:pt>
                <c:pt idx="852">
                  <c:v>40.200000000000237</c:v>
                </c:pt>
                <c:pt idx="853">
                  <c:v>40.300000000000239</c:v>
                </c:pt>
                <c:pt idx="854">
                  <c:v>40.40000000000024</c:v>
                </c:pt>
                <c:pt idx="855">
                  <c:v>40.500000000000242</c:v>
                </c:pt>
                <c:pt idx="856">
                  <c:v>40.600000000000243</c:v>
                </c:pt>
                <c:pt idx="857">
                  <c:v>40.700000000000244</c:v>
                </c:pt>
                <c:pt idx="858">
                  <c:v>40.800000000000246</c:v>
                </c:pt>
                <c:pt idx="859">
                  <c:v>40.900000000000247</c:v>
                </c:pt>
                <c:pt idx="860">
                  <c:v>41.000000000000249</c:v>
                </c:pt>
                <c:pt idx="861">
                  <c:v>41.10000000000025</c:v>
                </c:pt>
                <c:pt idx="862">
                  <c:v>41.200000000000252</c:v>
                </c:pt>
                <c:pt idx="863">
                  <c:v>41.300000000000253</c:v>
                </c:pt>
                <c:pt idx="864">
                  <c:v>41.400000000000254</c:v>
                </c:pt>
                <c:pt idx="865">
                  <c:v>41.500000000000256</c:v>
                </c:pt>
                <c:pt idx="866">
                  <c:v>41.600000000000257</c:v>
                </c:pt>
                <c:pt idx="867">
                  <c:v>41.700000000000259</c:v>
                </c:pt>
                <c:pt idx="868">
                  <c:v>41.80000000000026</c:v>
                </c:pt>
                <c:pt idx="869">
                  <c:v>41.900000000000261</c:v>
                </c:pt>
                <c:pt idx="870">
                  <c:v>42.000000000000263</c:v>
                </c:pt>
                <c:pt idx="871">
                  <c:v>42.100000000000264</c:v>
                </c:pt>
                <c:pt idx="872">
                  <c:v>42.200000000000266</c:v>
                </c:pt>
                <c:pt idx="873">
                  <c:v>42.300000000000267</c:v>
                </c:pt>
                <c:pt idx="874">
                  <c:v>42.400000000000269</c:v>
                </c:pt>
                <c:pt idx="875">
                  <c:v>42.50000000000027</c:v>
                </c:pt>
                <c:pt idx="876">
                  <c:v>42.600000000000271</c:v>
                </c:pt>
                <c:pt idx="877">
                  <c:v>42.700000000000273</c:v>
                </c:pt>
                <c:pt idx="878">
                  <c:v>42.800000000000274</c:v>
                </c:pt>
                <c:pt idx="879">
                  <c:v>42.900000000000276</c:v>
                </c:pt>
                <c:pt idx="880">
                  <c:v>43.000000000000277</c:v>
                </c:pt>
                <c:pt idx="881">
                  <c:v>43.100000000000279</c:v>
                </c:pt>
                <c:pt idx="882">
                  <c:v>43.20000000000028</c:v>
                </c:pt>
                <c:pt idx="883">
                  <c:v>43.300000000000281</c:v>
                </c:pt>
                <c:pt idx="884">
                  <c:v>43.400000000000283</c:v>
                </c:pt>
                <c:pt idx="885">
                  <c:v>43.500000000000284</c:v>
                </c:pt>
                <c:pt idx="886">
                  <c:v>43.600000000000286</c:v>
                </c:pt>
                <c:pt idx="887">
                  <c:v>43.700000000000287</c:v>
                </c:pt>
                <c:pt idx="888">
                  <c:v>43.800000000000288</c:v>
                </c:pt>
                <c:pt idx="889">
                  <c:v>43.90000000000029</c:v>
                </c:pt>
                <c:pt idx="890">
                  <c:v>44.000000000000291</c:v>
                </c:pt>
                <c:pt idx="891">
                  <c:v>44.100000000000293</c:v>
                </c:pt>
                <c:pt idx="892">
                  <c:v>44.200000000000294</c:v>
                </c:pt>
                <c:pt idx="893">
                  <c:v>44.300000000000296</c:v>
                </c:pt>
                <c:pt idx="894">
                  <c:v>44.400000000000297</c:v>
                </c:pt>
                <c:pt idx="895">
                  <c:v>44.500000000000298</c:v>
                </c:pt>
                <c:pt idx="896">
                  <c:v>44.6000000000003</c:v>
                </c:pt>
                <c:pt idx="897">
                  <c:v>44.700000000000301</c:v>
                </c:pt>
                <c:pt idx="898">
                  <c:v>44.800000000000303</c:v>
                </c:pt>
                <c:pt idx="899">
                  <c:v>44.900000000000304</c:v>
                </c:pt>
                <c:pt idx="900">
                  <c:v>45.000000000000306</c:v>
                </c:pt>
                <c:pt idx="901">
                  <c:v>45.100000000000307</c:v>
                </c:pt>
                <c:pt idx="902">
                  <c:v>45.200000000000308</c:v>
                </c:pt>
                <c:pt idx="903">
                  <c:v>45.30000000000031</c:v>
                </c:pt>
                <c:pt idx="904">
                  <c:v>45.400000000000311</c:v>
                </c:pt>
                <c:pt idx="905">
                  <c:v>45.500000000000313</c:v>
                </c:pt>
                <c:pt idx="906">
                  <c:v>45.600000000000314</c:v>
                </c:pt>
                <c:pt idx="907">
                  <c:v>45.700000000000315</c:v>
                </c:pt>
                <c:pt idx="908">
                  <c:v>45.800000000000317</c:v>
                </c:pt>
                <c:pt idx="909">
                  <c:v>45.900000000000318</c:v>
                </c:pt>
                <c:pt idx="910">
                  <c:v>46.00000000000032</c:v>
                </c:pt>
                <c:pt idx="911">
                  <c:v>46.100000000000321</c:v>
                </c:pt>
                <c:pt idx="912">
                  <c:v>46.200000000000323</c:v>
                </c:pt>
                <c:pt idx="913">
                  <c:v>46.300000000000324</c:v>
                </c:pt>
                <c:pt idx="914">
                  <c:v>46.400000000000325</c:v>
                </c:pt>
                <c:pt idx="915">
                  <c:v>46.500000000000327</c:v>
                </c:pt>
                <c:pt idx="916">
                  <c:v>46.600000000000328</c:v>
                </c:pt>
                <c:pt idx="917">
                  <c:v>46.70000000000033</c:v>
                </c:pt>
                <c:pt idx="918">
                  <c:v>46.800000000000331</c:v>
                </c:pt>
                <c:pt idx="919">
                  <c:v>46.900000000000333</c:v>
                </c:pt>
                <c:pt idx="920">
                  <c:v>47.000000000000334</c:v>
                </c:pt>
                <c:pt idx="921">
                  <c:v>47.100000000000335</c:v>
                </c:pt>
                <c:pt idx="922">
                  <c:v>47.200000000000337</c:v>
                </c:pt>
                <c:pt idx="923">
                  <c:v>47.300000000000338</c:v>
                </c:pt>
                <c:pt idx="924">
                  <c:v>47.40000000000034</c:v>
                </c:pt>
                <c:pt idx="925">
                  <c:v>47.500000000000341</c:v>
                </c:pt>
                <c:pt idx="926">
                  <c:v>47.600000000000342</c:v>
                </c:pt>
                <c:pt idx="927">
                  <c:v>47.700000000000344</c:v>
                </c:pt>
                <c:pt idx="928">
                  <c:v>47.800000000000345</c:v>
                </c:pt>
                <c:pt idx="929">
                  <c:v>47.900000000000347</c:v>
                </c:pt>
                <c:pt idx="930">
                  <c:v>48.000000000000348</c:v>
                </c:pt>
                <c:pt idx="931">
                  <c:v>48.10000000000035</c:v>
                </c:pt>
                <c:pt idx="932">
                  <c:v>48.200000000000351</c:v>
                </c:pt>
                <c:pt idx="933">
                  <c:v>48.300000000000352</c:v>
                </c:pt>
                <c:pt idx="934">
                  <c:v>48.400000000000354</c:v>
                </c:pt>
                <c:pt idx="935">
                  <c:v>48.500000000000355</c:v>
                </c:pt>
                <c:pt idx="936">
                  <c:v>48.600000000000357</c:v>
                </c:pt>
                <c:pt idx="937">
                  <c:v>48.700000000000358</c:v>
                </c:pt>
                <c:pt idx="938">
                  <c:v>48.80000000000036</c:v>
                </c:pt>
                <c:pt idx="939">
                  <c:v>48.900000000000361</c:v>
                </c:pt>
                <c:pt idx="940">
                  <c:v>49.000000000000362</c:v>
                </c:pt>
                <c:pt idx="941">
                  <c:v>49.100000000000364</c:v>
                </c:pt>
                <c:pt idx="942">
                  <c:v>49.200000000000365</c:v>
                </c:pt>
                <c:pt idx="943">
                  <c:v>49.300000000000367</c:v>
                </c:pt>
                <c:pt idx="944">
                  <c:v>49.400000000000368</c:v>
                </c:pt>
                <c:pt idx="945">
                  <c:v>49.500000000000369</c:v>
                </c:pt>
                <c:pt idx="946">
                  <c:v>49.600000000000371</c:v>
                </c:pt>
                <c:pt idx="947">
                  <c:v>49.700000000000372</c:v>
                </c:pt>
                <c:pt idx="948">
                  <c:v>49.800000000000374</c:v>
                </c:pt>
                <c:pt idx="949">
                  <c:v>49.900000000000375</c:v>
                </c:pt>
                <c:pt idx="950">
                  <c:v>50.000000000000377</c:v>
                </c:pt>
                <c:pt idx="951">
                  <c:v>50.100000000000378</c:v>
                </c:pt>
                <c:pt idx="952">
                  <c:v>50.200000000000379</c:v>
                </c:pt>
                <c:pt idx="953">
                  <c:v>50.300000000000381</c:v>
                </c:pt>
                <c:pt idx="954">
                  <c:v>50.400000000000382</c:v>
                </c:pt>
                <c:pt idx="955">
                  <c:v>50.500000000000384</c:v>
                </c:pt>
                <c:pt idx="956">
                  <c:v>50.600000000000385</c:v>
                </c:pt>
                <c:pt idx="957">
                  <c:v>50.700000000000387</c:v>
                </c:pt>
                <c:pt idx="958">
                  <c:v>50.800000000000388</c:v>
                </c:pt>
                <c:pt idx="959">
                  <c:v>50.900000000000389</c:v>
                </c:pt>
                <c:pt idx="960">
                  <c:v>51.000000000000391</c:v>
                </c:pt>
                <c:pt idx="961">
                  <c:v>51.100000000000392</c:v>
                </c:pt>
                <c:pt idx="962">
                  <c:v>51.200000000000394</c:v>
                </c:pt>
                <c:pt idx="963">
                  <c:v>51.300000000000395</c:v>
                </c:pt>
                <c:pt idx="964">
                  <c:v>51.400000000000396</c:v>
                </c:pt>
                <c:pt idx="965">
                  <c:v>51.500000000000398</c:v>
                </c:pt>
                <c:pt idx="966">
                  <c:v>51.600000000000399</c:v>
                </c:pt>
                <c:pt idx="967">
                  <c:v>51.700000000000401</c:v>
                </c:pt>
                <c:pt idx="968">
                  <c:v>51.800000000000402</c:v>
                </c:pt>
                <c:pt idx="969">
                  <c:v>51.900000000000404</c:v>
                </c:pt>
                <c:pt idx="970">
                  <c:v>52.000000000000405</c:v>
                </c:pt>
                <c:pt idx="971">
                  <c:v>52.100000000000406</c:v>
                </c:pt>
                <c:pt idx="972">
                  <c:v>52.200000000000408</c:v>
                </c:pt>
                <c:pt idx="973">
                  <c:v>52.300000000000409</c:v>
                </c:pt>
                <c:pt idx="974">
                  <c:v>52.400000000000411</c:v>
                </c:pt>
                <c:pt idx="975">
                  <c:v>52.500000000000412</c:v>
                </c:pt>
                <c:pt idx="976">
                  <c:v>52.600000000000414</c:v>
                </c:pt>
                <c:pt idx="977">
                  <c:v>52.700000000000415</c:v>
                </c:pt>
                <c:pt idx="978">
                  <c:v>52.800000000000416</c:v>
                </c:pt>
                <c:pt idx="979">
                  <c:v>52.80010000000042</c:v>
                </c:pt>
                <c:pt idx="980">
                  <c:v>52.800200000000423</c:v>
                </c:pt>
                <c:pt idx="981">
                  <c:v>52.800300000000426</c:v>
                </c:pt>
                <c:pt idx="982">
                  <c:v>52.80040000000043</c:v>
                </c:pt>
                <c:pt idx="983">
                  <c:v>52.800500000000433</c:v>
                </c:pt>
                <c:pt idx="984">
                  <c:v>52.800600000000436</c:v>
                </c:pt>
                <c:pt idx="985">
                  <c:v>52.80070000000044</c:v>
                </c:pt>
                <c:pt idx="986">
                  <c:v>52.800800000000443</c:v>
                </c:pt>
                <c:pt idx="987">
                  <c:v>52.800900000000446</c:v>
                </c:pt>
                <c:pt idx="988">
                  <c:v>52.80100000000045</c:v>
                </c:pt>
                <c:pt idx="989">
                  <c:v>52.801100000000453</c:v>
                </c:pt>
                <c:pt idx="990">
                  <c:v>52.801200000000456</c:v>
                </c:pt>
                <c:pt idx="991">
                  <c:v>52.80130000000046</c:v>
                </c:pt>
                <c:pt idx="992">
                  <c:v>52.801400000000463</c:v>
                </c:pt>
                <c:pt idx="993">
                  <c:v>52.801500000000466</c:v>
                </c:pt>
                <c:pt idx="994">
                  <c:v>52.801600000000469</c:v>
                </c:pt>
                <c:pt idx="995">
                  <c:v>52.801700000000473</c:v>
                </c:pt>
                <c:pt idx="996">
                  <c:v>52.801800000000476</c:v>
                </c:pt>
                <c:pt idx="997">
                  <c:v>52.801900000000479</c:v>
                </c:pt>
                <c:pt idx="998">
                  <c:v>52.802000000000483</c:v>
                </c:pt>
                <c:pt idx="999">
                  <c:v>52.802100000000486</c:v>
                </c:pt>
                <c:pt idx="1000">
                  <c:v>52.802200000000489</c:v>
                </c:pt>
              </c:numCache>
            </c:numRef>
          </c:xVal>
          <c:yVal>
            <c:numRef>
              <c:f>Calculs!$Q$4:$Q$1004</c:f>
              <c:numCache>
                <c:formatCode>0.00</c:formatCode>
                <c:ptCount val="1001"/>
                <c:pt idx="0">
                  <c:v>0</c:v>
                </c:pt>
                <c:pt idx="1">
                  <c:v>214.70000000000002</c:v>
                </c:pt>
                <c:pt idx="2">
                  <c:v>451.48888888888888</c:v>
                </c:pt>
                <c:pt idx="3">
                  <c:v>549.66666666666663</c:v>
                </c:pt>
                <c:pt idx="4">
                  <c:v>647.84444444444443</c:v>
                </c:pt>
                <c:pt idx="5">
                  <c:v>746.02222222222224</c:v>
                </c:pt>
                <c:pt idx="6">
                  <c:v>844.2</c:v>
                </c:pt>
                <c:pt idx="7">
                  <c:v>942.37777777777774</c:v>
                </c:pt>
                <c:pt idx="8">
                  <c:v>1040.5555555555557</c:v>
                </c:pt>
                <c:pt idx="9">
                  <c:v>1138.7333333333331</c:v>
                </c:pt>
                <c:pt idx="10">
                  <c:v>1236.911111111111</c:v>
                </c:pt>
                <c:pt idx="11">
                  <c:v>1278.75</c:v>
                </c:pt>
                <c:pt idx="12">
                  <c:v>1264.25</c:v>
                </c:pt>
                <c:pt idx="13">
                  <c:v>1249.3214285714287</c:v>
                </c:pt>
                <c:pt idx="14">
                  <c:v>1233.9642857142858</c:v>
                </c:pt>
                <c:pt idx="15">
                  <c:v>1218.6071428571429</c:v>
                </c:pt>
                <c:pt idx="16">
                  <c:v>1203.25</c:v>
                </c:pt>
                <c:pt idx="17">
                  <c:v>1187.8928571428571</c:v>
                </c:pt>
                <c:pt idx="18">
                  <c:v>1172.5357142857142</c:v>
                </c:pt>
                <c:pt idx="19">
                  <c:v>1157.1785714285713</c:v>
                </c:pt>
                <c:pt idx="20">
                  <c:v>1141.8214285714284</c:v>
                </c:pt>
                <c:pt idx="21">
                  <c:v>1126.4642857142858</c:v>
                </c:pt>
                <c:pt idx="22">
                  <c:v>1111.1071428571427</c:v>
                </c:pt>
                <c:pt idx="23">
                  <c:v>1095.75</c:v>
                </c:pt>
                <c:pt idx="24">
                  <c:v>1080.3928571428571</c:v>
                </c:pt>
                <c:pt idx="25">
                  <c:v>1065.0357142857142</c:v>
                </c:pt>
                <c:pt idx="26">
                  <c:v>1049.6785714285713</c:v>
                </c:pt>
                <c:pt idx="27">
                  <c:v>1041.8333333333333</c:v>
                </c:pt>
                <c:pt idx="28">
                  <c:v>1041.5</c:v>
                </c:pt>
                <c:pt idx="29">
                  <c:v>1041.1666666666667</c:v>
                </c:pt>
                <c:pt idx="30">
                  <c:v>1040.8333333333333</c:v>
                </c:pt>
                <c:pt idx="31">
                  <c:v>1040.5</c:v>
                </c:pt>
                <c:pt idx="32">
                  <c:v>1040.1666666666667</c:v>
                </c:pt>
                <c:pt idx="33">
                  <c:v>1039.8333333333333</c:v>
                </c:pt>
                <c:pt idx="34">
                  <c:v>1039.5</c:v>
                </c:pt>
                <c:pt idx="35">
                  <c:v>1039.1666666666667</c:v>
                </c:pt>
                <c:pt idx="36">
                  <c:v>1038.8333333333333</c:v>
                </c:pt>
                <c:pt idx="37">
                  <c:v>1038.5</c:v>
                </c:pt>
                <c:pt idx="38">
                  <c:v>1038.1666666666667</c:v>
                </c:pt>
                <c:pt idx="39">
                  <c:v>1037.8333333333333</c:v>
                </c:pt>
                <c:pt idx="40">
                  <c:v>1037.5</c:v>
                </c:pt>
                <c:pt idx="41">
                  <c:v>1037.1666666666667</c:v>
                </c:pt>
                <c:pt idx="42">
                  <c:v>1036.8333333333333</c:v>
                </c:pt>
                <c:pt idx="43">
                  <c:v>1036.5</c:v>
                </c:pt>
                <c:pt idx="44">
                  <c:v>1036.1666666666667</c:v>
                </c:pt>
                <c:pt idx="45">
                  <c:v>1035.8333333333333</c:v>
                </c:pt>
                <c:pt idx="46">
                  <c:v>1035.5</c:v>
                </c:pt>
                <c:pt idx="47">
                  <c:v>1035.1666666666667</c:v>
                </c:pt>
                <c:pt idx="48">
                  <c:v>1034.8333333333333</c:v>
                </c:pt>
                <c:pt idx="49">
                  <c:v>1034.5</c:v>
                </c:pt>
                <c:pt idx="50">
                  <c:v>1034.1666666666667</c:v>
                </c:pt>
                <c:pt idx="51">
                  <c:v>1033.8333333333333</c:v>
                </c:pt>
                <c:pt idx="52">
                  <c:v>1033.5</c:v>
                </c:pt>
                <c:pt idx="53">
                  <c:v>1033.1666666666667</c:v>
                </c:pt>
                <c:pt idx="54">
                  <c:v>1032.8333333333333</c:v>
                </c:pt>
                <c:pt idx="55">
                  <c:v>1032.5</c:v>
                </c:pt>
                <c:pt idx="56">
                  <c:v>1032.1666666666667</c:v>
                </c:pt>
                <c:pt idx="57">
                  <c:v>1031.8333333333333</c:v>
                </c:pt>
                <c:pt idx="58">
                  <c:v>1031.5</c:v>
                </c:pt>
                <c:pt idx="59">
                  <c:v>1031.1666666666667</c:v>
                </c:pt>
                <c:pt idx="60">
                  <c:v>1030.8333333333333</c:v>
                </c:pt>
                <c:pt idx="61">
                  <c:v>1030.5</c:v>
                </c:pt>
                <c:pt idx="62">
                  <c:v>1030.1666666666667</c:v>
                </c:pt>
                <c:pt idx="63">
                  <c:v>1029.8333333333333</c:v>
                </c:pt>
                <c:pt idx="64">
                  <c:v>1029.5</c:v>
                </c:pt>
                <c:pt idx="65">
                  <c:v>1029.1666666666667</c:v>
                </c:pt>
                <c:pt idx="66">
                  <c:v>1028.8333333333333</c:v>
                </c:pt>
                <c:pt idx="67">
                  <c:v>1028.5</c:v>
                </c:pt>
                <c:pt idx="68">
                  <c:v>1028.1666666666667</c:v>
                </c:pt>
                <c:pt idx="69">
                  <c:v>1027.8333333333333</c:v>
                </c:pt>
                <c:pt idx="70">
                  <c:v>1027.5</c:v>
                </c:pt>
                <c:pt idx="71">
                  <c:v>1027.1666666666667</c:v>
                </c:pt>
                <c:pt idx="72">
                  <c:v>1026.7491228070176</c:v>
                </c:pt>
                <c:pt idx="73">
                  <c:v>1026.2473684210527</c:v>
                </c:pt>
                <c:pt idx="74">
                  <c:v>1025.7456140350878</c:v>
                </c:pt>
                <c:pt idx="75">
                  <c:v>1025.2438596491227</c:v>
                </c:pt>
                <c:pt idx="76">
                  <c:v>1024.7421052631578</c:v>
                </c:pt>
                <c:pt idx="77">
                  <c:v>1024.2403508771929</c:v>
                </c:pt>
                <c:pt idx="78">
                  <c:v>1023.738596491228</c:v>
                </c:pt>
                <c:pt idx="79">
                  <c:v>1023.2368421052631</c:v>
                </c:pt>
                <c:pt idx="80">
                  <c:v>1022.7350877192982</c:v>
                </c:pt>
                <c:pt idx="81">
                  <c:v>1022.2333333333333</c:v>
                </c:pt>
                <c:pt idx="82">
                  <c:v>1021.7315789473683</c:v>
                </c:pt>
                <c:pt idx="83">
                  <c:v>1021.2298245614035</c:v>
                </c:pt>
                <c:pt idx="84">
                  <c:v>1020.7280701754386</c:v>
                </c:pt>
                <c:pt idx="85">
                  <c:v>1020.2263157894737</c:v>
                </c:pt>
                <c:pt idx="86">
                  <c:v>1019.7245614035087</c:v>
                </c:pt>
                <c:pt idx="87">
                  <c:v>1019.2228070175438</c:v>
                </c:pt>
                <c:pt idx="88">
                  <c:v>1018.7210526315789</c:v>
                </c:pt>
                <c:pt idx="89">
                  <c:v>1018.219298245614</c:v>
                </c:pt>
                <c:pt idx="90">
                  <c:v>1017.7175438596491</c:v>
                </c:pt>
                <c:pt idx="91">
                  <c:v>1017.2157894736841</c:v>
                </c:pt>
                <c:pt idx="92">
                  <c:v>1016.7140350877193</c:v>
                </c:pt>
                <c:pt idx="93">
                  <c:v>1016.2122807017544</c:v>
                </c:pt>
                <c:pt idx="94">
                  <c:v>1015.7105263157895</c:v>
                </c:pt>
                <c:pt idx="95">
                  <c:v>1015.2087719298245</c:v>
                </c:pt>
                <c:pt idx="96">
                  <c:v>1014.7070175438596</c:v>
                </c:pt>
                <c:pt idx="97">
                  <c:v>1014.2052631578947</c:v>
                </c:pt>
                <c:pt idx="98">
                  <c:v>1013.7035087719298</c:v>
                </c:pt>
                <c:pt idx="99">
                  <c:v>1013.2017543859648</c:v>
                </c:pt>
                <c:pt idx="100">
                  <c:v>1012.6999999999999</c:v>
                </c:pt>
                <c:pt idx="101">
                  <c:v>1012.198245614035</c:v>
                </c:pt>
                <c:pt idx="102">
                  <c:v>1011.6964912280702</c:v>
                </c:pt>
                <c:pt idx="103">
                  <c:v>1011.1947368421052</c:v>
                </c:pt>
                <c:pt idx="104">
                  <c:v>1010.6929824561403</c:v>
                </c:pt>
                <c:pt idx="105">
                  <c:v>1010.1912280701754</c:v>
                </c:pt>
                <c:pt idx="106">
                  <c:v>1009.6894736842105</c:v>
                </c:pt>
                <c:pt idx="107">
                  <c:v>1009.1877192982456</c:v>
                </c:pt>
                <c:pt idx="108">
                  <c:v>1008.6859649122806</c:v>
                </c:pt>
                <c:pt idx="109">
                  <c:v>1008.1842105263157</c:v>
                </c:pt>
                <c:pt idx="110">
                  <c:v>1007.6824561403508</c:v>
                </c:pt>
                <c:pt idx="111">
                  <c:v>1007.180701754386</c:v>
                </c:pt>
                <c:pt idx="112">
                  <c:v>1006.6789473684209</c:v>
                </c:pt>
                <c:pt idx="113">
                  <c:v>1006.1771929824561</c:v>
                </c:pt>
                <c:pt idx="114">
                  <c:v>1005.6754385964912</c:v>
                </c:pt>
                <c:pt idx="115">
                  <c:v>1005.1736842105263</c:v>
                </c:pt>
                <c:pt idx="116">
                  <c:v>1004.6719298245613</c:v>
                </c:pt>
                <c:pt idx="117">
                  <c:v>1004.1701754385964</c:v>
                </c:pt>
                <c:pt idx="118">
                  <c:v>1003.6684210526315</c:v>
                </c:pt>
                <c:pt idx="119">
                  <c:v>1003.1666666666666</c:v>
                </c:pt>
                <c:pt idx="120">
                  <c:v>1002.6649122807017</c:v>
                </c:pt>
                <c:pt idx="121">
                  <c:v>1002.1631578947367</c:v>
                </c:pt>
                <c:pt idx="122">
                  <c:v>1001.6614035087719</c:v>
                </c:pt>
                <c:pt idx="123">
                  <c:v>1001.159649122807</c:v>
                </c:pt>
                <c:pt idx="124">
                  <c:v>1000.6578947368421</c:v>
                </c:pt>
                <c:pt idx="125">
                  <c:v>1000.1561403508771</c:v>
                </c:pt>
                <c:pt idx="126">
                  <c:v>999.65438596491219</c:v>
                </c:pt>
                <c:pt idx="127">
                  <c:v>999.15263157894731</c:v>
                </c:pt>
                <c:pt idx="128">
                  <c:v>998.65087719298242</c:v>
                </c:pt>
                <c:pt idx="129">
                  <c:v>997.77012987012972</c:v>
                </c:pt>
                <c:pt idx="130">
                  <c:v>996.51038961038944</c:v>
                </c:pt>
                <c:pt idx="131">
                  <c:v>995.25064935064916</c:v>
                </c:pt>
                <c:pt idx="132">
                  <c:v>993.99090909090899</c:v>
                </c:pt>
                <c:pt idx="133">
                  <c:v>992.7311688311687</c:v>
                </c:pt>
                <c:pt idx="134">
                  <c:v>991.47142857142842</c:v>
                </c:pt>
                <c:pt idx="135">
                  <c:v>990.21168831168814</c:v>
                </c:pt>
                <c:pt idx="136">
                  <c:v>988.95194805194785</c:v>
                </c:pt>
                <c:pt idx="137">
                  <c:v>987.69220779220768</c:v>
                </c:pt>
                <c:pt idx="138">
                  <c:v>986.4324675324674</c:v>
                </c:pt>
                <c:pt idx="139">
                  <c:v>985.17272727272712</c:v>
                </c:pt>
                <c:pt idx="140">
                  <c:v>983.91298701298683</c:v>
                </c:pt>
                <c:pt idx="141">
                  <c:v>982.65324675324655</c:v>
                </c:pt>
                <c:pt idx="142">
                  <c:v>981.39350649350638</c:v>
                </c:pt>
                <c:pt idx="143">
                  <c:v>980.1337662337661</c:v>
                </c:pt>
                <c:pt idx="144">
                  <c:v>978.87402597402581</c:v>
                </c:pt>
                <c:pt idx="145">
                  <c:v>977.61428571428553</c:v>
                </c:pt>
                <c:pt idx="146">
                  <c:v>976.35454545454525</c:v>
                </c:pt>
                <c:pt idx="147">
                  <c:v>975.09480519480508</c:v>
                </c:pt>
                <c:pt idx="148">
                  <c:v>973.83506493506479</c:v>
                </c:pt>
                <c:pt idx="149">
                  <c:v>972.57532467532451</c:v>
                </c:pt>
                <c:pt idx="150">
                  <c:v>971.31558441558423</c:v>
                </c:pt>
                <c:pt idx="151">
                  <c:v>970.05584415584394</c:v>
                </c:pt>
                <c:pt idx="152">
                  <c:v>968.79610389610366</c:v>
                </c:pt>
                <c:pt idx="153">
                  <c:v>967.53636363636349</c:v>
                </c:pt>
                <c:pt idx="154">
                  <c:v>966.27662337662321</c:v>
                </c:pt>
                <c:pt idx="155">
                  <c:v>965.01688311688292</c:v>
                </c:pt>
                <c:pt idx="156">
                  <c:v>963.75714285714264</c:v>
                </c:pt>
                <c:pt idx="157">
                  <c:v>962.49740259740236</c:v>
                </c:pt>
                <c:pt idx="158">
                  <c:v>961.23766233766219</c:v>
                </c:pt>
                <c:pt idx="159">
                  <c:v>959.9779220779219</c:v>
                </c:pt>
                <c:pt idx="160">
                  <c:v>958.71818181818162</c:v>
                </c:pt>
                <c:pt idx="161">
                  <c:v>957.45844155844134</c:v>
                </c:pt>
                <c:pt idx="162">
                  <c:v>956.19870129870105</c:v>
                </c:pt>
                <c:pt idx="163">
                  <c:v>954.93896103896088</c:v>
                </c:pt>
                <c:pt idx="164">
                  <c:v>953.6792207792206</c:v>
                </c:pt>
                <c:pt idx="165">
                  <c:v>952.41948051948032</c:v>
                </c:pt>
                <c:pt idx="166">
                  <c:v>951.15974025974003</c:v>
                </c:pt>
                <c:pt idx="167">
                  <c:v>949.89999999999975</c:v>
                </c:pt>
                <c:pt idx="168">
                  <c:v>948.64025974025958</c:v>
                </c:pt>
                <c:pt idx="169">
                  <c:v>947.3805194805193</c:v>
                </c:pt>
                <c:pt idx="170">
                  <c:v>946.12077922077901</c:v>
                </c:pt>
                <c:pt idx="171">
                  <c:v>944.86103896103873</c:v>
                </c:pt>
                <c:pt idx="172">
                  <c:v>943.60129870129845</c:v>
                </c:pt>
                <c:pt idx="173">
                  <c:v>942.34155844155828</c:v>
                </c:pt>
                <c:pt idx="174">
                  <c:v>941.08181818181799</c:v>
                </c:pt>
                <c:pt idx="175">
                  <c:v>939.82207792207771</c:v>
                </c:pt>
                <c:pt idx="176">
                  <c:v>938.56233766233743</c:v>
                </c:pt>
                <c:pt idx="177">
                  <c:v>937.30259740259714</c:v>
                </c:pt>
                <c:pt idx="178">
                  <c:v>936.04285714285697</c:v>
                </c:pt>
                <c:pt idx="179">
                  <c:v>934.78311688311669</c:v>
                </c:pt>
                <c:pt idx="180">
                  <c:v>933.52337662337641</c:v>
                </c:pt>
                <c:pt idx="181">
                  <c:v>932.26363636363612</c:v>
                </c:pt>
                <c:pt idx="182">
                  <c:v>931.00389610389584</c:v>
                </c:pt>
                <c:pt idx="183">
                  <c:v>929.74415584415556</c:v>
                </c:pt>
                <c:pt idx="184">
                  <c:v>928.48441558441539</c:v>
                </c:pt>
                <c:pt idx="185">
                  <c:v>927.2246753246751</c:v>
                </c:pt>
                <c:pt idx="186">
                  <c:v>925.96493506493482</c:v>
                </c:pt>
                <c:pt idx="187">
                  <c:v>924.70519480519454</c:v>
                </c:pt>
                <c:pt idx="188">
                  <c:v>923.44545454545437</c:v>
                </c:pt>
                <c:pt idx="189">
                  <c:v>922.18571428571408</c:v>
                </c:pt>
                <c:pt idx="190">
                  <c:v>920.9259740259738</c:v>
                </c:pt>
                <c:pt idx="191">
                  <c:v>919.66623376623352</c:v>
                </c:pt>
                <c:pt idx="192">
                  <c:v>918.40649350649323</c:v>
                </c:pt>
                <c:pt idx="193">
                  <c:v>917.14675324675295</c:v>
                </c:pt>
                <c:pt idx="194">
                  <c:v>915.88701298701278</c:v>
                </c:pt>
                <c:pt idx="195">
                  <c:v>914.6272727272725</c:v>
                </c:pt>
                <c:pt idx="196">
                  <c:v>913.36753246753221</c:v>
                </c:pt>
                <c:pt idx="197">
                  <c:v>912.10779220779193</c:v>
                </c:pt>
                <c:pt idx="198">
                  <c:v>910.84805194805176</c:v>
                </c:pt>
                <c:pt idx="199">
                  <c:v>909.58831168831148</c:v>
                </c:pt>
                <c:pt idx="200">
                  <c:v>908.32857142857119</c:v>
                </c:pt>
                <c:pt idx="201">
                  <c:v>907.06883116883091</c:v>
                </c:pt>
                <c:pt idx="202">
                  <c:v>905.80909090909074</c:v>
                </c:pt>
                <c:pt idx="203">
                  <c:v>904.54935064935046</c:v>
                </c:pt>
                <c:pt idx="204">
                  <c:v>903.28961038961029</c:v>
                </c:pt>
                <c:pt idx="205">
                  <c:v>902.02987012987001</c:v>
                </c:pt>
                <c:pt idx="206">
                  <c:v>900.68055555555543</c:v>
                </c:pt>
                <c:pt idx="207">
                  <c:v>899.24166666666667</c:v>
                </c:pt>
                <c:pt idx="208">
                  <c:v>897.80277777777781</c:v>
                </c:pt>
                <c:pt idx="209">
                  <c:v>896.36388888888894</c:v>
                </c:pt>
                <c:pt idx="210">
                  <c:v>894.92500000000007</c:v>
                </c:pt>
                <c:pt idx="211">
                  <c:v>893.4861111111112</c:v>
                </c:pt>
                <c:pt idx="212">
                  <c:v>892.04722222222233</c:v>
                </c:pt>
                <c:pt idx="213">
                  <c:v>890.60833333333346</c:v>
                </c:pt>
                <c:pt idx="214">
                  <c:v>889.16944444444459</c:v>
                </c:pt>
                <c:pt idx="215">
                  <c:v>887.73055555555584</c:v>
                </c:pt>
                <c:pt idx="216">
                  <c:v>886.29166666666697</c:v>
                </c:pt>
                <c:pt idx="217">
                  <c:v>884.8527777777781</c:v>
                </c:pt>
                <c:pt idx="218">
                  <c:v>883.41388888888923</c:v>
                </c:pt>
                <c:pt idx="219">
                  <c:v>881.97500000000036</c:v>
                </c:pt>
                <c:pt idx="220">
                  <c:v>880.5361111111115</c:v>
                </c:pt>
                <c:pt idx="221">
                  <c:v>879.09722222222263</c:v>
                </c:pt>
                <c:pt idx="222">
                  <c:v>877.65833333333376</c:v>
                </c:pt>
                <c:pt idx="223">
                  <c:v>876.21944444444489</c:v>
                </c:pt>
                <c:pt idx="224">
                  <c:v>874.78055555555613</c:v>
                </c:pt>
                <c:pt idx="225">
                  <c:v>873.34166666666727</c:v>
                </c:pt>
                <c:pt idx="226">
                  <c:v>871.9027777777784</c:v>
                </c:pt>
                <c:pt idx="227">
                  <c:v>870.46388888888953</c:v>
                </c:pt>
                <c:pt idx="228">
                  <c:v>869.02500000000066</c:v>
                </c:pt>
                <c:pt idx="229">
                  <c:v>867.58611111111179</c:v>
                </c:pt>
                <c:pt idx="230">
                  <c:v>866.14722222222292</c:v>
                </c:pt>
                <c:pt idx="231">
                  <c:v>864.70833333333405</c:v>
                </c:pt>
                <c:pt idx="232">
                  <c:v>863.2694444444453</c:v>
                </c:pt>
                <c:pt idx="233">
                  <c:v>861.83055555555643</c:v>
                </c:pt>
                <c:pt idx="234">
                  <c:v>860.39166666666756</c:v>
                </c:pt>
                <c:pt idx="235">
                  <c:v>858.95277777777869</c:v>
                </c:pt>
                <c:pt idx="236">
                  <c:v>857.51388888888982</c:v>
                </c:pt>
                <c:pt idx="237">
                  <c:v>856.07500000000095</c:v>
                </c:pt>
                <c:pt idx="238">
                  <c:v>854.63611111111209</c:v>
                </c:pt>
                <c:pt idx="239">
                  <c:v>853.19722222222322</c:v>
                </c:pt>
                <c:pt idx="240">
                  <c:v>851.75833333333435</c:v>
                </c:pt>
                <c:pt idx="241">
                  <c:v>850.31944444444548</c:v>
                </c:pt>
                <c:pt idx="242">
                  <c:v>848.57500000000164</c:v>
                </c:pt>
                <c:pt idx="243">
                  <c:v>846.52500000000168</c:v>
                </c:pt>
                <c:pt idx="244">
                  <c:v>844.47500000000173</c:v>
                </c:pt>
                <c:pt idx="245">
                  <c:v>842.42500000000177</c:v>
                </c:pt>
                <c:pt idx="246">
                  <c:v>840.37500000000182</c:v>
                </c:pt>
                <c:pt idx="247">
                  <c:v>838.32500000000175</c:v>
                </c:pt>
                <c:pt idx="248">
                  <c:v>836.2750000000018</c:v>
                </c:pt>
                <c:pt idx="249">
                  <c:v>834.22500000000184</c:v>
                </c:pt>
                <c:pt idx="250">
                  <c:v>832.17500000000189</c:v>
                </c:pt>
                <c:pt idx="251">
                  <c:v>830.12500000000193</c:v>
                </c:pt>
                <c:pt idx="252">
                  <c:v>828.07500000000198</c:v>
                </c:pt>
                <c:pt idx="253">
                  <c:v>826.02500000000202</c:v>
                </c:pt>
                <c:pt idx="254">
                  <c:v>823.97500000000207</c:v>
                </c:pt>
                <c:pt idx="255">
                  <c:v>821.92500000000211</c:v>
                </c:pt>
                <c:pt idx="256">
                  <c:v>819.87500000000216</c:v>
                </c:pt>
                <c:pt idx="257">
                  <c:v>817.82500000000221</c:v>
                </c:pt>
                <c:pt idx="258">
                  <c:v>815.77500000000225</c:v>
                </c:pt>
                <c:pt idx="259">
                  <c:v>813.7250000000023</c:v>
                </c:pt>
                <c:pt idx="260">
                  <c:v>811.67500000000234</c:v>
                </c:pt>
                <c:pt idx="261">
                  <c:v>809.62500000000239</c:v>
                </c:pt>
                <c:pt idx="262">
                  <c:v>807.57500000000243</c:v>
                </c:pt>
                <c:pt idx="263">
                  <c:v>805.52500000000248</c:v>
                </c:pt>
                <c:pt idx="264">
                  <c:v>803.47500000000252</c:v>
                </c:pt>
                <c:pt idx="265">
                  <c:v>801.42500000000257</c:v>
                </c:pt>
                <c:pt idx="266">
                  <c:v>799.37500000000261</c:v>
                </c:pt>
                <c:pt idx="267">
                  <c:v>797.32500000000266</c:v>
                </c:pt>
                <c:pt idx="268">
                  <c:v>795.27500000000271</c:v>
                </c:pt>
                <c:pt idx="269">
                  <c:v>793.22500000000275</c:v>
                </c:pt>
                <c:pt idx="270">
                  <c:v>791.1750000000028</c:v>
                </c:pt>
                <c:pt idx="271">
                  <c:v>789.12500000000284</c:v>
                </c:pt>
                <c:pt idx="272">
                  <c:v>787.07500000000289</c:v>
                </c:pt>
                <c:pt idx="273">
                  <c:v>785.02500000000293</c:v>
                </c:pt>
                <c:pt idx="274">
                  <c:v>782.97500000000298</c:v>
                </c:pt>
                <c:pt idx="275">
                  <c:v>780.92500000000302</c:v>
                </c:pt>
                <c:pt idx="276">
                  <c:v>778.87500000000307</c:v>
                </c:pt>
                <c:pt idx="277">
                  <c:v>776.82500000000312</c:v>
                </c:pt>
                <c:pt idx="278">
                  <c:v>774.77500000000316</c:v>
                </c:pt>
                <c:pt idx="279">
                  <c:v>772.72500000000321</c:v>
                </c:pt>
                <c:pt idx="280">
                  <c:v>770.67500000000325</c:v>
                </c:pt>
                <c:pt idx="281">
                  <c:v>768.6250000000033</c:v>
                </c:pt>
                <c:pt idx="282">
                  <c:v>766.57500000000334</c:v>
                </c:pt>
                <c:pt idx="283">
                  <c:v>764.52500000000339</c:v>
                </c:pt>
                <c:pt idx="284">
                  <c:v>762.8285714285737</c:v>
                </c:pt>
                <c:pt idx="285">
                  <c:v>761.48571428571654</c:v>
                </c:pt>
                <c:pt idx="286">
                  <c:v>760.14285714285938</c:v>
                </c:pt>
                <c:pt idx="287">
                  <c:v>758.80000000000234</c:v>
                </c:pt>
                <c:pt idx="288">
                  <c:v>757.45714285714519</c:v>
                </c:pt>
                <c:pt idx="289">
                  <c:v>756.11428571428803</c:v>
                </c:pt>
                <c:pt idx="290">
                  <c:v>754.77142857143099</c:v>
                </c:pt>
                <c:pt idx="291">
                  <c:v>753.42857142857383</c:v>
                </c:pt>
                <c:pt idx="292">
                  <c:v>752.08571428571679</c:v>
                </c:pt>
                <c:pt idx="293">
                  <c:v>750.74285714285963</c:v>
                </c:pt>
                <c:pt idx="294">
                  <c:v>749.40000000000248</c:v>
                </c:pt>
                <c:pt idx="295">
                  <c:v>748.05714285714544</c:v>
                </c:pt>
                <c:pt idx="296">
                  <c:v>746.71428571428828</c:v>
                </c:pt>
                <c:pt idx="297">
                  <c:v>745.37142857143112</c:v>
                </c:pt>
                <c:pt idx="298">
                  <c:v>744.02857142857408</c:v>
                </c:pt>
                <c:pt idx="299">
                  <c:v>742.68571428571693</c:v>
                </c:pt>
                <c:pt idx="300">
                  <c:v>741.34285714285988</c:v>
                </c:pt>
                <c:pt idx="301">
                  <c:v>740.00000000000273</c:v>
                </c:pt>
                <c:pt idx="302">
                  <c:v>738.65714285714557</c:v>
                </c:pt>
                <c:pt idx="303">
                  <c:v>737.31428571428853</c:v>
                </c:pt>
                <c:pt idx="304">
                  <c:v>735.97142857143137</c:v>
                </c:pt>
                <c:pt idx="305">
                  <c:v>734.62857142857422</c:v>
                </c:pt>
                <c:pt idx="306">
                  <c:v>733.28571428571718</c:v>
                </c:pt>
                <c:pt idx="307">
                  <c:v>731.94285714286002</c:v>
                </c:pt>
                <c:pt idx="308">
                  <c:v>730.60000000000286</c:v>
                </c:pt>
                <c:pt idx="309">
                  <c:v>729.25714285714582</c:v>
                </c:pt>
                <c:pt idx="310">
                  <c:v>727.91428571428867</c:v>
                </c:pt>
                <c:pt idx="311">
                  <c:v>726.57142857143162</c:v>
                </c:pt>
                <c:pt idx="312">
                  <c:v>725.22857142857447</c:v>
                </c:pt>
                <c:pt idx="313">
                  <c:v>723.88571428571731</c:v>
                </c:pt>
                <c:pt idx="314">
                  <c:v>722.54285714286027</c:v>
                </c:pt>
                <c:pt idx="315">
                  <c:v>721.20000000000312</c:v>
                </c:pt>
                <c:pt idx="316">
                  <c:v>719.85714285714596</c:v>
                </c:pt>
                <c:pt idx="317">
                  <c:v>718.51428571428892</c:v>
                </c:pt>
                <c:pt idx="318">
                  <c:v>717.17142857143176</c:v>
                </c:pt>
                <c:pt idx="319">
                  <c:v>715.82857142857461</c:v>
                </c:pt>
                <c:pt idx="320">
                  <c:v>714.48571428571756</c:v>
                </c:pt>
                <c:pt idx="321">
                  <c:v>713.14285714286041</c:v>
                </c:pt>
                <c:pt idx="322">
                  <c:v>711.80000000000337</c:v>
                </c:pt>
                <c:pt idx="323">
                  <c:v>710.45714285714621</c:v>
                </c:pt>
                <c:pt idx="324">
                  <c:v>709.11428571428905</c:v>
                </c:pt>
                <c:pt idx="325">
                  <c:v>707.77142857143201</c:v>
                </c:pt>
                <c:pt idx="326">
                  <c:v>706.45000000000334</c:v>
                </c:pt>
                <c:pt idx="327">
                  <c:v>705.15000000000339</c:v>
                </c:pt>
                <c:pt idx="328">
                  <c:v>703.85000000000343</c:v>
                </c:pt>
                <c:pt idx="329">
                  <c:v>702.55000000000337</c:v>
                </c:pt>
                <c:pt idx="330">
                  <c:v>701.25000000000341</c:v>
                </c:pt>
                <c:pt idx="331">
                  <c:v>699.95000000000346</c:v>
                </c:pt>
                <c:pt idx="332">
                  <c:v>698.6500000000035</c:v>
                </c:pt>
                <c:pt idx="333">
                  <c:v>697.35000000000355</c:v>
                </c:pt>
                <c:pt idx="334">
                  <c:v>696.05000000000359</c:v>
                </c:pt>
                <c:pt idx="335">
                  <c:v>694.75000000000352</c:v>
                </c:pt>
                <c:pt idx="336">
                  <c:v>693.45000000000357</c:v>
                </c:pt>
                <c:pt idx="337">
                  <c:v>692.15000000000362</c:v>
                </c:pt>
                <c:pt idx="338">
                  <c:v>690.85000000000366</c:v>
                </c:pt>
                <c:pt idx="339">
                  <c:v>689.55000000000371</c:v>
                </c:pt>
                <c:pt idx="340">
                  <c:v>688.25000000000375</c:v>
                </c:pt>
                <c:pt idx="341">
                  <c:v>686.95000000000368</c:v>
                </c:pt>
                <c:pt idx="342">
                  <c:v>685.65000000000373</c:v>
                </c:pt>
                <c:pt idx="343">
                  <c:v>684.35000000000377</c:v>
                </c:pt>
                <c:pt idx="344">
                  <c:v>683.05000000000382</c:v>
                </c:pt>
                <c:pt idx="345">
                  <c:v>681.75000000000387</c:v>
                </c:pt>
                <c:pt idx="346">
                  <c:v>680.45000000000391</c:v>
                </c:pt>
                <c:pt idx="347">
                  <c:v>679.15000000000396</c:v>
                </c:pt>
                <c:pt idx="348">
                  <c:v>677.85000000000389</c:v>
                </c:pt>
                <c:pt idx="349">
                  <c:v>676.55000000000393</c:v>
                </c:pt>
                <c:pt idx="350">
                  <c:v>675.25000000000398</c:v>
                </c:pt>
                <c:pt idx="351">
                  <c:v>673.95000000000402</c:v>
                </c:pt>
                <c:pt idx="352">
                  <c:v>672.65000000000407</c:v>
                </c:pt>
                <c:pt idx="353">
                  <c:v>671.35000000000412</c:v>
                </c:pt>
                <c:pt idx="354">
                  <c:v>670.05000000000405</c:v>
                </c:pt>
                <c:pt idx="355">
                  <c:v>668.75000000000409</c:v>
                </c:pt>
                <c:pt idx="356">
                  <c:v>667.45000000000414</c:v>
                </c:pt>
                <c:pt idx="357">
                  <c:v>666.15000000000418</c:v>
                </c:pt>
                <c:pt idx="358">
                  <c:v>664.85000000000423</c:v>
                </c:pt>
                <c:pt idx="359">
                  <c:v>663.55000000000427</c:v>
                </c:pt>
                <c:pt idx="360">
                  <c:v>662.25000000000421</c:v>
                </c:pt>
                <c:pt idx="361">
                  <c:v>660.95000000000425</c:v>
                </c:pt>
                <c:pt idx="362">
                  <c:v>659.6500000000043</c:v>
                </c:pt>
                <c:pt idx="363">
                  <c:v>658.35000000000434</c:v>
                </c:pt>
                <c:pt idx="364">
                  <c:v>657.05000000000439</c:v>
                </c:pt>
                <c:pt idx="365">
                  <c:v>655.75000000000443</c:v>
                </c:pt>
                <c:pt idx="366">
                  <c:v>654.98666666666747</c:v>
                </c:pt>
                <c:pt idx="367">
                  <c:v>654.76000000000079</c:v>
                </c:pt>
                <c:pt idx="368">
                  <c:v>654.5333333333341</c:v>
                </c:pt>
                <c:pt idx="369">
                  <c:v>654.30666666666752</c:v>
                </c:pt>
                <c:pt idx="370">
                  <c:v>654.08000000000084</c:v>
                </c:pt>
                <c:pt idx="371">
                  <c:v>653.85333333333415</c:v>
                </c:pt>
                <c:pt idx="372">
                  <c:v>653.62666666666746</c:v>
                </c:pt>
                <c:pt idx="373">
                  <c:v>653.40000000000089</c:v>
                </c:pt>
                <c:pt idx="374">
                  <c:v>653.1733333333342</c:v>
                </c:pt>
                <c:pt idx="375">
                  <c:v>652.94666666666751</c:v>
                </c:pt>
                <c:pt idx="376">
                  <c:v>652.72000000000082</c:v>
                </c:pt>
                <c:pt idx="377">
                  <c:v>652.49333333333425</c:v>
                </c:pt>
                <c:pt idx="378">
                  <c:v>652.26666666666756</c:v>
                </c:pt>
                <c:pt idx="379">
                  <c:v>652.04000000000087</c:v>
                </c:pt>
                <c:pt idx="380">
                  <c:v>651.81333333333419</c:v>
                </c:pt>
                <c:pt idx="381">
                  <c:v>651.01000000000511</c:v>
                </c:pt>
                <c:pt idx="382">
                  <c:v>649.63000000000523</c:v>
                </c:pt>
                <c:pt idx="383">
                  <c:v>648.25000000000523</c:v>
                </c:pt>
                <c:pt idx="384">
                  <c:v>646.87000000000523</c:v>
                </c:pt>
                <c:pt idx="385">
                  <c:v>645.49000000000524</c:v>
                </c:pt>
                <c:pt idx="386">
                  <c:v>644.11000000000524</c:v>
                </c:pt>
                <c:pt idx="387">
                  <c:v>642.73000000000536</c:v>
                </c:pt>
                <c:pt idx="388">
                  <c:v>641.35000000000537</c:v>
                </c:pt>
                <c:pt idx="389">
                  <c:v>639.97000000000537</c:v>
                </c:pt>
                <c:pt idx="390">
                  <c:v>638.59000000000538</c:v>
                </c:pt>
                <c:pt idx="391">
                  <c:v>637.21000000000549</c:v>
                </c:pt>
                <c:pt idx="392">
                  <c:v>635.8300000000055</c:v>
                </c:pt>
                <c:pt idx="393">
                  <c:v>634.4500000000055</c:v>
                </c:pt>
                <c:pt idx="394">
                  <c:v>633.07000000000551</c:v>
                </c:pt>
                <c:pt idx="395">
                  <c:v>631.69000000000551</c:v>
                </c:pt>
                <c:pt idx="396">
                  <c:v>630.31000000000563</c:v>
                </c:pt>
                <c:pt idx="397">
                  <c:v>628.93000000000563</c:v>
                </c:pt>
                <c:pt idx="398">
                  <c:v>627.55000000000564</c:v>
                </c:pt>
                <c:pt idx="399">
                  <c:v>626.17000000000564</c:v>
                </c:pt>
                <c:pt idx="400">
                  <c:v>624.79000000000565</c:v>
                </c:pt>
                <c:pt idx="401">
                  <c:v>622.96000000000936</c:v>
                </c:pt>
                <c:pt idx="402">
                  <c:v>620.68000000000939</c:v>
                </c:pt>
                <c:pt idx="403">
                  <c:v>618.40000000000941</c:v>
                </c:pt>
                <c:pt idx="404">
                  <c:v>616.12000000000944</c:v>
                </c:pt>
                <c:pt idx="405">
                  <c:v>613.84000000000947</c:v>
                </c:pt>
                <c:pt idx="406">
                  <c:v>611.5600000000095</c:v>
                </c:pt>
                <c:pt idx="407">
                  <c:v>609.28000000000952</c:v>
                </c:pt>
                <c:pt idx="408">
                  <c:v>607.00000000000955</c:v>
                </c:pt>
                <c:pt idx="409">
                  <c:v>604.72000000000958</c:v>
                </c:pt>
                <c:pt idx="410">
                  <c:v>602.4400000000096</c:v>
                </c:pt>
                <c:pt idx="411">
                  <c:v>597.6833333333642</c:v>
                </c:pt>
                <c:pt idx="412">
                  <c:v>590.45000000003108</c:v>
                </c:pt>
                <c:pt idx="413">
                  <c:v>583.21666666669807</c:v>
                </c:pt>
                <c:pt idx="414">
                  <c:v>575.98333333336495</c:v>
                </c:pt>
                <c:pt idx="415">
                  <c:v>568.75000000003183</c:v>
                </c:pt>
                <c:pt idx="416">
                  <c:v>561.51666666669871</c:v>
                </c:pt>
                <c:pt idx="417">
                  <c:v>554.28333333336559</c:v>
                </c:pt>
                <c:pt idx="418">
                  <c:v>547.05000000003247</c:v>
                </c:pt>
                <c:pt idx="419">
                  <c:v>539.81666666669935</c:v>
                </c:pt>
                <c:pt idx="420">
                  <c:v>531.17916666671226</c:v>
                </c:pt>
                <c:pt idx="421">
                  <c:v>521.13750000004575</c:v>
                </c:pt>
                <c:pt idx="422">
                  <c:v>511.09583333337923</c:v>
                </c:pt>
                <c:pt idx="423">
                  <c:v>501.05416666671272</c:v>
                </c:pt>
                <c:pt idx="424">
                  <c:v>491.0125000000462</c:v>
                </c:pt>
                <c:pt idx="425">
                  <c:v>480.97083333337969</c:v>
                </c:pt>
                <c:pt idx="426">
                  <c:v>470.92916666671312</c:v>
                </c:pt>
                <c:pt idx="427">
                  <c:v>460.8875000000466</c:v>
                </c:pt>
                <c:pt idx="428">
                  <c:v>450.84583333338009</c:v>
                </c:pt>
                <c:pt idx="429">
                  <c:v>440.80416666671357</c:v>
                </c:pt>
                <c:pt idx="430">
                  <c:v>430.76250000004705</c:v>
                </c:pt>
                <c:pt idx="431">
                  <c:v>420.72083333338054</c:v>
                </c:pt>
                <c:pt idx="432">
                  <c:v>408.42500000006868</c:v>
                </c:pt>
                <c:pt idx="433">
                  <c:v>393.87500000006906</c:v>
                </c:pt>
                <c:pt idx="434">
                  <c:v>379.32500000006945</c:v>
                </c:pt>
                <c:pt idx="435">
                  <c:v>364.77500000006984</c:v>
                </c:pt>
                <c:pt idx="436">
                  <c:v>350.22500000007022</c:v>
                </c:pt>
                <c:pt idx="437">
                  <c:v>335.67500000007061</c:v>
                </c:pt>
                <c:pt idx="438">
                  <c:v>321.125000000071</c:v>
                </c:pt>
                <c:pt idx="439">
                  <c:v>306.57500000007138</c:v>
                </c:pt>
                <c:pt idx="440">
                  <c:v>292.02500000007177</c:v>
                </c:pt>
                <c:pt idx="441">
                  <c:v>277.47500000007216</c:v>
                </c:pt>
                <c:pt idx="442">
                  <c:v>264.29090909096794</c:v>
                </c:pt>
                <c:pt idx="443">
                  <c:v>252.47272727278633</c:v>
                </c:pt>
                <c:pt idx="444">
                  <c:v>240.65454545460472</c:v>
                </c:pt>
                <c:pt idx="445">
                  <c:v>228.83636363642307</c:v>
                </c:pt>
                <c:pt idx="446">
                  <c:v>217.01818181824146</c:v>
                </c:pt>
                <c:pt idx="447">
                  <c:v>205.20000000005982</c:v>
                </c:pt>
                <c:pt idx="448">
                  <c:v>193.3818181818782</c:v>
                </c:pt>
                <c:pt idx="449">
                  <c:v>181.56363636369656</c:v>
                </c:pt>
                <c:pt idx="450">
                  <c:v>169.74545454551495</c:v>
                </c:pt>
                <c:pt idx="451">
                  <c:v>157.92727272733333</c:v>
                </c:pt>
                <c:pt idx="452">
                  <c:v>146.10909090915169</c:v>
                </c:pt>
                <c:pt idx="453">
                  <c:v>136.24375000004085</c:v>
                </c:pt>
                <c:pt idx="454">
                  <c:v>128.33125000004102</c:v>
                </c:pt>
                <c:pt idx="455">
                  <c:v>120.4187500000412</c:v>
                </c:pt>
                <c:pt idx="456">
                  <c:v>112.50625000004138</c:v>
                </c:pt>
                <c:pt idx="457">
                  <c:v>104.59375000004155</c:v>
                </c:pt>
                <c:pt idx="458">
                  <c:v>96.681250000041729</c:v>
                </c:pt>
                <c:pt idx="459">
                  <c:v>88.768750000041905</c:v>
                </c:pt>
                <c:pt idx="460">
                  <c:v>80.856250000042081</c:v>
                </c:pt>
                <c:pt idx="461">
                  <c:v>74.700000000023536</c:v>
                </c:pt>
                <c:pt idx="462">
                  <c:v>70.300000000023687</c:v>
                </c:pt>
                <c:pt idx="463">
                  <c:v>65.900000000023837</c:v>
                </c:pt>
                <c:pt idx="464">
                  <c:v>61.500000000023995</c:v>
                </c:pt>
                <c:pt idx="465">
                  <c:v>57.100000000024153</c:v>
                </c:pt>
                <c:pt idx="466">
                  <c:v>51.225000000040474</c:v>
                </c:pt>
                <c:pt idx="467">
                  <c:v>43.875000000040473</c:v>
                </c:pt>
                <c:pt idx="468">
                  <c:v>20.100000000221371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4-48D6-934B-5D8E0316888E}"/>
            </c:ext>
          </c:extLst>
        </c:ser>
        <c:ser>
          <c:idx val="2"/>
          <c:order val="1"/>
          <c:tx>
            <c:strRef>
              <c:f>Courbes!$B$135</c:f>
              <c:strCache>
                <c:ptCount val="1"/>
                <c:pt idx="0">
                  <c:v>Poids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5.0999999999999375</c:v>
                </c:pt>
                <c:pt idx="502">
                  <c:v>5.1999999999999371</c:v>
                </c:pt>
                <c:pt idx="503">
                  <c:v>5.2999999999999368</c:v>
                </c:pt>
                <c:pt idx="504">
                  <c:v>5.3999999999999364</c:v>
                </c:pt>
                <c:pt idx="505">
                  <c:v>5.4999999999999361</c:v>
                </c:pt>
                <c:pt idx="506">
                  <c:v>5.5999999999999357</c:v>
                </c:pt>
                <c:pt idx="507">
                  <c:v>5.6999999999999353</c:v>
                </c:pt>
                <c:pt idx="508">
                  <c:v>5.799999999999935</c:v>
                </c:pt>
                <c:pt idx="509">
                  <c:v>5.8999999999999346</c:v>
                </c:pt>
                <c:pt idx="510">
                  <c:v>5.9999999999999343</c:v>
                </c:pt>
                <c:pt idx="511">
                  <c:v>6.0999999999999339</c:v>
                </c:pt>
                <c:pt idx="512">
                  <c:v>6.1999999999999336</c:v>
                </c:pt>
                <c:pt idx="513">
                  <c:v>6.2999999999999332</c:v>
                </c:pt>
                <c:pt idx="514">
                  <c:v>6.3999999999999329</c:v>
                </c:pt>
                <c:pt idx="515">
                  <c:v>6.4999999999999325</c:v>
                </c:pt>
                <c:pt idx="516">
                  <c:v>6.5999999999999321</c:v>
                </c:pt>
                <c:pt idx="517">
                  <c:v>6.6999999999999318</c:v>
                </c:pt>
                <c:pt idx="518">
                  <c:v>6.7999999999999314</c:v>
                </c:pt>
                <c:pt idx="519">
                  <c:v>6.8999999999999311</c:v>
                </c:pt>
                <c:pt idx="520">
                  <c:v>6.9999999999999307</c:v>
                </c:pt>
                <c:pt idx="521">
                  <c:v>7.0999999999999304</c:v>
                </c:pt>
                <c:pt idx="522">
                  <c:v>7.19999999999993</c:v>
                </c:pt>
                <c:pt idx="523">
                  <c:v>7.2999999999999297</c:v>
                </c:pt>
                <c:pt idx="524">
                  <c:v>7.3999999999999293</c:v>
                </c:pt>
                <c:pt idx="525">
                  <c:v>7.4999999999999289</c:v>
                </c:pt>
                <c:pt idx="526">
                  <c:v>7.5999999999999286</c:v>
                </c:pt>
                <c:pt idx="527">
                  <c:v>7.6999999999999282</c:v>
                </c:pt>
                <c:pt idx="528">
                  <c:v>7.7999999999999279</c:v>
                </c:pt>
                <c:pt idx="529">
                  <c:v>7.8999999999999275</c:v>
                </c:pt>
                <c:pt idx="530">
                  <c:v>7.9999999999999272</c:v>
                </c:pt>
                <c:pt idx="531">
                  <c:v>8.0999999999999268</c:v>
                </c:pt>
                <c:pt idx="532">
                  <c:v>8.1999999999999265</c:v>
                </c:pt>
                <c:pt idx="533">
                  <c:v>8.2999999999999261</c:v>
                </c:pt>
                <c:pt idx="534">
                  <c:v>8.3999999999999257</c:v>
                </c:pt>
                <c:pt idx="535">
                  <c:v>8.4999999999999254</c:v>
                </c:pt>
                <c:pt idx="536">
                  <c:v>8.599999999999925</c:v>
                </c:pt>
                <c:pt idx="537">
                  <c:v>8.6999999999999247</c:v>
                </c:pt>
                <c:pt idx="538">
                  <c:v>8.7999999999999243</c:v>
                </c:pt>
                <c:pt idx="539">
                  <c:v>8.899999999999924</c:v>
                </c:pt>
                <c:pt idx="540">
                  <c:v>8.9999999999999236</c:v>
                </c:pt>
                <c:pt idx="541">
                  <c:v>9.0999999999999233</c:v>
                </c:pt>
                <c:pt idx="542">
                  <c:v>9.1999999999999229</c:v>
                </c:pt>
                <c:pt idx="543">
                  <c:v>9.2999999999999226</c:v>
                </c:pt>
                <c:pt idx="544">
                  <c:v>9.3999999999999222</c:v>
                </c:pt>
                <c:pt idx="545">
                  <c:v>9.4999999999999218</c:v>
                </c:pt>
                <c:pt idx="546">
                  <c:v>9.5999999999999215</c:v>
                </c:pt>
                <c:pt idx="547">
                  <c:v>9.6999999999999211</c:v>
                </c:pt>
                <c:pt idx="548">
                  <c:v>9.7999999999999208</c:v>
                </c:pt>
                <c:pt idx="549">
                  <c:v>9.8999999999999204</c:v>
                </c:pt>
                <c:pt idx="550">
                  <c:v>9.9999999999999201</c:v>
                </c:pt>
                <c:pt idx="551">
                  <c:v>10.09999999999992</c:v>
                </c:pt>
                <c:pt idx="552">
                  <c:v>10.199999999999919</c:v>
                </c:pt>
                <c:pt idx="553">
                  <c:v>10.299999999999919</c:v>
                </c:pt>
                <c:pt idx="554">
                  <c:v>10.399999999999919</c:v>
                </c:pt>
                <c:pt idx="555">
                  <c:v>10.499999999999918</c:v>
                </c:pt>
                <c:pt idx="556">
                  <c:v>10.599999999999918</c:v>
                </c:pt>
                <c:pt idx="557">
                  <c:v>10.699999999999918</c:v>
                </c:pt>
                <c:pt idx="558">
                  <c:v>10.799999999999917</c:v>
                </c:pt>
                <c:pt idx="559">
                  <c:v>10.899999999999917</c:v>
                </c:pt>
                <c:pt idx="560">
                  <c:v>10.999999999999917</c:v>
                </c:pt>
                <c:pt idx="561">
                  <c:v>11.099999999999916</c:v>
                </c:pt>
                <c:pt idx="562">
                  <c:v>11.199999999999916</c:v>
                </c:pt>
                <c:pt idx="563">
                  <c:v>11.299999999999915</c:v>
                </c:pt>
                <c:pt idx="564">
                  <c:v>11.399999999999915</c:v>
                </c:pt>
                <c:pt idx="565">
                  <c:v>11.499999999999915</c:v>
                </c:pt>
                <c:pt idx="566">
                  <c:v>11.599999999999914</c:v>
                </c:pt>
                <c:pt idx="567">
                  <c:v>11.699999999999914</c:v>
                </c:pt>
                <c:pt idx="568">
                  <c:v>11.799999999999914</c:v>
                </c:pt>
                <c:pt idx="569">
                  <c:v>11.899999999999913</c:v>
                </c:pt>
                <c:pt idx="570">
                  <c:v>11.999999999999913</c:v>
                </c:pt>
                <c:pt idx="571">
                  <c:v>12.099999999999913</c:v>
                </c:pt>
                <c:pt idx="572">
                  <c:v>12.199999999999912</c:v>
                </c:pt>
                <c:pt idx="573">
                  <c:v>12.299999999999912</c:v>
                </c:pt>
                <c:pt idx="574">
                  <c:v>12.399999999999912</c:v>
                </c:pt>
                <c:pt idx="575">
                  <c:v>12.499999999999911</c:v>
                </c:pt>
                <c:pt idx="576">
                  <c:v>12.599999999999911</c:v>
                </c:pt>
                <c:pt idx="577">
                  <c:v>12.69999999999991</c:v>
                </c:pt>
                <c:pt idx="578">
                  <c:v>12.79999999999991</c:v>
                </c:pt>
                <c:pt idx="579">
                  <c:v>12.89999999999991</c:v>
                </c:pt>
                <c:pt idx="580">
                  <c:v>12.999999999999909</c:v>
                </c:pt>
                <c:pt idx="581">
                  <c:v>13.099999999999909</c:v>
                </c:pt>
                <c:pt idx="582">
                  <c:v>13.199999999999909</c:v>
                </c:pt>
                <c:pt idx="583">
                  <c:v>13.299999999999908</c:v>
                </c:pt>
                <c:pt idx="584">
                  <c:v>13.399999999999908</c:v>
                </c:pt>
                <c:pt idx="585">
                  <c:v>13.499999999999908</c:v>
                </c:pt>
                <c:pt idx="586">
                  <c:v>13.599999999999907</c:v>
                </c:pt>
                <c:pt idx="587">
                  <c:v>13.699999999999907</c:v>
                </c:pt>
                <c:pt idx="588">
                  <c:v>13.799999999999907</c:v>
                </c:pt>
                <c:pt idx="589">
                  <c:v>13.899999999999906</c:v>
                </c:pt>
                <c:pt idx="590">
                  <c:v>13.999999999999906</c:v>
                </c:pt>
                <c:pt idx="591">
                  <c:v>14.099999999999905</c:v>
                </c:pt>
                <c:pt idx="592">
                  <c:v>14.199999999999905</c:v>
                </c:pt>
                <c:pt idx="593">
                  <c:v>14.299999999999905</c:v>
                </c:pt>
                <c:pt idx="594">
                  <c:v>14.399999999999904</c:v>
                </c:pt>
                <c:pt idx="595">
                  <c:v>14.499999999999904</c:v>
                </c:pt>
                <c:pt idx="596">
                  <c:v>14.599999999999904</c:v>
                </c:pt>
                <c:pt idx="597">
                  <c:v>14.699999999999903</c:v>
                </c:pt>
                <c:pt idx="598">
                  <c:v>14.799999999999903</c:v>
                </c:pt>
                <c:pt idx="599">
                  <c:v>14.899999999999903</c:v>
                </c:pt>
                <c:pt idx="600">
                  <c:v>14.999999999999902</c:v>
                </c:pt>
                <c:pt idx="601">
                  <c:v>15.099999999999902</c:v>
                </c:pt>
                <c:pt idx="602">
                  <c:v>15.199999999999902</c:v>
                </c:pt>
                <c:pt idx="603">
                  <c:v>15.299999999999901</c:v>
                </c:pt>
                <c:pt idx="604">
                  <c:v>15.399999999999901</c:v>
                </c:pt>
                <c:pt idx="605">
                  <c:v>15.499999999999901</c:v>
                </c:pt>
                <c:pt idx="606">
                  <c:v>15.5999999999999</c:v>
                </c:pt>
                <c:pt idx="607">
                  <c:v>15.6999999999999</c:v>
                </c:pt>
                <c:pt idx="608">
                  <c:v>15.799999999999899</c:v>
                </c:pt>
                <c:pt idx="609">
                  <c:v>15.899999999999899</c:v>
                </c:pt>
                <c:pt idx="610">
                  <c:v>15.999999999999899</c:v>
                </c:pt>
                <c:pt idx="611">
                  <c:v>16.099999999999898</c:v>
                </c:pt>
                <c:pt idx="612">
                  <c:v>16.1999999999999</c:v>
                </c:pt>
                <c:pt idx="613">
                  <c:v>16.299999999999901</c:v>
                </c:pt>
                <c:pt idx="614">
                  <c:v>16.399999999999903</c:v>
                </c:pt>
                <c:pt idx="615">
                  <c:v>16.499999999999904</c:v>
                </c:pt>
                <c:pt idx="616">
                  <c:v>16.599999999999905</c:v>
                </c:pt>
                <c:pt idx="617">
                  <c:v>16.699999999999907</c:v>
                </c:pt>
                <c:pt idx="618">
                  <c:v>16.799999999999908</c:v>
                </c:pt>
                <c:pt idx="619">
                  <c:v>16.89999999999991</c:v>
                </c:pt>
                <c:pt idx="620">
                  <c:v>16.999999999999911</c:v>
                </c:pt>
                <c:pt idx="621">
                  <c:v>17.099999999999913</c:v>
                </c:pt>
                <c:pt idx="622">
                  <c:v>17.199999999999914</c:v>
                </c:pt>
                <c:pt idx="623">
                  <c:v>17.299999999999915</c:v>
                </c:pt>
                <c:pt idx="624">
                  <c:v>17.399999999999917</c:v>
                </c:pt>
                <c:pt idx="625">
                  <c:v>17.499999999999918</c:v>
                </c:pt>
                <c:pt idx="626">
                  <c:v>17.59999999999992</c:v>
                </c:pt>
                <c:pt idx="627">
                  <c:v>17.699999999999921</c:v>
                </c:pt>
                <c:pt idx="628">
                  <c:v>17.799999999999923</c:v>
                </c:pt>
                <c:pt idx="629">
                  <c:v>17.899999999999924</c:v>
                </c:pt>
                <c:pt idx="630">
                  <c:v>17.999999999999925</c:v>
                </c:pt>
                <c:pt idx="631">
                  <c:v>18.099999999999927</c:v>
                </c:pt>
                <c:pt idx="632">
                  <c:v>18.199999999999928</c:v>
                </c:pt>
                <c:pt idx="633">
                  <c:v>18.29999999999993</c:v>
                </c:pt>
                <c:pt idx="634">
                  <c:v>18.399999999999931</c:v>
                </c:pt>
                <c:pt idx="635">
                  <c:v>18.499999999999932</c:v>
                </c:pt>
                <c:pt idx="636">
                  <c:v>18.599999999999934</c:v>
                </c:pt>
                <c:pt idx="637">
                  <c:v>18.699999999999935</c:v>
                </c:pt>
                <c:pt idx="638">
                  <c:v>18.799999999999937</c:v>
                </c:pt>
                <c:pt idx="639">
                  <c:v>18.899999999999938</c:v>
                </c:pt>
                <c:pt idx="640">
                  <c:v>18.99999999999994</c:v>
                </c:pt>
                <c:pt idx="641">
                  <c:v>19.099999999999941</c:v>
                </c:pt>
                <c:pt idx="642">
                  <c:v>19.199999999999942</c:v>
                </c:pt>
                <c:pt idx="643">
                  <c:v>19.299999999999944</c:v>
                </c:pt>
                <c:pt idx="644">
                  <c:v>19.399999999999945</c:v>
                </c:pt>
                <c:pt idx="645">
                  <c:v>19.499999999999947</c:v>
                </c:pt>
                <c:pt idx="646">
                  <c:v>19.599999999999948</c:v>
                </c:pt>
                <c:pt idx="647">
                  <c:v>19.69999999999995</c:v>
                </c:pt>
                <c:pt idx="648">
                  <c:v>19.799999999999951</c:v>
                </c:pt>
                <c:pt idx="649">
                  <c:v>19.899999999999952</c:v>
                </c:pt>
                <c:pt idx="650">
                  <c:v>19.999999999999954</c:v>
                </c:pt>
                <c:pt idx="651">
                  <c:v>20.099999999999955</c:v>
                </c:pt>
                <c:pt idx="652">
                  <c:v>20.199999999999957</c:v>
                </c:pt>
                <c:pt idx="653">
                  <c:v>20.299999999999958</c:v>
                </c:pt>
                <c:pt idx="654">
                  <c:v>20.399999999999959</c:v>
                </c:pt>
                <c:pt idx="655">
                  <c:v>20.499999999999961</c:v>
                </c:pt>
                <c:pt idx="656">
                  <c:v>20.599999999999962</c:v>
                </c:pt>
                <c:pt idx="657">
                  <c:v>20.699999999999964</c:v>
                </c:pt>
                <c:pt idx="658">
                  <c:v>20.799999999999965</c:v>
                </c:pt>
                <c:pt idx="659">
                  <c:v>20.899999999999967</c:v>
                </c:pt>
                <c:pt idx="660">
                  <c:v>20.999999999999968</c:v>
                </c:pt>
                <c:pt idx="661">
                  <c:v>21.099999999999969</c:v>
                </c:pt>
                <c:pt idx="662">
                  <c:v>21.199999999999971</c:v>
                </c:pt>
                <c:pt idx="663">
                  <c:v>21.299999999999972</c:v>
                </c:pt>
                <c:pt idx="664">
                  <c:v>21.399999999999974</c:v>
                </c:pt>
                <c:pt idx="665">
                  <c:v>21.499999999999975</c:v>
                </c:pt>
                <c:pt idx="666">
                  <c:v>21.599999999999977</c:v>
                </c:pt>
                <c:pt idx="667">
                  <c:v>21.699999999999978</c:v>
                </c:pt>
                <c:pt idx="668">
                  <c:v>21.799999999999979</c:v>
                </c:pt>
                <c:pt idx="669">
                  <c:v>21.899999999999981</c:v>
                </c:pt>
                <c:pt idx="670">
                  <c:v>21.999999999999982</c:v>
                </c:pt>
                <c:pt idx="671">
                  <c:v>22.099999999999984</c:v>
                </c:pt>
                <c:pt idx="672">
                  <c:v>22.199999999999985</c:v>
                </c:pt>
                <c:pt idx="673">
                  <c:v>22.299999999999986</c:v>
                </c:pt>
                <c:pt idx="674">
                  <c:v>22.399999999999988</c:v>
                </c:pt>
                <c:pt idx="675">
                  <c:v>22.499999999999989</c:v>
                </c:pt>
                <c:pt idx="676">
                  <c:v>22.599999999999991</c:v>
                </c:pt>
                <c:pt idx="677">
                  <c:v>22.699999999999992</c:v>
                </c:pt>
                <c:pt idx="678">
                  <c:v>22.799999999999994</c:v>
                </c:pt>
                <c:pt idx="679">
                  <c:v>22.899999999999995</c:v>
                </c:pt>
                <c:pt idx="680">
                  <c:v>22.999999999999996</c:v>
                </c:pt>
                <c:pt idx="681">
                  <c:v>23.099999999999998</c:v>
                </c:pt>
                <c:pt idx="682">
                  <c:v>23.2</c:v>
                </c:pt>
                <c:pt idx="683">
                  <c:v>23.3</c:v>
                </c:pt>
                <c:pt idx="684">
                  <c:v>23.400000000000002</c:v>
                </c:pt>
                <c:pt idx="685">
                  <c:v>23.500000000000004</c:v>
                </c:pt>
                <c:pt idx="686">
                  <c:v>23.600000000000005</c:v>
                </c:pt>
                <c:pt idx="687">
                  <c:v>23.700000000000006</c:v>
                </c:pt>
                <c:pt idx="688">
                  <c:v>23.800000000000008</c:v>
                </c:pt>
                <c:pt idx="689">
                  <c:v>23.900000000000009</c:v>
                </c:pt>
                <c:pt idx="690">
                  <c:v>24.000000000000011</c:v>
                </c:pt>
                <c:pt idx="691">
                  <c:v>24.100000000000012</c:v>
                </c:pt>
                <c:pt idx="692">
                  <c:v>24.200000000000014</c:v>
                </c:pt>
                <c:pt idx="693">
                  <c:v>24.300000000000015</c:v>
                </c:pt>
                <c:pt idx="694">
                  <c:v>24.400000000000016</c:v>
                </c:pt>
                <c:pt idx="695">
                  <c:v>24.500000000000018</c:v>
                </c:pt>
                <c:pt idx="696">
                  <c:v>24.600000000000019</c:v>
                </c:pt>
                <c:pt idx="697">
                  <c:v>24.700000000000021</c:v>
                </c:pt>
                <c:pt idx="698">
                  <c:v>24.800000000000022</c:v>
                </c:pt>
                <c:pt idx="699">
                  <c:v>24.900000000000023</c:v>
                </c:pt>
                <c:pt idx="700">
                  <c:v>25.000000000000025</c:v>
                </c:pt>
                <c:pt idx="701">
                  <c:v>25.100000000000026</c:v>
                </c:pt>
                <c:pt idx="702">
                  <c:v>25.200000000000028</c:v>
                </c:pt>
                <c:pt idx="703">
                  <c:v>25.300000000000029</c:v>
                </c:pt>
                <c:pt idx="704">
                  <c:v>25.400000000000031</c:v>
                </c:pt>
                <c:pt idx="705">
                  <c:v>25.500000000000032</c:v>
                </c:pt>
                <c:pt idx="706">
                  <c:v>25.600000000000033</c:v>
                </c:pt>
                <c:pt idx="707">
                  <c:v>25.700000000000035</c:v>
                </c:pt>
                <c:pt idx="708">
                  <c:v>25.800000000000036</c:v>
                </c:pt>
                <c:pt idx="709">
                  <c:v>25.900000000000038</c:v>
                </c:pt>
                <c:pt idx="710">
                  <c:v>26.000000000000039</c:v>
                </c:pt>
                <c:pt idx="711">
                  <c:v>26.100000000000041</c:v>
                </c:pt>
                <c:pt idx="712">
                  <c:v>26.200000000000042</c:v>
                </c:pt>
                <c:pt idx="713">
                  <c:v>26.300000000000043</c:v>
                </c:pt>
                <c:pt idx="714">
                  <c:v>26.400000000000045</c:v>
                </c:pt>
                <c:pt idx="715">
                  <c:v>26.500000000000046</c:v>
                </c:pt>
                <c:pt idx="716">
                  <c:v>26.600000000000048</c:v>
                </c:pt>
                <c:pt idx="717">
                  <c:v>26.700000000000049</c:v>
                </c:pt>
                <c:pt idx="718">
                  <c:v>26.80000000000005</c:v>
                </c:pt>
                <c:pt idx="719">
                  <c:v>26.900000000000052</c:v>
                </c:pt>
                <c:pt idx="720">
                  <c:v>27.000000000000053</c:v>
                </c:pt>
                <c:pt idx="721">
                  <c:v>27.100000000000055</c:v>
                </c:pt>
                <c:pt idx="722">
                  <c:v>27.200000000000056</c:v>
                </c:pt>
                <c:pt idx="723">
                  <c:v>27.300000000000058</c:v>
                </c:pt>
                <c:pt idx="724">
                  <c:v>27.400000000000059</c:v>
                </c:pt>
                <c:pt idx="725">
                  <c:v>27.50000000000006</c:v>
                </c:pt>
                <c:pt idx="726">
                  <c:v>27.600000000000062</c:v>
                </c:pt>
                <c:pt idx="727">
                  <c:v>27.700000000000063</c:v>
                </c:pt>
                <c:pt idx="728">
                  <c:v>27.800000000000065</c:v>
                </c:pt>
                <c:pt idx="729">
                  <c:v>27.900000000000066</c:v>
                </c:pt>
                <c:pt idx="730">
                  <c:v>28.000000000000068</c:v>
                </c:pt>
                <c:pt idx="731">
                  <c:v>28.100000000000069</c:v>
                </c:pt>
                <c:pt idx="732">
                  <c:v>28.20000000000007</c:v>
                </c:pt>
                <c:pt idx="733">
                  <c:v>28.300000000000072</c:v>
                </c:pt>
                <c:pt idx="734">
                  <c:v>28.400000000000073</c:v>
                </c:pt>
                <c:pt idx="735">
                  <c:v>28.500000000000075</c:v>
                </c:pt>
                <c:pt idx="736">
                  <c:v>28.600000000000076</c:v>
                </c:pt>
                <c:pt idx="737">
                  <c:v>28.700000000000077</c:v>
                </c:pt>
                <c:pt idx="738">
                  <c:v>28.800000000000079</c:v>
                </c:pt>
                <c:pt idx="739">
                  <c:v>28.90000000000008</c:v>
                </c:pt>
                <c:pt idx="740">
                  <c:v>29.000000000000082</c:v>
                </c:pt>
                <c:pt idx="741">
                  <c:v>29.100000000000083</c:v>
                </c:pt>
                <c:pt idx="742">
                  <c:v>29.200000000000085</c:v>
                </c:pt>
                <c:pt idx="743">
                  <c:v>29.300000000000086</c:v>
                </c:pt>
                <c:pt idx="744">
                  <c:v>29.400000000000087</c:v>
                </c:pt>
                <c:pt idx="745">
                  <c:v>29.500000000000089</c:v>
                </c:pt>
                <c:pt idx="746">
                  <c:v>29.60000000000009</c:v>
                </c:pt>
                <c:pt idx="747">
                  <c:v>29.700000000000092</c:v>
                </c:pt>
                <c:pt idx="748">
                  <c:v>29.800000000000093</c:v>
                </c:pt>
                <c:pt idx="749">
                  <c:v>29.900000000000095</c:v>
                </c:pt>
                <c:pt idx="750">
                  <c:v>30.000000000000096</c:v>
                </c:pt>
                <c:pt idx="751">
                  <c:v>30.100000000000097</c:v>
                </c:pt>
                <c:pt idx="752">
                  <c:v>30.200000000000099</c:v>
                </c:pt>
                <c:pt idx="753">
                  <c:v>30.3000000000001</c:v>
                </c:pt>
                <c:pt idx="754">
                  <c:v>30.400000000000102</c:v>
                </c:pt>
                <c:pt idx="755">
                  <c:v>30.500000000000103</c:v>
                </c:pt>
                <c:pt idx="756">
                  <c:v>30.600000000000104</c:v>
                </c:pt>
                <c:pt idx="757">
                  <c:v>30.700000000000106</c:v>
                </c:pt>
                <c:pt idx="758">
                  <c:v>30.800000000000107</c:v>
                </c:pt>
                <c:pt idx="759">
                  <c:v>30.900000000000109</c:v>
                </c:pt>
                <c:pt idx="760">
                  <c:v>31.00000000000011</c:v>
                </c:pt>
                <c:pt idx="761">
                  <c:v>31.100000000000112</c:v>
                </c:pt>
                <c:pt idx="762">
                  <c:v>31.200000000000113</c:v>
                </c:pt>
                <c:pt idx="763">
                  <c:v>31.300000000000114</c:v>
                </c:pt>
                <c:pt idx="764">
                  <c:v>31.400000000000116</c:v>
                </c:pt>
                <c:pt idx="765">
                  <c:v>31.500000000000117</c:v>
                </c:pt>
                <c:pt idx="766">
                  <c:v>31.600000000000119</c:v>
                </c:pt>
                <c:pt idx="767">
                  <c:v>31.70000000000012</c:v>
                </c:pt>
                <c:pt idx="768">
                  <c:v>31.800000000000122</c:v>
                </c:pt>
                <c:pt idx="769">
                  <c:v>31.900000000000123</c:v>
                </c:pt>
                <c:pt idx="770">
                  <c:v>32.000000000000121</c:v>
                </c:pt>
                <c:pt idx="771">
                  <c:v>32.100000000000122</c:v>
                </c:pt>
                <c:pt idx="772">
                  <c:v>32.200000000000124</c:v>
                </c:pt>
                <c:pt idx="773">
                  <c:v>32.300000000000125</c:v>
                </c:pt>
                <c:pt idx="774">
                  <c:v>32.400000000000126</c:v>
                </c:pt>
                <c:pt idx="775">
                  <c:v>32.500000000000128</c:v>
                </c:pt>
                <c:pt idx="776">
                  <c:v>32.600000000000129</c:v>
                </c:pt>
                <c:pt idx="777">
                  <c:v>32.700000000000131</c:v>
                </c:pt>
                <c:pt idx="778">
                  <c:v>32.800000000000132</c:v>
                </c:pt>
                <c:pt idx="779">
                  <c:v>32.900000000000134</c:v>
                </c:pt>
                <c:pt idx="780">
                  <c:v>33.000000000000135</c:v>
                </c:pt>
                <c:pt idx="781">
                  <c:v>33.100000000000136</c:v>
                </c:pt>
                <c:pt idx="782">
                  <c:v>33.200000000000138</c:v>
                </c:pt>
                <c:pt idx="783">
                  <c:v>33.300000000000139</c:v>
                </c:pt>
                <c:pt idx="784">
                  <c:v>33.400000000000141</c:v>
                </c:pt>
                <c:pt idx="785">
                  <c:v>33.500000000000142</c:v>
                </c:pt>
                <c:pt idx="786">
                  <c:v>33.600000000000144</c:v>
                </c:pt>
                <c:pt idx="787">
                  <c:v>33.700000000000145</c:v>
                </c:pt>
                <c:pt idx="788">
                  <c:v>33.800000000000146</c:v>
                </c:pt>
                <c:pt idx="789">
                  <c:v>33.900000000000148</c:v>
                </c:pt>
                <c:pt idx="790">
                  <c:v>34.000000000000149</c:v>
                </c:pt>
                <c:pt idx="791">
                  <c:v>34.100000000000151</c:v>
                </c:pt>
                <c:pt idx="792">
                  <c:v>34.200000000000152</c:v>
                </c:pt>
                <c:pt idx="793">
                  <c:v>34.300000000000153</c:v>
                </c:pt>
                <c:pt idx="794">
                  <c:v>34.400000000000155</c:v>
                </c:pt>
                <c:pt idx="795">
                  <c:v>34.500000000000156</c:v>
                </c:pt>
                <c:pt idx="796">
                  <c:v>34.600000000000158</c:v>
                </c:pt>
                <c:pt idx="797">
                  <c:v>34.700000000000159</c:v>
                </c:pt>
                <c:pt idx="798">
                  <c:v>34.800000000000161</c:v>
                </c:pt>
                <c:pt idx="799">
                  <c:v>34.900000000000162</c:v>
                </c:pt>
                <c:pt idx="800">
                  <c:v>35.000000000000163</c:v>
                </c:pt>
                <c:pt idx="801">
                  <c:v>35.100000000000165</c:v>
                </c:pt>
                <c:pt idx="802">
                  <c:v>35.200000000000166</c:v>
                </c:pt>
                <c:pt idx="803">
                  <c:v>35.300000000000168</c:v>
                </c:pt>
                <c:pt idx="804">
                  <c:v>35.400000000000169</c:v>
                </c:pt>
                <c:pt idx="805">
                  <c:v>35.500000000000171</c:v>
                </c:pt>
                <c:pt idx="806">
                  <c:v>35.600000000000172</c:v>
                </c:pt>
                <c:pt idx="807">
                  <c:v>35.700000000000173</c:v>
                </c:pt>
                <c:pt idx="808">
                  <c:v>35.800000000000175</c:v>
                </c:pt>
                <c:pt idx="809">
                  <c:v>35.900000000000176</c:v>
                </c:pt>
                <c:pt idx="810">
                  <c:v>36.000000000000178</c:v>
                </c:pt>
                <c:pt idx="811">
                  <c:v>36.100000000000179</c:v>
                </c:pt>
                <c:pt idx="812">
                  <c:v>36.20000000000018</c:v>
                </c:pt>
                <c:pt idx="813">
                  <c:v>36.300000000000182</c:v>
                </c:pt>
                <c:pt idx="814">
                  <c:v>36.400000000000183</c:v>
                </c:pt>
                <c:pt idx="815">
                  <c:v>36.500000000000185</c:v>
                </c:pt>
                <c:pt idx="816">
                  <c:v>36.600000000000186</c:v>
                </c:pt>
                <c:pt idx="817">
                  <c:v>36.700000000000188</c:v>
                </c:pt>
                <c:pt idx="818">
                  <c:v>36.800000000000189</c:v>
                </c:pt>
                <c:pt idx="819">
                  <c:v>36.90000000000019</c:v>
                </c:pt>
                <c:pt idx="820">
                  <c:v>37.000000000000192</c:v>
                </c:pt>
                <c:pt idx="821">
                  <c:v>37.100000000000193</c:v>
                </c:pt>
                <c:pt idx="822">
                  <c:v>37.200000000000195</c:v>
                </c:pt>
                <c:pt idx="823">
                  <c:v>37.300000000000196</c:v>
                </c:pt>
                <c:pt idx="824">
                  <c:v>37.400000000000198</c:v>
                </c:pt>
                <c:pt idx="825">
                  <c:v>37.500000000000199</c:v>
                </c:pt>
                <c:pt idx="826">
                  <c:v>37.6000000000002</c:v>
                </c:pt>
                <c:pt idx="827">
                  <c:v>37.700000000000202</c:v>
                </c:pt>
                <c:pt idx="828">
                  <c:v>37.800000000000203</c:v>
                </c:pt>
                <c:pt idx="829">
                  <c:v>37.900000000000205</c:v>
                </c:pt>
                <c:pt idx="830">
                  <c:v>38.000000000000206</c:v>
                </c:pt>
                <c:pt idx="831">
                  <c:v>38.100000000000207</c:v>
                </c:pt>
                <c:pt idx="832">
                  <c:v>38.200000000000209</c:v>
                </c:pt>
                <c:pt idx="833">
                  <c:v>38.30000000000021</c:v>
                </c:pt>
                <c:pt idx="834">
                  <c:v>38.400000000000212</c:v>
                </c:pt>
                <c:pt idx="835">
                  <c:v>38.500000000000213</c:v>
                </c:pt>
                <c:pt idx="836">
                  <c:v>38.600000000000215</c:v>
                </c:pt>
                <c:pt idx="837">
                  <c:v>38.700000000000216</c:v>
                </c:pt>
                <c:pt idx="838">
                  <c:v>38.800000000000217</c:v>
                </c:pt>
                <c:pt idx="839">
                  <c:v>38.900000000000219</c:v>
                </c:pt>
                <c:pt idx="840">
                  <c:v>39.00000000000022</c:v>
                </c:pt>
                <c:pt idx="841">
                  <c:v>39.100000000000222</c:v>
                </c:pt>
                <c:pt idx="842">
                  <c:v>39.200000000000223</c:v>
                </c:pt>
                <c:pt idx="843">
                  <c:v>39.300000000000225</c:v>
                </c:pt>
                <c:pt idx="844">
                  <c:v>39.400000000000226</c:v>
                </c:pt>
                <c:pt idx="845">
                  <c:v>39.500000000000227</c:v>
                </c:pt>
                <c:pt idx="846">
                  <c:v>39.600000000000229</c:v>
                </c:pt>
                <c:pt idx="847">
                  <c:v>39.70000000000023</c:v>
                </c:pt>
                <c:pt idx="848">
                  <c:v>39.800000000000232</c:v>
                </c:pt>
                <c:pt idx="849">
                  <c:v>39.900000000000233</c:v>
                </c:pt>
                <c:pt idx="850">
                  <c:v>40.000000000000234</c:v>
                </c:pt>
                <c:pt idx="851">
                  <c:v>40.100000000000236</c:v>
                </c:pt>
                <c:pt idx="852">
                  <c:v>40.200000000000237</c:v>
                </c:pt>
                <c:pt idx="853">
                  <c:v>40.300000000000239</c:v>
                </c:pt>
                <c:pt idx="854">
                  <c:v>40.40000000000024</c:v>
                </c:pt>
                <c:pt idx="855">
                  <c:v>40.500000000000242</c:v>
                </c:pt>
                <c:pt idx="856">
                  <c:v>40.600000000000243</c:v>
                </c:pt>
                <c:pt idx="857">
                  <c:v>40.700000000000244</c:v>
                </c:pt>
                <c:pt idx="858">
                  <c:v>40.800000000000246</c:v>
                </c:pt>
                <c:pt idx="859">
                  <c:v>40.900000000000247</c:v>
                </c:pt>
                <c:pt idx="860">
                  <c:v>41.000000000000249</c:v>
                </c:pt>
                <c:pt idx="861">
                  <c:v>41.10000000000025</c:v>
                </c:pt>
                <c:pt idx="862">
                  <c:v>41.200000000000252</c:v>
                </c:pt>
                <c:pt idx="863">
                  <c:v>41.300000000000253</c:v>
                </c:pt>
                <c:pt idx="864">
                  <c:v>41.400000000000254</c:v>
                </c:pt>
                <c:pt idx="865">
                  <c:v>41.500000000000256</c:v>
                </c:pt>
                <c:pt idx="866">
                  <c:v>41.600000000000257</c:v>
                </c:pt>
                <c:pt idx="867">
                  <c:v>41.700000000000259</c:v>
                </c:pt>
                <c:pt idx="868">
                  <c:v>41.80000000000026</c:v>
                </c:pt>
                <c:pt idx="869">
                  <c:v>41.900000000000261</c:v>
                </c:pt>
                <c:pt idx="870">
                  <c:v>42.000000000000263</c:v>
                </c:pt>
                <c:pt idx="871">
                  <c:v>42.100000000000264</c:v>
                </c:pt>
                <c:pt idx="872">
                  <c:v>42.200000000000266</c:v>
                </c:pt>
                <c:pt idx="873">
                  <c:v>42.300000000000267</c:v>
                </c:pt>
                <c:pt idx="874">
                  <c:v>42.400000000000269</c:v>
                </c:pt>
                <c:pt idx="875">
                  <c:v>42.50000000000027</c:v>
                </c:pt>
                <c:pt idx="876">
                  <c:v>42.600000000000271</c:v>
                </c:pt>
                <c:pt idx="877">
                  <c:v>42.700000000000273</c:v>
                </c:pt>
                <c:pt idx="878">
                  <c:v>42.800000000000274</c:v>
                </c:pt>
                <c:pt idx="879">
                  <c:v>42.900000000000276</c:v>
                </c:pt>
                <c:pt idx="880">
                  <c:v>43.000000000000277</c:v>
                </c:pt>
                <c:pt idx="881">
                  <c:v>43.100000000000279</c:v>
                </c:pt>
                <c:pt idx="882">
                  <c:v>43.20000000000028</c:v>
                </c:pt>
                <c:pt idx="883">
                  <c:v>43.300000000000281</c:v>
                </c:pt>
                <c:pt idx="884">
                  <c:v>43.400000000000283</c:v>
                </c:pt>
                <c:pt idx="885">
                  <c:v>43.500000000000284</c:v>
                </c:pt>
                <c:pt idx="886">
                  <c:v>43.600000000000286</c:v>
                </c:pt>
                <c:pt idx="887">
                  <c:v>43.700000000000287</c:v>
                </c:pt>
                <c:pt idx="888">
                  <c:v>43.800000000000288</c:v>
                </c:pt>
                <c:pt idx="889">
                  <c:v>43.90000000000029</c:v>
                </c:pt>
                <c:pt idx="890">
                  <c:v>44.000000000000291</c:v>
                </c:pt>
                <c:pt idx="891">
                  <c:v>44.100000000000293</c:v>
                </c:pt>
                <c:pt idx="892">
                  <c:v>44.200000000000294</c:v>
                </c:pt>
                <c:pt idx="893">
                  <c:v>44.300000000000296</c:v>
                </c:pt>
                <c:pt idx="894">
                  <c:v>44.400000000000297</c:v>
                </c:pt>
                <c:pt idx="895">
                  <c:v>44.500000000000298</c:v>
                </c:pt>
                <c:pt idx="896">
                  <c:v>44.6000000000003</c:v>
                </c:pt>
                <c:pt idx="897">
                  <c:v>44.700000000000301</c:v>
                </c:pt>
                <c:pt idx="898">
                  <c:v>44.800000000000303</c:v>
                </c:pt>
                <c:pt idx="899">
                  <c:v>44.900000000000304</c:v>
                </c:pt>
                <c:pt idx="900">
                  <c:v>45.000000000000306</c:v>
                </c:pt>
                <c:pt idx="901">
                  <c:v>45.100000000000307</c:v>
                </c:pt>
                <c:pt idx="902">
                  <c:v>45.200000000000308</c:v>
                </c:pt>
                <c:pt idx="903">
                  <c:v>45.30000000000031</c:v>
                </c:pt>
                <c:pt idx="904">
                  <c:v>45.400000000000311</c:v>
                </c:pt>
                <c:pt idx="905">
                  <c:v>45.500000000000313</c:v>
                </c:pt>
                <c:pt idx="906">
                  <c:v>45.600000000000314</c:v>
                </c:pt>
                <c:pt idx="907">
                  <c:v>45.700000000000315</c:v>
                </c:pt>
                <c:pt idx="908">
                  <c:v>45.800000000000317</c:v>
                </c:pt>
                <c:pt idx="909">
                  <c:v>45.900000000000318</c:v>
                </c:pt>
                <c:pt idx="910">
                  <c:v>46.00000000000032</c:v>
                </c:pt>
                <c:pt idx="911">
                  <c:v>46.100000000000321</c:v>
                </c:pt>
                <c:pt idx="912">
                  <c:v>46.200000000000323</c:v>
                </c:pt>
                <c:pt idx="913">
                  <c:v>46.300000000000324</c:v>
                </c:pt>
                <c:pt idx="914">
                  <c:v>46.400000000000325</c:v>
                </c:pt>
                <c:pt idx="915">
                  <c:v>46.500000000000327</c:v>
                </c:pt>
                <c:pt idx="916">
                  <c:v>46.600000000000328</c:v>
                </c:pt>
                <c:pt idx="917">
                  <c:v>46.70000000000033</c:v>
                </c:pt>
                <c:pt idx="918">
                  <c:v>46.800000000000331</c:v>
                </c:pt>
                <c:pt idx="919">
                  <c:v>46.900000000000333</c:v>
                </c:pt>
                <c:pt idx="920">
                  <c:v>47.000000000000334</c:v>
                </c:pt>
                <c:pt idx="921">
                  <c:v>47.100000000000335</c:v>
                </c:pt>
                <c:pt idx="922">
                  <c:v>47.200000000000337</c:v>
                </c:pt>
                <c:pt idx="923">
                  <c:v>47.300000000000338</c:v>
                </c:pt>
                <c:pt idx="924">
                  <c:v>47.40000000000034</c:v>
                </c:pt>
                <c:pt idx="925">
                  <c:v>47.500000000000341</c:v>
                </c:pt>
                <c:pt idx="926">
                  <c:v>47.600000000000342</c:v>
                </c:pt>
                <c:pt idx="927">
                  <c:v>47.700000000000344</c:v>
                </c:pt>
                <c:pt idx="928">
                  <c:v>47.800000000000345</c:v>
                </c:pt>
                <c:pt idx="929">
                  <c:v>47.900000000000347</c:v>
                </c:pt>
                <c:pt idx="930">
                  <c:v>48.000000000000348</c:v>
                </c:pt>
                <c:pt idx="931">
                  <c:v>48.10000000000035</c:v>
                </c:pt>
                <c:pt idx="932">
                  <c:v>48.200000000000351</c:v>
                </c:pt>
                <c:pt idx="933">
                  <c:v>48.300000000000352</c:v>
                </c:pt>
                <c:pt idx="934">
                  <c:v>48.400000000000354</c:v>
                </c:pt>
                <c:pt idx="935">
                  <c:v>48.500000000000355</c:v>
                </c:pt>
                <c:pt idx="936">
                  <c:v>48.600000000000357</c:v>
                </c:pt>
                <c:pt idx="937">
                  <c:v>48.700000000000358</c:v>
                </c:pt>
                <c:pt idx="938">
                  <c:v>48.80000000000036</c:v>
                </c:pt>
                <c:pt idx="939">
                  <c:v>48.900000000000361</c:v>
                </c:pt>
                <c:pt idx="940">
                  <c:v>49.000000000000362</c:v>
                </c:pt>
                <c:pt idx="941">
                  <c:v>49.100000000000364</c:v>
                </c:pt>
                <c:pt idx="942">
                  <c:v>49.200000000000365</c:v>
                </c:pt>
                <c:pt idx="943">
                  <c:v>49.300000000000367</c:v>
                </c:pt>
                <c:pt idx="944">
                  <c:v>49.400000000000368</c:v>
                </c:pt>
                <c:pt idx="945">
                  <c:v>49.500000000000369</c:v>
                </c:pt>
                <c:pt idx="946">
                  <c:v>49.600000000000371</c:v>
                </c:pt>
                <c:pt idx="947">
                  <c:v>49.700000000000372</c:v>
                </c:pt>
                <c:pt idx="948">
                  <c:v>49.800000000000374</c:v>
                </c:pt>
                <c:pt idx="949">
                  <c:v>49.900000000000375</c:v>
                </c:pt>
                <c:pt idx="950">
                  <c:v>50.000000000000377</c:v>
                </c:pt>
                <c:pt idx="951">
                  <c:v>50.100000000000378</c:v>
                </c:pt>
                <c:pt idx="952">
                  <c:v>50.200000000000379</c:v>
                </c:pt>
                <c:pt idx="953">
                  <c:v>50.300000000000381</c:v>
                </c:pt>
                <c:pt idx="954">
                  <c:v>50.400000000000382</c:v>
                </c:pt>
                <c:pt idx="955">
                  <c:v>50.500000000000384</c:v>
                </c:pt>
                <c:pt idx="956">
                  <c:v>50.600000000000385</c:v>
                </c:pt>
                <c:pt idx="957">
                  <c:v>50.700000000000387</c:v>
                </c:pt>
                <c:pt idx="958">
                  <c:v>50.800000000000388</c:v>
                </c:pt>
                <c:pt idx="959">
                  <c:v>50.900000000000389</c:v>
                </c:pt>
                <c:pt idx="960">
                  <c:v>51.000000000000391</c:v>
                </c:pt>
                <c:pt idx="961">
                  <c:v>51.100000000000392</c:v>
                </c:pt>
                <c:pt idx="962">
                  <c:v>51.200000000000394</c:v>
                </c:pt>
                <c:pt idx="963">
                  <c:v>51.300000000000395</c:v>
                </c:pt>
                <c:pt idx="964">
                  <c:v>51.400000000000396</c:v>
                </c:pt>
                <c:pt idx="965">
                  <c:v>51.500000000000398</c:v>
                </c:pt>
                <c:pt idx="966">
                  <c:v>51.600000000000399</c:v>
                </c:pt>
                <c:pt idx="967">
                  <c:v>51.700000000000401</c:v>
                </c:pt>
                <c:pt idx="968">
                  <c:v>51.800000000000402</c:v>
                </c:pt>
                <c:pt idx="969">
                  <c:v>51.900000000000404</c:v>
                </c:pt>
                <c:pt idx="970">
                  <c:v>52.000000000000405</c:v>
                </c:pt>
                <c:pt idx="971">
                  <c:v>52.100000000000406</c:v>
                </c:pt>
                <c:pt idx="972">
                  <c:v>52.200000000000408</c:v>
                </c:pt>
                <c:pt idx="973">
                  <c:v>52.300000000000409</c:v>
                </c:pt>
                <c:pt idx="974">
                  <c:v>52.400000000000411</c:v>
                </c:pt>
                <c:pt idx="975">
                  <c:v>52.500000000000412</c:v>
                </c:pt>
                <c:pt idx="976">
                  <c:v>52.600000000000414</c:v>
                </c:pt>
                <c:pt idx="977">
                  <c:v>52.700000000000415</c:v>
                </c:pt>
                <c:pt idx="978">
                  <c:v>52.800000000000416</c:v>
                </c:pt>
                <c:pt idx="979">
                  <c:v>52.80010000000042</c:v>
                </c:pt>
                <c:pt idx="980">
                  <c:v>52.800200000000423</c:v>
                </c:pt>
                <c:pt idx="981">
                  <c:v>52.800300000000426</c:v>
                </c:pt>
                <c:pt idx="982">
                  <c:v>52.80040000000043</c:v>
                </c:pt>
                <c:pt idx="983">
                  <c:v>52.800500000000433</c:v>
                </c:pt>
                <c:pt idx="984">
                  <c:v>52.800600000000436</c:v>
                </c:pt>
                <c:pt idx="985">
                  <c:v>52.80070000000044</c:v>
                </c:pt>
                <c:pt idx="986">
                  <c:v>52.800800000000443</c:v>
                </c:pt>
                <c:pt idx="987">
                  <c:v>52.800900000000446</c:v>
                </c:pt>
                <c:pt idx="988">
                  <c:v>52.80100000000045</c:v>
                </c:pt>
                <c:pt idx="989">
                  <c:v>52.801100000000453</c:v>
                </c:pt>
                <c:pt idx="990">
                  <c:v>52.801200000000456</c:v>
                </c:pt>
                <c:pt idx="991">
                  <c:v>52.80130000000046</c:v>
                </c:pt>
                <c:pt idx="992">
                  <c:v>52.801400000000463</c:v>
                </c:pt>
                <c:pt idx="993">
                  <c:v>52.801500000000466</c:v>
                </c:pt>
                <c:pt idx="994">
                  <c:v>52.801600000000469</c:v>
                </c:pt>
                <c:pt idx="995">
                  <c:v>52.801700000000473</c:v>
                </c:pt>
                <c:pt idx="996">
                  <c:v>52.801800000000476</c:v>
                </c:pt>
                <c:pt idx="997">
                  <c:v>52.801900000000479</c:v>
                </c:pt>
                <c:pt idx="998">
                  <c:v>52.802000000000483</c:v>
                </c:pt>
                <c:pt idx="999">
                  <c:v>52.802100000000486</c:v>
                </c:pt>
                <c:pt idx="1000">
                  <c:v>52.802200000000489</c:v>
                </c:pt>
              </c:numCache>
            </c:numRef>
          </c:xVal>
          <c:yVal>
            <c:numRef>
              <c:f>Calculs!$T$4:$T$1004</c:f>
              <c:numCache>
                <c:formatCode>0.00</c:formatCode>
                <c:ptCount val="1001"/>
                <c:pt idx="0">
                  <c:v>81.825210000000013</c:v>
                </c:pt>
                <c:pt idx="1">
                  <c:v>81.814659329656095</c:v>
                </c:pt>
                <c:pt idx="2">
                  <c:v>81.792472508833526</c:v>
                </c:pt>
                <c:pt idx="3">
                  <c:v>81.765461089182679</c:v>
                </c:pt>
                <c:pt idx="4">
                  <c:v>81.733625070703539</c:v>
                </c:pt>
                <c:pt idx="5">
                  <c:v>81.696964453396134</c:v>
                </c:pt>
                <c:pt idx="6">
                  <c:v>81.655479237260451</c:v>
                </c:pt>
                <c:pt idx="7">
                  <c:v>81.609169422296475</c:v>
                </c:pt>
                <c:pt idx="8">
                  <c:v>81.55803500850422</c:v>
                </c:pt>
                <c:pt idx="9">
                  <c:v>81.5020759958837</c:v>
                </c:pt>
                <c:pt idx="10">
                  <c:v>81.441292384434902</c:v>
                </c:pt>
                <c:pt idx="11">
                  <c:v>81.378452749119205</c:v>
                </c:pt>
                <c:pt idx="12">
                  <c:v>81.316325664898002</c:v>
                </c:pt>
                <c:pt idx="13">
                  <c:v>81.254932192394776</c:v>
                </c:pt>
                <c:pt idx="14">
                  <c:v>81.194293392232993</c:v>
                </c:pt>
                <c:pt idx="15">
                  <c:v>81.134409264412668</c:v>
                </c:pt>
                <c:pt idx="16">
                  <c:v>81.0752798089338</c:v>
                </c:pt>
                <c:pt idx="17">
                  <c:v>81.016905025796376</c:v>
                </c:pt>
                <c:pt idx="18">
                  <c:v>80.95928491500041</c:v>
                </c:pt>
                <c:pt idx="19">
                  <c:v>80.902419476545887</c:v>
                </c:pt>
                <c:pt idx="20">
                  <c:v>80.846308710432837</c:v>
                </c:pt>
                <c:pt idx="21">
                  <c:v>80.79095261666123</c:v>
                </c:pt>
                <c:pt idx="22">
                  <c:v>80.736351195231066</c:v>
                </c:pt>
                <c:pt idx="23">
                  <c:v>80.68250444614236</c:v>
                </c:pt>
                <c:pt idx="24">
                  <c:v>80.629412369395112</c:v>
                </c:pt>
                <c:pt idx="25">
                  <c:v>80.577074964989308</c:v>
                </c:pt>
                <c:pt idx="26">
                  <c:v>80.525492232924961</c:v>
                </c:pt>
                <c:pt idx="27">
                  <c:v>80.474295027273826</c:v>
                </c:pt>
                <c:pt idx="28">
                  <c:v>80.423114202107612</c:v>
                </c:pt>
                <c:pt idx="29">
                  <c:v>80.371949757426322</c:v>
                </c:pt>
                <c:pt idx="30">
                  <c:v>80.320801693229967</c:v>
                </c:pt>
                <c:pt idx="31">
                  <c:v>80.269670009518549</c:v>
                </c:pt>
                <c:pt idx="32">
                  <c:v>80.218554706292068</c:v>
                </c:pt>
                <c:pt idx="33">
                  <c:v>80.167455783550494</c:v>
                </c:pt>
                <c:pt idx="34">
                  <c:v>80.116373241293857</c:v>
                </c:pt>
                <c:pt idx="35">
                  <c:v>80.065307079522157</c:v>
                </c:pt>
                <c:pt idx="36">
                  <c:v>80.014257298235393</c:v>
                </c:pt>
                <c:pt idx="37">
                  <c:v>79.963223897433551</c:v>
                </c:pt>
                <c:pt idx="38">
                  <c:v>79.912206877116631</c:v>
                </c:pt>
                <c:pt idx="39">
                  <c:v>79.861206237284662</c:v>
                </c:pt>
                <c:pt idx="40">
                  <c:v>79.810221977937616</c:v>
                </c:pt>
                <c:pt idx="41">
                  <c:v>79.759254099075491</c:v>
                </c:pt>
                <c:pt idx="42">
                  <c:v>79.708302600698303</c:v>
                </c:pt>
                <c:pt idx="43">
                  <c:v>79.657367482806052</c:v>
                </c:pt>
                <c:pt idx="44">
                  <c:v>79.606448745398723</c:v>
                </c:pt>
                <c:pt idx="45">
                  <c:v>79.555546388476344</c:v>
                </c:pt>
                <c:pt idx="46">
                  <c:v>79.504660412038874</c:v>
                </c:pt>
                <c:pt idx="47">
                  <c:v>79.45379081608634</c:v>
                </c:pt>
                <c:pt idx="48">
                  <c:v>79.402937600618742</c:v>
                </c:pt>
                <c:pt idx="49">
                  <c:v>79.352100765636081</c:v>
                </c:pt>
                <c:pt idx="50">
                  <c:v>79.301280311138342</c:v>
                </c:pt>
                <c:pt idx="51">
                  <c:v>79.250476237125525</c:v>
                </c:pt>
                <c:pt idx="52">
                  <c:v>79.199688543597645</c:v>
                </c:pt>
                <c:pt idx="53">
                  <c:v>79.148917230554702</c:v>
                </c:pt>
                <c:pt idx="54">
                  <c:v>79.09816229799668</c:v>
                </c:pt>
                <c:pt idx="55">
                  <c:v>79.047423745923595</c:v>
                </c:pt>
                <c:pt idx="56">
                  <c:v>78.996701574335447</c:v>
                </c:pt>
                <c:pt idx="57">
                  <c:v>78.94599578323222</c:v>
                </c:pt>
                <c:pt idx="58">
                  <c:v>78.895306372613945</c:v>
                </c:pt>
                <c:pt idx="59">
                  <c:v>78.844633342480577</c:v>
                </c:pt>
                <c:pt idx="60">
                  <c:v>78.793976692832146</c:v>
                </c:pt>
                <c:pt idx="61">
                  <c:v>78.743336423668637</c:v>
                </c:pt>
                <c:pt idx="62">
                  <c:v>78.692712534990079</c:v>
                </c:pt>
                <c:pt idx="63">
                  <c:v>78.642105026796429</c:v>
                </c:pt>
                <c:pt idx="64">
                  <c:v>78.59151389908773</c:v>
                </c:pt>
                <c:pt idx="65">
                  <c:v>78.540939151863952</c:v>
                </c:pt>
                <c:pt idx="66">
                  <c:v>78.490380785125112</c:v>
                </c:pt>
                <c:pt idx="67">
                  <c:v>78.439838798871193</c:v>
                </c:pt>
                <c:pt idx="68">
                  <c:v>78.389313193102211</c:v>
                </c:pt>
                <c:pt idx="69">
                  <c:v>78.338803967818151</c:v>
                </c:pt>
                <c:pt idx="70">
                  <c:v>78.288311123019028</c:v>
                </c:pt>
                <c:pt idx="71">
                  <c:v>78.237834658704841</c:v>
                </c:pt>
                <c:pt idx="72">
                  <c:v>78.187378713103342</c:v>
                </c:pt>
                <c:pt idx="73">
                  <c:v>78.136947424442326</c:v>
                </c:pt>
                <c:pt idx="74">
                  <c:v>78.086540792721792</c:v>
                </c:pt>
                <c:pt idx="75">
                  <c:v>78.036158817941725</c:v>
                </c:pt>
                <c:pt idx="76">
                  <c:v>77.985801500102141</c:v>
                </c:pt>
                <c:pt idx="77">
                  <c:v>77.935468839203025</c:v>
                </c:pt>
                <c:pt idx="78">
                  <c:v>77.885160835244378</c:v>
                </c:pt>
                <c:pt idx="79">
                  <c:v>77.834877488226212</c:v>
                </c:pt>
                <c:pt idx="80">
                  <c:v>77.784618798148514</c:v>
                </c:pt>
                <c:pt idx="81">
                  <c:v>77.734384765011299</c:v>
                </c:pt>
                <c:pt idx="82">
                  <c:v>77.684175388814552</c:v>
                </c:pt>
                <c:pt idx="83">
                  <c:v>77.633990669558287</c:v>
                </c:pt>
                <c:pt idx="84">
                  <c:v>77.583830607242504</c:v>
                </c:pt>
                <c:pt idx="85">
                  <c:v>77.533695201867175</c:v>
                </c:pt>
                <c:pt idx="86">
                  <c:v>77.483584453432329</c:v>
                </c:pt>
                <c:pt idx="87">
                  <c:v>77.433498361937964</c:v>
                </c:pt>
                <c:pt idx="88">
                  <c:v>77.383436927384068</c:v>
                </c:pt>
                <c:pt idx="89">
                  <c:v>77.33340014977064</c:v>
                </c:pt>
                <c:pt idx="90">
                  <c:v>77.283388029097708</c:v>
                </c:pt>
                <c:pt idx="91">
                  <c:v>77.23340056536523</c:v>
                </c:pt>
                <c:pt idx="92">
                  <c:v>77.183437758573248</c:v>
                </c:pt>
                <c:pt idx="93">
                  <c:v>77.133499608721721</c:v>
                </c:pt>
                <c:pt idx="94">
                  <c:v>77.083586115810675</c:v>
                </c:pt>
                <c:pt idx="95">
                  <c:v>77.033697279840098</c:v>
                </c:pt>
                <c:pt idx="96">
                  <c:v>76.983833100810003</c:v>
                </c:pt>
                <c:pt idx="97">
                  <c:v>76.933993578720376</c:v>
                </c:pt>
                <c:pt idx="98">
                  <c:v>76.884178713571231</c:v>
                </c:pt>
                <c:pt idx="99">
                  <c:v>76.834388505362568</c:v>
                </c:pt>
                <c:pt idx="100">
                  <c:v>76.784622954094374</c:v>
                </c:pt>
                <c:pt idx="101">
                  <c:v>76.734882059766647</c:v>
                </c:pt>
                <c:pt idx="102">
                  <c:v>76.685165822379403</c:v>
                </c:pt>
                <c:pt idx="103">
                  <c:v>76.635474241932627</c:v>
                </c:pt>
                <c:pt idx="104">
                  <c:v>76.585807318426319</c:v>
                </c:pt>
                <c:pt idx="105">
                  <c:v>76.536165051860507</c:v>
                </c:pt>
                <c:pt idx="106">
                  <c:v>76.48654744223515</c:v>
                </c:pt>
                <c:pt idx="107">
                  <c:v>76.436954489550288</c:v>
                </c:pt>
                <c:pt idx="108">
                  <c:v>76.387386193805895</c:v>
                </c:pt>
                <c:pt idx="109">
                  <c:v>76.337842555001956</c:v>
                </c:pt>
                <c:pt idx="110">
                  <c:v>76.288323573138513</c:v>
                </c:pt>
                <c:pt idx="111">
                  <c:v>76.238829248215538</c:v>
                </c:pt>
                <c:pt idx="112">
                  <c:v>76.189359580233031</c:v>
                </c:pt>
                <c:pt idx="113">
                  <c:v>76.139914569191006</c:v>
                </c:pt>
                <c:pt idx="114">
                  <c:v>76.090494215089464</c:v>
                </c:pt>
                <c:pt idx="115">
                  <c:v>76.04109851792839</c:v>
                </c:pt>
                <c:pt idx="116">
                  <c:v>75.991727477707784</c:v>
                </c:pt>
                <c:pt idx="117">
                  <c:v>75.94238109442766</c:v>
                </c:pt>
                <c:pt idx="118">
                  <c:v>75.893059368088004</c:v>
                </c:pt>
                <c:pt idx="119">
                  <c:v>75.84376229868883</c:v>
                </c:pt>
                <c:pt idx="120">
                  <c:v>75.794489886230124</c:v>
                </c:pt>
                <c:pt idx="121">
                  <c:v>75.745242130711901</c:v>
                </c:pt>
                <c:pt idx="122">
                  <c:v>75.696019032134146</c:v>
                </c:pt>
                <c:pt idx="123">
                  <c:v>75.646820590496873</c:v>
                </c:pt>
                <c:pt idx="124">
                  <c:v>75.597646805800082</c:v>
                </c:pt>
                <c:pt idx="125">
                  <c:v>75.548497678043745</c:v>
                </c:pt>
                <c:pt idx="126">
                  <c:v>75.49937320722789</c:v>
                </c:pt>
                <c:pt idx="127">
                  <c:v>75.450273393352504</c:v>
                </c:pt>
                <c:pt idx="128">
                  <c:v>75.401198236417599</c:v>
                </c:pt>
                <c:pt idx="129">
                  <c:v>75.352166360687448</c:v>
                </c:pt>
                <c:pt idx="130">
                  <c:v>75.303196390426308</c:v>
                </c:pt>
                <c:pt idx="131">
                  <c:v>75.254288325634207</c:v>
                </c:pt>
                <c:pt idx="132">
                  <c:v>75.20544216631113</c:v>
                </c:pt>
                <c:pt idx="133">
                  <c:v>75.156657912457064</c:v>
                </c:pt>
                <c:pt idx="134">
                  <c:v>75.107935564072037</c:v>
                </c:pt>
                <c:pt idx="135">
                  <c:v>75.059275121156034</c:v>
                </c:pt>
                <c:pt idx="136">
                  <c:v>75.010676583709042</c:v>
                </c:pt>
                <c:pt idx="137">
                  <c:v>74.962139951731075</c:v>
                </c:pt>
                <c:pt idx="138">
                  <c:v>74.913665225222147</c:v>
                </c:pt>
                <c:pt idx="139">
                  <c:v>74.865252404182229</c:v>
                </c:pt>
                <c:pt idx="140">
                  <c:v>74.81690148861135</c:v>
                </c:pt>
                <c:pt idx="141">
                  <c:v>74.768612478509468</c:v>
                </c:pt>
                <c:pt idx="142">
                  <c:v>74.720385373876624</c:v>
                </c:pt>
                <c:pt idx="143">
                  <c:v>74.67222017471282</c:v>
                </c:pt>
                <c:pt idx="144">
                  <c:v>74.624116881018026</c:v>
                </c:pt>
                <c:pt idx="145">
                  <c:v>74.576075492792256</c:v>
                </c:pt>
                <c:pt idx="146">
                  <c:v>74.528096010035512</c:v>
                </c:pt>
                <c:pt idx="147">
                  <c:v>74.480178432747792</c:v>
                </c:pt>
                <c:pt idx="148">
                  <c:v>74.432322760929083</c:v>
                </c:pt>
                <c:pt idx="149">
                  <c:v>74.384528994579412</c:v>
                </c:pt>
                <c:pt idx="150">
                  <c:v>74.336797133698767</c:v>
                </c:pt>
                <c:pt idx="151">
                  <c:v>74.289127178287146</c:v>
                </c:pt>
                <c:pt idx="152">
                  <c:v>74.241519128344549</c:v>
                </c:pt>
                <c:pt idx="153">
                  <c:v>74.193972983870964</c:v>
                </c:pt>
                <c:pt idx="154">
                  <c:v>74.146488744866417</c:v>
                </c:pt>
                <c:pt idx="155">
                  <c:v>74.099066411330881</c:v>
                </c:pt>
                <c:pt idx="156">
                  <c:v>74.051705983264384</c:v>
                </c:pt>
                <c:pt idx="157">
                  <c:v>74.004407460666897</c:v>
                </c:pt>
                <c:pt idx="158">
                  <c:v>73.957170843538449</c:v>
                </c:pt>
                <c:pt idx="159">
                  <c:v>73.909996131879026</c:v>
                </c:pt>
                <c:pt idx="160">
                  <c:v>73.862883325688614</c:v>
                </c:pt>
                <c:pt idx="161">
                  <c:v>73.815832424967226</c:v>
                </c:pt>
                <c:pt idx="162">
                  <c:v>73.768843429714863</c:v>
                </c:pt>
                <c:pt idx="163">
                  <c:v>73.721916339931539</c:v>
                </c:pt>
                <c:pt idx="164">
                  <c:v>73.675051155617226</c:v>
                </c:pt>
                <c:pt idx="165">
                  <c:v>73.628247876771937</c:v>
                </c:pt>
                <c:pt idx="166">
                  <c:v>73.581506503395673</c:v>
                </c:pt>
                <c:pt idx="167">
                  <c:v>73.534827035488433</c:v>
                </c:pt>
                <c:pt idx="168">
                  <c:v>73.488209473050219</c:v>
                </c:pt>
                <c:pt idx="169">
                  <c:v>73.441653816081029</c:v>
                </c:pt>
                <c:pt idx="170">
                  <c:v>73.395160064580864</c:v>
                </c:pt>
                <c:pt idx="171">
                  <c:v>73.348728218549724</c:v>
                </c:pt>
                <c:pt idx="172">
                  <c:v>73.302358277987608</c:v>
                </c:pt>
                <c:pt idx="173">
                  <c:v>73.256050242894517</c:v>
                </c:pt>
                <c:pt idx="174">
                  <c:v>73.209804113270437</c:v>
                </c:pt>
                <c:pt idx="175">
                  <c:v>73.163619889115395</c:v>
                </c:pt>
                <c:pt idx="176">
                  <c:v>73.117497570429379</c:v>
                </c:pt>
                <c:pt idx="177">
                  <c:v>73.071437157212387</c:v>
                </c:pt>
                <c:pt idx="178">
                  <c:v>73.025438649464405</c:v>
                </c:pt>
                <c:pt idx="179">
                  <c:v>72.979502047185449</c:v>
                </c:pt>
                <c:pt idx="180">
                  <c:v>72.933627350375531</c:v>
                </c:pt>
                <c:pt idx="181">
                  <c:v>72.887814559034624</c:v>
                </c:pt>
                <c:pt idx="182">
                  <c:v>72.842063673162755</c:v>
                </c:pt>
                <c:pt idx="183">
                  <c:v>72.796374692759898</c:v>
                </c:pt>
                <c:pt idx="184">
                  <c:v>72.750747617826065</c:v>
                </c:pt>
                <c:pt idx="185">
                  <c:v>72.705182448361271</c:v>
                </c:pt>
                <c:pt idx="186">
                  <c:v>72.659679184365487</c:v>
                </c:pt>
                <c:pt idx="187">
                  <c:v>72.614237825838728</c:v>
                </c:pt>
                <c:pt idx="188">
                  <c:v>72.568858372780994</c:v>
                </c:pt>
                <c:pt idx="189">
                  <c:v>72.523540825192285</c:v>
                </c:pt>
                <c:pt idx="190">
                  <c:v>72.4782851830726</c:v>
                </c:pt>
                <c:pt idx="191">
                  <c:v>72.43309144642194</c:v>
                </c:pt>
                <c:pt idx="192">
                  <c:v>72.387959615240305</c:v>
                </c:pt>
                <c:pt idx="193">
                  <c:v>72.342889689527695</c:v>
                </c:pt>
                <c:pt idx="194">
                  <c:v>72.297881669284109</c:v>
                </c:pt>
                <c:pt idx="195">
                  <c:v>72.252935554509548</c:v>
                </c:pt>
                <c:pt idx="196">
                  <c:v>72.208051345204012</c:v>
                </c:pt>
                <c:pt idx="197">
                  <c:v>72.163229041367487</c:v>
                </c:pt>
                <c:pt idx="198">
                  <c:v>72.118468643</c:v>
                </c:pt>
                <c:pt idx="199">
                  <c:v>72.073770150101524</c:v>
                </c:pt>
                <c:pt idx="200">
                  <c:v>72.029133562672087</c:v>
                </c:pt>
                <c:pt idx="201">
                  <c:v>71.984558880711674</c:v>
                </c:pt>
                <c:pt idx="202">
                  <c:v>71.940046104220286</c:v>
                </c:pt>
                <c:pt idx="203">
                  <c:v>71.895595233197909</c:v>
                </c:pt>
                <c:pt idx="204">
                  <c:v>71.851206267644557</c:v>
                </c:pt>
                <c:pt idx="205">
                  <c:v>71.806879207560229</c:v>
                </c:pt>
                <c:pt idx="206">
                  <c:v>71.76261845475706</c:v>
                </c:pt>
                <c:pt idx="207">
                  <c:v>71.718428411047185</c:v>
                </c:pt>
                <c:pt idx="208">
                  <c:v>71.674309076430589</c:v>
                </c:pt>
                <c:pt idx="209">
                  <c:v>71.630260450907272</c:v>
                </c:pt>
                <c:pt idx="210">
                  <c:v>71.586282534477235</c:v>
                </c:pt>
                <c:pt idx="211">
                  <c:v>71.542375327140491</c:v>
                </c:pt>
                <c:pt idx="212">
                  <c:v>71.498538828897026</c:v>
                </c:pt>
                <c:pt idx="213">
                  <c:v>71.454773039746854</c:v>
                </c:pt>
                <c:pt idx="214">
                  <c:v>71.411077959689962</c:v>
                </c:pt>
                <c:pt idx="215">
                  <c:v>71.367453588726363</c:v>
                </c:pt>
                <c:pt idx="216">
                  <c:v>71.323899926856029</c:v>
                </c:pt>
                <c:pt idx="217">
                  <c:v>71.280416974079003</c:v>
                </c:pt>
                <c:pt idx="218">
                  <c:v>71.237004730395242</c:v>
                </c:pt>
                <c:pt idx="219">
                  <c:v>71.193663195804774</c:v>
                </c:pt>
                <c:pt idx="220">
                  <c:v>71.150392370307586</c:v>
                </c:pt>
                <c:pt idx="221">
                  <c:v>71.10719225390369</c:v>
                </c:pt>
                <c:pt idx="222">
                  <c:v>71.064062846593075</c:v>
                </c:pt>
                <c:pt idx="223">
                  <c:v>71.021004148375738</c:v>
                </c:pt>
                <c:pt idx="224">
                  <c:v>70.978016159251695</c:v>
                </c:pt>
                <c:pt idx="225">
                  <c:v>70.935098879220931</c:v>
                </c:pt>
                <c:pt idx="226">
                  <c:v>70.892252308283446</c:v>
                </c:pt>
                <c:pt idx="227">
                  <c:v>70.849476446439255</c:v>
                </c:pt>
                <c:pt idx="228">
                  <c:v>70.806771293688357</c:v>
                </c:pt>
                <c:pt idx="229">
                  <c:v>70.764136850030724</c:v>
                </c:pt>
                <c:pt idx="230">
                  <c:v>70.721573115466384</c:v>
                </c:pt>
                <c:pt idx="231">
                  <c:v>70.679080089995338</c:v>
                </c:pt>
                <c:pt idx="232">
                  <c:v>70.636657773617557</c:v>
                </c:pt>
                <c:pt idx="233">
                  <c:v>70.59430616633307</c:v>
                </c:pt>
                <c:pt idx="234">
                  <c:v>70.552025268141875</c:v>
                </c:pt>
                <c:pt idx="235">
                  <c:v>70.50981507904396</c:v>
                </c:pt>
                <c:pt idx="236">
                  <c:v>70.467675599039325</c:v>
                </c:pt>
                <c:pt idx="237">
                  <c:v>70.425606828127982</c:v>
                </c:pt>
                <c:pt idx="238">
                  <c:v>70.383608766309905</c:v>
                </c:pt>
                <c:pt idx="239">
                  <c:v>70.341681413585135</c:v>
                </c:pt>
                <c:pt idx="240">
                  <c:v>70.299824769953645</c:v>
                </c:pt>
                <c:pt idx="241">
                  <c:v>70.258038835415434</c:v>
                </c:pt>
                <c:pt idx="242">
                  <c:v>70.21633862541502</c:v>
                </c:pt>
                <c:pt idx="243">
                  <c:v>70.174739155396935</c:v>
                </c:pt>
                <c:pt idx="244">
                  <c:v>70.13324042536118</c:v>
                </c:pt>
                <c:pt idx="245">
                  <c:v>70.091842435307754</c:v>
                </c:pt>
                <c:pt idx="246">
                  <c:v>70.050545185236643</c:v>
                </c:pt>
                <c:pt idx="247">
                  <c:v>70.009348675147862</c:v>
                </c:pt>
                <c:pt idx="248">
                  <c:v>69.96825290504141</c:v>
                </c:pt>
                <c:pt idx="249">
                  <c:v>69.927257874917274</c:v>
                </c:pt>
                <c:pt idx="250">
                  <c:v>69.886363584775452</c:v>
                </c:pt>
                <c:pt idx="251">
                  <c:v>69.845570034615974</c:v>
                </c:pt>
                <c:pt idx="252">
                  <c:v>69.804877224438798</c:v>
                </c:pt>
                <c:pt idx="253">
                  <c:v>69.764285154243964</c:v>
                </c:pt>
                <c:pt idx="254">
                  <c:v>69.723793824031446</c:v>
                </c:pt>
                <c:pt idx="255">
                  <c:v>69.683403233801272</c:v>
                </c:pt>
                <c:pt idx="256">
                  <c:v>69.643113383553398</c:v>
                </c:pt>
                <c:pt idx="257">
                  <c:v>69.602924273287869</c:v>
                </c:pt>
                <c:pt idx="258">
                  <c:v>69.56283590300464</c:v>
                </c:pt>
                <c:pt idx="259">
                  <c:v>69.522848272703754</c:v>
                </c:pt>
                <c:pt idx="260">
                  <c:v>69.482961382385184</c:v>
                </c:pt>
                <c:pt idx="261">
                  <c:v>69.44317523204893</c:v>
                </c:pt>
                <c:pt idx="262">
                  <c:v>69.403489821695004</c:v>
                </c:pt>
                <c:pt idx="263">
                  <c:v>69.363905151323422</c:v>
                </c:pt>
                <c:pt idx="264">
                  <c:v>69.324421220934155</c:v>
                </c:pt>
                <c:pt idx="265">
                  <c:v>69.285038030527204</c:v>
                </c:pt>
                <c:pt idx="266">
                  <c:v>69.245755580102582</c:v>
                </c:pt>
                <c:pt idx="267">
                  <c:v>69.206573869660289</c:v>
                </c:pt>
                <c:pt idx="268">
                  <c:v>69.167492899200312</c:v>
                </c:pt>
                <c:pt idx="269">
                  <c:v>69.128512668722649</c:v>
                </c:pt>
                <c:pt idx="270">
                  <c:v>69.089633178227331</c:v>
                </c:pt>
                <c:pt idx="271">
                  <c:v>69.050854427714327</c:v>
                </c:pt>
                <c:pt idx="272">
                  <c:v>69.012176417183653</c:v>
                </c:pt>
                <c:pt idx="273">
                  <c:v>68.973599146635308</c:v>
                </c:pt>
                <c:pt idx="274">
                  <c:v>68.935122616069279</c:v>
                </c:pt>
                <c:pt idx="275">
                  <c:v>68.896746825485579</c:v>
                </c:pt>
                <c:pt idx="276">
                  <c:v>68.858471774884194</c:v>
                </c:pt>
                <c:pt idx="277">
                  <c:v>68.820297464265138</c:v>
                </c:pt>
                <c:pt idx="278">
                  <c:v>68.782223893628398</c:v>
                </c:pt>
                <c:pt idx="279">
                  <c:v>68.744251062973987</c:v>
                </c:pt>
                <c:pt idx="280">
                  <c:v>68.706378972301906</c:v>
                </c:pt>
                <c:pt idx="281">
                  <c:v>68.668607621612153</c:v>
                </c:pt>
                <c:pt idx="282">
                  <c:v>68.630937010904717</c:v>
                </c:pt>
                <c:pt idx="283">
                  <c:v>68.593367140179609</c:v>
                </c:pt>
                <c:pt idx="284">
                  <c:v>68.555880634422451</c:v>
                </c:pt>
                <c:pt idx="285">
                  <c:v>68.518460118618876</c:v>
                </c:pt>
                <c:pt idx="286">
                  <c:v>68.48110559276887</c:v>
                </c:pt>
                <c:pt idx="287">
                  <c:v>68.443817056872447</c:v>
                </c:pt>
                <c:pt idx="288">
                  <c:v>68.406594510929608</c:v>
                </c:pt>
                <c:pt idx="289">
                  <c:v>68.369437954940338</c:v>
                </c:pt>
                <c:pt idx="290">
                  <c:v>68.332347388904651</c:v>
                </c:pt>
                <c:pt idx="291">
                  <c:v>68.295322812822548</c:v>
                </c:pt>
                <c:pt idx="292">
                  <c:v>68.258364226694013</c:v>
                </c:pt>
                <c:pt idx="293">
                  <c:v>68.221471630519062</c:v>
                </c:pt>
                <c:pt idx="294">
                  <c:v>68.18464502429768</c:v>
                </c:pt>
                <c:pt idx="295">
                  <c:v>68.147884408029881</c:v>
                </c:pt>
                <c:pt idx="296">
                  <c:v>68.111189781715666</c:v>
                </c:pt>
                <c:pt idx="297">
                  <c:v>68.07456114535502</c:v>
                </c:pt>
                <c:pt idx="298">
                  <c:v>68.037998498947957</c:v>
                </c:pt>
                <c:pt idx="299">
                  <c:v>68.001501842494477</c:v>
                </c:pt>
                <c:pt idx="300">
                  <c:v>67.965071175994581</c:v>
                </c:pt>
                <c:pt idx="301">
                  <c:v>67.928706499448253</c:v>
                </c:pt>
                <c:pt idx="302">
                  <c:v>67.892407812855495</c:v>
                </c:pt>
                <c:pt idx="303">
                  <c:v>67.85617511621632</c:v>
                </c:pt>
                <c:pt idx="304">
                  <c:v>67.820008409530729</c:v>
                </c:pt>
                <c:pt idx="305">
                  <c:v>67.783907692798721</c:v>
                </c:pt>
                <c:pt idx="306">
                  <c:v>67.747872966020282</c:v>
                </c:pt>
                <c:pt idx="307">
                  <c:v>67.711904229195426</c:v>
                </c:pt>
                <c:pt idx="308">
                  <c:v>67.676001482324153</c:v>
                </c:pt>
                <c:pt idx="309">
                  <c:v>67.64016472540645</c:v>
                </c:pt>
                <c:pt idx="310">
                  <c:v>67.60439395844233</c:v>
                </c:pt>
                <c:pt idx="311">
                  <c:v>67.568689181431779</c:v>
                </c:pt>
                <c:pt idx="312">
                  <c:v>67.533050394374811</c:v>
                </c:pt>
                <c:pt idx="313">
                  <c:v>67.497477597271427</c:v>
                </c:pt>
                <c:pt idx="314">
                  <c:v>67.461970790121612</c:v>
                </c:pt>
                <c:pt idx="315">
                  <c:v>67.42652997292538</c:v>
                </c:pt>
                <c:pt idx="316">
                  <c:v>67.391155145682731</c:v>
                </c:pt>
                <c:pt idx="317">
                  <c:v>67.355846308393652</c:v>
                </c:pt>
                <c:pt idx="318">
                  <c:v>67.320603461058155</c:v>
                </c:pt>
                <c:pt idx="319">
                  <c:v>67.285426603676243</c:v>
                </c:pt>
                <c:pt idx="320">
                  <c:v>67.250315736247899</c:v>
                </c:pt>
                <c:pt idx="321">
                  <c:v>67.215270858773138</c:v>
                </c:pt>
                <c:pt idx="322">
                  <c:v>67.180291971251947</c:v>
                </c:pt>
                <c:pt idx="323">
                  <c:v>67.145379073684339</c:v>
                </c:pt>
                <c:pt idx="324">
                  <c:v>67.110532166070314</c:v>
                </c:pt>
                <c:pt idx="325">
                  <c:v>67.075751248409858</c:v>
                </c:pt>
                <c:pt idx="326">
                  <c:v>67.041035267671816</c:v>
                </c:pt>
                <c:pt idx="327">
                  <c:v>67.006383170825004</c:v>
                </c:pt>
                <c:pt idx="328">
                  <c:v>66.97179495786942</c:v>
                </c:pt>
                <c:pt idx="329">
                  <c:v>66.937270628805067</c:v>
                </c:pt>
                <c:pt idx="330">
                  <c:v>66.902810183631942</c:v>
                </c:pt>
                <c:pt idx="331">
                  <c:v>66.868413622350047</c:v>
                </c:pt>
                <c:pt idx="332">
                  <c:v>66.834080944959382</c:v>
                </c:pt>
                <c:pt idx="333">
                  <c:v>66.799812151459946</c:v>
                </c:pt>
                <c:pt idx="334">
                  <c:v>66.76560724185174</c:v>
                </c:pt>
                <c:pt idx="335">
                  <c:v>66.731466216134763</c:v>
                </c:pt>
                <c:pt idx="336">
                  <c:v>66.697389074309015</c:v>
                </c:pt>
                <c:pt idx="337">
                  <c:v>66.663375816374511</c:v>
                </c:pt>
                <c:pt idx="338">
                  <c:v>66.629426442331223</c:v>
                </c:pt>
                <c:pt idx="339">
                  <c:v>66.595540952179164</c:v>
                </c:pt>
                <c:pt idx="340">
                  <c:v>66.561719345918348</c:v>
                </c:pt>
                <c:pt idx="341">
                  <c:v>66.527961623548748</c:v>
                </c:pt>
                <c:pt idx="342">
                  <c:v>66.494267785070377</c:v>
                </c:pt>
                <c:pt idx="343">
                  <c:v>66.46063783048325</c:v>
                </c:pt>
                <c:pt idx="344">
                  <c:v>66.427071759787353</c:v>
                </c:pt>
                <c:pt idx="345">
                  <c:v>66.39356957298267</c:v>
                </c:pt>
                <c:pt idx="346">
                  <c:v>66.360131270069232</c:v>
                </c:pt>
                <c:pt idx="347">
                  <c:v>66.326756851047008</c:v>
                </c:pt>
                <c:pt idx="348">
                  <c:v>66.293446315916029</c:v>
                </c:pt>
                <c:pt idx="349">
                  <c:v>66.260199664676279</c:v>
                </c:pt>
                <c:pt idx="350">
                  <c:v>66.227016897327758</c:v>
                </c:pt>
                <c:pt idx="351">
                  <c:v>66.193898013870466</c:v>
                </c:pt>
                <c:pt idx="352">
                  <c:v>66.16084301430439</c:v>
                </c:pt>
                <c:pt idx="353">
                  <c:v>66.127851898629558</c:v>
                </c:pt>
                <c:pt idx="354">
                  <c:v>66.094924666845955</c:v>
                </c:pt>
                <c:pt idx="355">
                  <c:v>66.062061318953582</c:v>
                </c:pt>
                <c:pt idx="356">
                  <c:v>66.029261854952438</c:v>
                </c:pt>
                <c:pt idx="357">
                  <c:v>65.996526274842537</c:v>
                </c:pt>
                <c:pt idx="358">
                  <c:v>65.963854578623838</c:v>
                </c:pt>
                <c:pt idx="359">
                  <c:v>65.931246766296383</c:v>
                </c:pt>
                <c:pt idx="360">
                  <c:v>65.898702837860171</c:v>
                </c:pt>
                <c:pt idx="361">
                  <c:v>65.866222793315174</c:v>
                </c:pt>
                <c:pt idx="362">
                  <c:v>65.833806632661421</c:v>
                </c:pt>
                <c:pt idx="363">
                  <c:v>65.801454355898883</c:v>
                </c:pt>
                <c:pt idx="364">
                  <c:v>65.769165963027575</c:v>
                </c:pt>
                <c:pt idx="365">
                  <c:v>65.736941454047496</c:v>
                </c:pt>
                <c:pt idx="366">
                  <c:v>65.704754456377913</c:v>
                </c:pt>
                <c:pt idx="367">
                  <c:v>65.672578597438076</c:v>
                </c:pt>
                <c:pt idx="368">
                  <c:v>65.640413877228013</c:v>
                </c:pt>
                <c:pt idx="369">
                  <c:v>65.608260295747684</c:v>
                </c:pt>
                <c:pt idx="370">
                  <c:v>65.576117852997115</c:v>
                </c:pt>
                <c:pt idx="371">
                  <c:v>65.543986548976292</c:v>
                </c:pt>
                <c:pt idx="372">
                  <c:v>65.511866383685231</c:v>
                </c:pt>
                <c:pt idx="373">
                  <c:v>65.47975735712393</c:v>
                </c:pt>
                <c:pt idx="374">
                  <c:v>65.447659469292361</c:v>
                </c:pt>
                <c:pt idx="375">
                  <c:v>65.415572720190553</c:v>
                </c:pt>
                <c:pt idx="376">
                  <c:v>65.383497109818506</c:v>
                </c:pt>
                <c:pt idx="377">
                  <c:v>65.351432638176206</c:v>
                </c:pt>
                <c:pt idx="378">
                  <c:v>65.319379305263666</c:v>
                </c:pt>
                <c:pt idx="379">
                  <c:v>65.287337111080873</c:v>
                </c:pt>
                <c:pt idx="380">
                  <c:v>65.255306055627827</c:v>
                </c:pt>
                <c:pt idx="381">
                  <c:v>65.223314477143475</c:v>
                </c:pt>
                <c:pt idx="382">
                  <c:v>65.191390713866724</c:v>
                </c:pt>
                <c:pt idx="383">
                  <c:v>65.159534765797588</c:v>
                </c:pt>
                <c:pt idx="384">
                  <c:v>65.127746632936081</c:v>
                </c:pt>
                <c:pt idx="385">
                  <c:v>65.096026315282174</c:v>
                </c:pt>
                <c:pt idx="386">
                  <c:v>65.064373812835882</c:v>
                </c:pt>
                <c:pt idx="387">
                  <c:v>65.032789125597205</c:v>
                </c:pt>
                <c:pt idx="388">
                  <c:v>65.001272253566142</c:v>
                </c:pt>
                <c:pt idx="389">
                  <c:v>64.969823196742695</c:v>
                </c:pt>
                <c:pt idx="390">
                  <c:v>64.938441955126848</c:v>
                </c:pt>
                <c:pt idx="391">
                  <c:v>64.90712852871863</c:v>
                </c:pt>
                <c:pt idx="392">
                  <c:v>64.875882917518027</c:v>
                </c:pt>
                <c:pt idx="393">
                  <c:v>64.844705121525024</c:v>
                </c:pt>
                <c:pt idx="394">
                  <c:v>64.813595140739636</c:v>
                </c:pt>
                <c:pt idx="395">
                  <c:v>64.782552975161863</c:v>
                </c:pt>
                <c:pt idx="396">
                  <c:v>64.751578624791705</c:v>
                </c:pt>
                <c:pt idx="397">
                  <c:v>64.720672089629161</c:v>
                </c:pt>
                <c:pt idx="398">
                  <c:v>64.689833369674233</c:v>
                </c:pt>
                <c:pt idx="399">
                  <c:v>64.659062464926933</c:v>
                </c:pt>
                <c:pt idx="400">
                  <c:v>64.62835937538722</c:v>
                </c:pt>
                <c:pt idx="401">
                  <c:v>64.597746214709787</c:v>
                </c:pt>
                <c:pt idx="402">
                  <c:v>64.567245096549286</c:v>
                </c:pt>
                <c:pt idx="403">
                  <c:v>64.536856020905702</c:v>
                </c:pt>
                <c:pt idx="404">
                  <c:v>64.506578987779051</c:v>
                </c:pt>
                <c:pt idx="405">
                  <c:v>64.476413997169317</c:v>
                </c:pt>
                <c:pt idx="406">
                  <c:v>64.446361049076515</c:v>
                </c:pt>
                <c:pt idx="407">
                  <c:v>64.416420143500645</c:v>
                </c:pt>
                <c:pt idx="408">
                  <c:v>64.386591280441692</c:v>
                </c:pt>
                <c:pt idx="409">
                  <c:v>64.356874459899672</c:v>
                </c:pt>
                <c:pt idx="410">
                  <c:v>64.327269681874583</c:v>
                </c:pt>
                <c:pt idx="411">
                  <c:v>64.297898653369444</c:v>
                </c:pt>
                <c:pt idx="412">
                  <c:v>64.268883081387315</c:v>
                </c:pt>
                <c:pt idx="413">
                  <c:v>64.240222965928169</c:v>
                </c:pt>
                <c:pt idx="414">
                  <c:v>64.211918306992033</c:v>
                </c:pt>
                <c:pt idx="415">
                  <c:v>64.183969104578892</c:v>
                </c:pt>
                <c:pt idx="416">
                  <c:v>64.156375358688749</c:v>
                </c:pt>
                <c:pt idx="417">
                  <c:v>64.129137069321601</c:v>
                </c:pt>
                <c:pt idx="418">
                  <c:v>64.102254236477449</c:v>
                </c:pt>
                <c:pt idx="419">
                  <c:v>64.075726860156308</c:v>
                </c:pt>
                <c:pt idx="420">
                  <c:v>64.04962394315092</c:v>
                </c:pt>
                <c:pt idx="421">
                  <c:v>64.024014488254082</c:v>
                </c:pt>
                <c:pt idx="422">
                  <c:v>63.998898495465774</c:v>
                </c:pt>
                <c:pt idx="423">
                  <c:v>63.974275964786017</c:v>
                </c:pt>
                <c:pt idx="424">
                  <c:v>63.95014689621479</c:v>
                </c:pt>
                <c:pt idx="425">
                  <c:v>63.926511289752106</c:v>
                </c:pt>
                <c:pt idx="426">
                  <c:v>63.903369145397967</c:v>
                </c:pt>
                <c:pt idx="427">
                  <c:v>63.880720463152358</c:v>
                </c:pt>
                <c:pt idx="428">
                  <c:v>63.858565243015299</c:v>
                </c:pt>
                <c:pt idx="429">
                  <c:v>63.83690348498677</c:v>
                </c:pt>
                <c:pt idx="430">
                  <c:v>63.815735189066785</c:v>
                </c:pt>
                <c:pt idx="431">
                  <c:v>63.795060355255337</c:v>
                </c:pt>
                <c:pt idx="432">
                  <c:v>63.774989756581782</c:v>
                </c:pt>
                <c:pt idx="433">
                  <c:v>63.755634166075446</c:v>
                </c:pt>
                <c:pt idx="434">
                  <c:v>63.736993583736343</c:v>
                </c:pt>
                <c:pt idx="435">
                  <c:v>63.719068009564459</c:v>
                </c:pt>
                <c:pt idx="436">
                  <c:v>63.701857443559817</c:v>
                </c:pt>
                <c:pt idx="437">
                  <c:v>63.685361885722394</c:v>
                </c:pt>
                <c:pt idx="438">
                  <c:v>63.669581336052204</c:v>
                </c:pt>
                <c:pt idx="439">
                  <c:v>63.654515794549233</c:v>
                </c:pt>
                <c:pt idx="440">
                  <c:v>63.640165261213504</c:v>
                </c:pt>
                <c:pt idx="441">
                  <c:v>63.626529736044994</c:v>
                </c:pt>
                <c:pt idx="442">
                  <c:v>63.613542096283872</c:v>
                </c:pt>
                <c:pt idx="443">
                  <c:v>63.601135219170303</c:v>
                </c:pt>
                <c:pt idx="444">
                  <c:v>63.58930910470427</c:v>
                </c:pt>
                <c:pt idx="445">
                  <c:v>63.578063752885789</c:v>
                </c:pt>
                <c:pt idx="446">
                  <c:v>63.567399163714853</c:v>
                </c:pt>
                <c:pt idx="447">
                  <c:v>63.557315337191461</c:v>
                </c:pt>
                <c:pt idx="448">
                  <c:v>63.547812273315621</c:v>
                </c:pt>
                <c:pt idx="449">
                  <c:v>63.538889972087325</c:v>
                </c:pt>
                <c:pt idx="450">
                  <c:v>63.530548433506567</c:v>
                </c:pt>
                <c:pt idx="451">
                  <c:v>63.52278765757336</c:v>
                </c:pt>
                <c:pt idx="452">
                  <c:v>63.515607644287705</c:v>
                </c:pt>
                <c:pt idx="453">
                  <c:v>63.508912428206344</c:v>
                </c:pt>
                <c:pt idx="454">
                  <c:v>63.502606043886026</c:v>
                </c:pt>
                <c:pt idx="455">
                  <c:v>63.496688491326751</c:v>
                </c:pt>
                <c:pt idx="456">
                  <c:v>63.491159770528519</c:v>
                </c:pt>
                <c:pt idx="457">
                  <c:v>63.48601988149133</c:v>
                </c:pt>
                <c:pt idx="458">
                  <c:v>63.481268824215185</c:v>
                </c:pt>
                <c:pt idx="459">
                  <c:v>63.476906598700083</c:v>
                </c:pt>
                <c:pt idx="460">
                  <c:v>63.472933204946031</c:v>
                </c:pt>
                <c:pt idx="461">
                  <c:v>63.46926233827304</c:v>
                </c:pt>
                <c:pt idx="462">
                  <c:v>63.465807694001143</c:v>
                </c:pt>
                <c:pt idx="463">
                  <c:v>63.462569272130331</c:v>
                </c:pt>
                <c:pt idx="464">
                  <c:v>63.459547072660598</c:v>
                </c:pt>
                <c:pt idx="465">
                  <c:v>63.456741095591951</c:v>
                </c:pt>
                <c:pt idx="466">
                  <c:v>63.454223824570207</c:v>
                </c:pt>
                <c:pt idx="467">
                  <c:v>63.452067743241194</c:v>
                </c:pt>
                <c:pt idx="468">
                  <c:v>63.451079999999855</c:v>
                </c:pt>
                <c:pt idx="469">
                  <c:v>63.451079999999855</c:v>
                </c:pt>
                <c:pt idx="470">
                  <c:v>63.451079999999855</c:v>
                </c:pt>
                <c:pt idx="471">
                  <c:v>63.451079999999855</c:v>
                </c:pt>
                <c:pt idx="472">
                  <c:v>63.451079999999855</c:v>
                </c:pt>
                <c:pt idx="473">
                  <c:v>63.451079999999855</c:v>
                </c:pt>
                <c:pt idx="474">
                  <c:v>63.451079999999855</c:v>
                </c:pt>
                <c:pt idx="475">
                  <c:v>63.451079999999855</c:v>
                </c:pt>
                <c:pt idx="476">
                  <c:v>63.451079999999855</c:v>
                </c:pt>
                <c:pt idx="477">
                  <c:v>63.451079999999855</c:v>
                </c:pt>
                <c:pt idx="478">
                  <c:v>63.451079999999855</c:v>
                </c:pt>
                <c:pt idx="479">
                  <c:v>63.451079999999855</c:v>
                </c:pt>
                <c:pt idx="480">
                  <c:v>63.451079999999855</c:v>
                </c:pt>
                <c:pt idx="481">
                  <c:v>63.451079999999855</c:v>
                </c:pt>
                <c:pt idx="482">
                  <c:v>63.451079999999855</c:v>
                </c:pt>
                <c:pt idx="483">
                  <c:v>63.451079999999855</c:v>
                </c:pt>
                <c:pt idx="484">
                  <c:v>63.451079999999855</c:v>
                </c:pt>
                <c:pt idx="485">
                  <c:v>63.451079999999855</c:v>
                </c:pt>
                <c:pt idx="486">
                  <c:v>63.451079999999855</c:v>
                </c:pt>
                <c:pt idx="487">
                  <c:v>63.451079999999855</c:v>
                </c:pt>
                <c:pt idx="488">
                  <c:v>63.451079999999855</c:v>
                </c:pt>
                <c:pt idx="489">
                  <c:v>63.451079999999855</c:v>
                </c:pt>
                <c:pt idx="490">
                  <c:v>63.451079999999855</c:v>
                </c:pt>
                <c:pt idx="491">
                  <c:v>63.451079999999855</c:v>
                </c:pt>
                <c:pt idx="492">
                  <c:v>63.451079999999855</c:v>
                </c:pt>
                <c:pt idx="493">
                  <c:v>63.451079999999855</c:v>
                </c:pt>
                <c:pt idx="494">
                  <c:v>63.451079999999855</c:v>
                </c:pt>
                <c:pt idx="495">
                  <c:v>63.451079999999855</c:v>
                </c:pt>
                <c:pt idx="496">
                  <c:v>63.451079999999855</c:v>
                </c:pt>
                <c:pt idx="497">
                  <c:v>63.451079999999855</c:v>
                </c:pt>
                <c:pt idx="498">
                  <c:v>63.451079999999855</c:v>
                </c:pt>
                <c:pt idx="499">
                  <c:v>63.451079999999855</c:v>
                </c:pt>
                <c:pt idx="500">
                  <c:v>63.451079999999855</c:v>
                </c:pt>
                <c:pt idx="501">
                  <c:v>63.451079999999855</c:v>
                </c:pt>
                <c:pt idx="502">
                  <c:v>63.451079999999855</c:v>
                </c:pt>
                <c:pt idx="503">
                  <c:v>63.451079999999855</c:v>
                </c:pt>
                <c:pt idx="504">
                  <c:v>63.451079999999855</c:v>
                </c:pt>
                <c:pt idx="505">
                  <c:v>63.451079999999855</c:v>
                </c:pt>
                <c:pt idx="506">
                  <c:v>63.451079999999855</c:v>
                </c:pt>
                <c:pt idx="507">
                  <c:v>63.451079999999855</c:v>
                </c:pt>
                <c:pt idx="508">
                  <c:v>63.451079999999855</c:v>
                </c:pt>
                <c:pt idx="509">
                  <c:v>63.451079999999855</c:v>
                </c:pt>
                <c:pt idx="510">
                  <c:v>63.451079999999855</c:v>
                </c:pt>
                <c:pt idx="511">
                  <c:v>63.451079999999855</c:v>
                </c:pt>
                <c:pt idx="512">
                  <c:v>63.451079999999855</c:v>
                </c:pt>
                <c:pt idx="513">
                  <c:v>63.451079999999855</c:v>
                </c:pt>
                <c:pt idx="514">
                  <c:v>63.451079999999855</c:v>
                </c:pt>
                <c:pt idx="515">
                  <c:v>63.451079999999855</c:v>
                </c:pt>
                <c:pt idx="516">
                  <c:v>63.451079999999855</c:v>
                </c:pt>
                <c:pt idx="517">
                  <c:v>63.451079999999855</c:v>
                </c:pt>
                <c:pt idx="518">
                  <c:v>63.451079999999855</c:v>
                </c:pt>
                <c:pt idx="519">
                  <c:v>63.451079999999855</c:v>
                </c:pt>
                <c:pt idx="520">
                  <c:v>63.451079999999855</c:v>
                </c:pt>
                <c:pt idx="521">
                  <c:v>63.451079999999855</c:v>
                </c:pt>
                <c:pt idx="522">
                  <c:v>63.451079999999855</c:v>
                </c:pt>
                <c:pt idx="523">
                  <c:v>63.451079999999855</c:v>
                </c:pt>
                <c:pt idx="524">
                  <c:v>63.451079999999855</c:v>
                </c:pt>
                <c:pt idx="525">
                  <c:v>63.451079999999855</c:v>
                </c:pt>
                <c:pt idx="526">
                  <c:v>63.451079999999855</c:v>
                </c:pt>
                <c:pt idx="527">
                  <c:v>63.451079999999855</c:v>
                </c:pt>
                <c:pt idx="528">
                  <c:v>63.451079999999855</c:v>
                </c:pt>
                <c:pt idx="529">
                  <c:v>63.451079999999855</c:v>
                </c:pt>
                <c:pt idx="530">
                  <c:v>63.451079999999855</c:v>
                </c:pt>
                <c:pt idx="531">
                  <c:v>63.451079999999855</c:v>
                </c:pt>
                <c:pt idx="532">
                  <c:v>63.451079999999855</c:v>
                </c:pt>
                <c:pt idx="533">
                  <c:v>63.451079999999855</c:v>
                </c:pt>
                <c:pt idx="534">
                  <c:v>63.451079999999855</c:v>
                </c:pt>
                <c:pt idx="535">
                  <c:v>63.451079999999855</c:v>
                </c:pt>
                <c:pt idx="536">
                  <c:v>63.451079999999855</c:v>
                </c:pt>
                <c:pt idx="537">
                  <c:v>63.451079999999855</c:v>
                </c:pt>
                <c:pt idx="538">
                  <c:v>63.451079999999855</c:v>
                </c:pt>
                <c:pt idx="539">
                  <c:v>63.451079999999855</c:v>
                </c:pt>
                <c:pt idx="540">
                  <c:v>63.451079999999855</c:v>
                </c:pt>
                <c:pt idx="541">
                  <c:v>63.451079999999855</c:v>
                </c:pt>
                <c:pt idx="542">
                  <c:v>63.451079999999855</c:v>
                </c:pt>
                <c:pt idx="543">
                  <c:v>63.451079999999855</c:v>
                </c:pt>
                <c:pt idx="544">
                  <c:v>63.451079999999855</c:v>
                </c:pt>
                <c:pt idx="545">
                  <c:v>63.451079999999855</c:v>
                </c:pt>
                <c:pt idx="546">
                  <c:v>63.451079999999855</c:v>
                </c:pt>
                <c:pt idx="547">
                  <c:v>63.451079999999855</c:v>
                </c:pt>
                <c:pt idx="548">
                  <c:v>63.451079999999855</c:v>
                </c:pt>
                <c:pt idx="549">
                  <c:v>63.451079999999855</c:v>
                </c:pt>
                <c:pt idx="550">
                  <c:v>63.451079999999855</c:v>
                </c:pt>
                <c:pt idx="551">
                  <c:v>63.451079999999855</c:v>
                </c:pt>
                <c:pt idx="552">
                  <c:v>63.451079999999855</c:v>
                </c:pt>
                <c:pt idx="553">
                  <c:v>63.451079999999855</c:v>
                </c:pt>
                <c:pt idx="554">
                  <c:v>63.451079999999855</c:v>
                </c:pt>
                <c:pt idx="555">
                  <c:v>63.451079999999855</c:v>
                </c:pt>
                <c:pt idx="556">
                  <c:v>63.451079999999855</c:v>
                </c:pt>
                <c:pt idx="557">
                  <c:v>63.451079999999855</c:v>
                </c:pt>
                <c:pt idx="558">
                  <c:v>63.451079999999855</c:v>
                </c:pt>
                <c:pt idx="559">
                  <c:v>63.451079999999855</c:v>
                </c:pt>
                <c:pt idx="560">
                  <c:v>63.451079999999855</c:v>
                </c:pt>
                <c:pt idx="561">
                  <c:v>63.451079999999855</c:v>
                </c:pt>
                <c:pt idx="562">
                  <c:v>63.451079999999855</c:v>
                </c:pt>
                <c:pt idx="563">
                  <c:v>63.451079999999855</c:v>
                </c:pt>
                <c:pt idx="564">
                  <c:v>63.451079999999855</c:v>
                </c:pt>
                <c:pt idx="565">
                  <c:v>63.451079999999855</c:v>
                </c:pt>
                <c:pt idx="566">
                  <c:v>63.451079999999855</c:v>
                </c:pt>
                <c:pt idx="567">
                  <c:v>63.451079999999855</c:v>
                </c:pt>
                <c:pt idx="568">
                  <c:v>63.451079999999855</c:v>
                </c:pt>
                <c:pt idx="569">
                  <c:v>63.451079999999855</c:v>
                </c:pt>
                <c:pt idx="570">
                  <c:v>63.451079999999855</c:v>
                </c:pt>
                <c:pt idx="571">
                  <c:v>63.451079999999855</c:v>
                </c:pt>
                <c:pt idx="572">
                  <c:v>63.451079999999855</c:v>
                </c:pt>
                <c:pt idx="573">
                  <c:v>63.451079999999855</c:v>
                </c:pt>
                <c:pt idx="574">
                  <c:v>63.451079999999855</c:v>
                </c:pt>
                <c:pt idx="575">
                  <c:v>63.451079999999855</c:v>
                </c:pt>
                <c:pt idx="576">
                  <c:v>63.451079999999855</c:v>
                </c:pt>
                <c:pt idx="577">
                  <c:v>63.451079999999855</c:v>
                </c:pt>
                <c:pt idx="578">
                  <c:v>63.451079999999855</c:v>
                </c:pt>
                <c:pt idx="579">
                  <c:v>63.451079999999855</c:v>
                </c:pt>
                <c:pt idx="580">
                  <c:v>63.451079999999855</c:v>
                </c:pt>
                <c:pt idx="581">
                  <c:v>63.451079999999855</c:v>
                </c:pt>
                <c:pt idx="582">
                  <c:v>63.451079999999855</c:v>
                </c:pt>
                <c:pt idx="583">
                  <c:v>63.451079999999855</c:v>
                </c:pt>
                <c:pt idx="584">
                  <c:v>63.451079999999855</c:v>
                </c:pt>
                <c:pt idx="585">
                  <c:v>63.451079999999855</c:v>
                </c:pt>
                <c:pt idx="586">
                  <c:v>63.451079999999855</c:v>
                </c:pt>
                <c:pt idx="587">
                  <c:v>63.451079999999855</c:v>
                </c:pt>
                <c:pt idx="588">
                  <c:v>63.451079999999855</c:v>
                </c:pt>
                <c:pt idx="589">
                  <c:v>63.451079999999855</c:v>
                </c:pt>
                <c:pt idx="590">
                  <c:v>63.451079999999855</c:v>
                </c:pt>
                <c:pt idx="591">
                  <c:v>63.451079999999855</c:v>
                </c:pt>
                <c:pt idx="592">
                  <c:v>63.451079999999855</c:v>
                </c:pt>
                <c:pt idx="593">
                  <c:v>63.451079999999855</c:v>
                </c:pt>
                <c:pt idx="594">
                  <c:v>63.451079999999855</c:v>
                </c:pt>
                <c:pt idx="595">
                  <c:v>63.451079999999855</c:v>
                </c:pt>
                <c:pt idx="596">
                  <c:v>63.451079999999855</c:v>
                </c:pt>
                <c:pt idx="597">
                  <c:v>63.451079999999855</c:v>
                </c:pt>
                <c:pt idx="598">
                  <c:v>63.451079999999855</c:v>
                </c:pt>
                <c:pt idx="599">
                  <c:v>63.451079999999855</c:v>
                </c:pt>
                <c:pt idx="600">
                  <c:v>63.451079999999855</c:v>
                </c:pt>
                <c:pt idx="601">
                  <c:v>63.451079999999855</c:v>
                </c:pt>
                <c:pt idx="602">
                  <c:v>63.451079999999855</c:v>
                </c:pt>
                <c:pt idx="603">
                  <c:v>63.451079999999855</c:v>
                </c:pt>
                <c:pt idx="604">
                  <c:v>63.451079999999855</c:v>
                </c:pt>
                <c:pt idx="605">
                  <c:v>63.451079999999855</c:v>
                </c:pt>
                <c:pt idx="606">
                  <c:v>63.451079999999855</c:v>
                </c:pt>
                <c:pt idx="607">
                  <c:v>63.451079999999855</c:v>
                </c:pt>
                <c:pt idx="608">
                  <c:v>63.451079999999855</c:v>
                </c:pt>
                <c:pt idx="609">
                  <c:v>63.451079999999855</c:v>
                </c:pt>
                <c:pt idx="610">
                  <c:v>63.451079999999855</c:v>
                </c:pt>
                <c:pt idx="611">
                  <c:v>63.451079999999855</c:v>
                </c:pt>
                <c:pt idx="612">
                  <c:v>63.451079999999855</c:v>
                </c:pt>
                <c:pt idx="613">
                  <c:v>63.451079999999855</c:v>
                </c:pt>
                <c:pt idx="614">
                  <c:v>63.451079999999855</c:v>
                </c:pt>
                <c:pt idx="615">
                  <c:v>63.451079999999855</c:v>
                </c:pt>
                <c:pt idx="616">
                  <c:v>63.451079999999855</c:v>
                </c:pt>
                <c:pt idx="617">
                  <c:v>63.451079999999855</c:v>
                </c:pt>
                <c:pt idx="618">
                  <c:v>63.451079999999855</c:v>
                </c:pt>
                <c:pt idx="619">
                  <c:v>63.451079999999855</c:v>
                </c:pt>
                <c:pt idx="620">
                  <c:v>63.451079999999855</c:v>
                </c:pt>
                <c:pt idx="621">
                  <c:v>63.451079999999855</c:v>
                </c:pt>
                <c:pt idx="622">
                  <c:v>63.451079999999855</c:v>
                </c:pt>
                <c:pt idx="623">
                  <c:v>63.451079999999855</c:v>
                </c:pt>
                <c:pt idx="624">
                  <c:v>63.451079999999855</c:v>
                </c:pt>
                <c:pt idx="625">
                  <c:v>63.451079999999855</c:v>
                </c:pt>
                <c:pt idx="626">
                  <c:v>63.451079999999855</c:v>
                </c:pt>
                <c:pt idx="627">
                  <c:v>63.451079999999855</c:v>
                </c:pt>
                <c:pt idx="628">
                  <c:v>63.451079999999855</c:v>
                </c:pt>
                <c:pt idx="629">
                  <c:v>63.451079999999855</c:v>
                </c:pt>
                <c:pt idx="630">
                  <c:v>63.451079999999855</c:v>
                </c:pt>
                <c:pt idx="631">
                  <c:v>63.451079999999855</c:v>
                </c:pt>
                <c:pt idx="632">
                  <c:v>63.451079999999855</c:v>
                </c:pt>
                <c:pt idx="633">
                  <c:v>63.451079999999855</c:v>
                </c:pt>
                <c:pt idx="634">
                  <c:v>63.451079999999855</c:v>
                </c:pt>
                <c:pt idx="635">
                  <c:v>63.451079999999855</c:v>
                </c:pt>
                <c:pt idx="636">
                  <c:v>63.451079999999855</c:v>
                </c:pt>
                <c:pt idx="637">
                  <c:v>63.451079999999855</c:v>
                </c:pt>
                <c:pt idx="638">
                  <c:v>63.451079999999855</c:v>
                </c:pt>
                <c:pt idx="639">
                  <c:v>63.451079999999855</c:v>
                </c:pt>
                <c:pt idx="640">
                  <c:v>63.451079999999855</c:v>
                </c:pt>
                <c:pt idx="641">
                  <c:v>63.451079999999855</c:v>
                </c:pt>
                <c:pt idx="642">
                  <c:v>63.451079999999855</c:v>
                </c:pt>
                <c:pt idx="643">
                  <c:v>63.451079999999855</c:v>
                </c:pt>
                <c:pt idx="644">
                  <c:v>63.451079999999855</c:v>
                </c:pt>
                <c:pt idx="645">
                  <c:v>63.451079999999855</c:v>
                </c:pt>
                <c:pt idx="646">
                  <c:v>63.451079999999855</c:v>
                </c:pt>
                <c:pt idx="647">
                  <c:v>63.451079999999855</c:v>
                </c:pt>
                <c:pt idx="648">
                  <c:v>63.451079999999855</c:v>
                </c:pt>
                <c:pt idx="649">
                  <c:v>63.451079999999855</c:v>
                </c:pt>
                <c:pt idx="650">
                  <c:v>63.451079999999855</c:v>
                </c:pt>
                <c:pt idx="651">
                  <c:v>63.451079999999855</c:v>
                </c:pt>
                <c:pt idx="652">
                  <c:v>63.451079999999855</c:v>
                </c:pt>
                <c:pt idx="653">
                  <c:v>63.451079999999855</c:v>
                </c:pt>
                <c:pt idx="654">
                  <c:v>63.451079999999855</c:v>
                </c:pt>
                <c:pt idx="655">
                  <c:v>63.451079999999855</c:v>
                </c:pt>
                <c:pt idx="656">
                  <c:v>63.451079999999855</c:v>
                </c:pt>
                <c:pt idx="657">
                  <c:v>63.451079999999855</c:v>
                </c:pt>
                <c:pt idx="658">
                  <c:v>63.451079999999855</c:v>
                </c:pt>
                <c:pt idx="659">
                  <c:v>63.451079999999855</c:v>
                </c:pt>
                <c:pt idx="660">
                  <c:v>63.451079999999855</c:v>
                </c:pt>
                <c:pt idx="661">
                  <c:v>63.451079999999855</c:v>
                </c:pt>
                <c:pt idx="662">
                  <c:v>63.451079999999855</c:v>
                </c:pt>
                <c:pt idx="663">
                  <c:v>63.451079999999855</c:v>
                </c:pt>
                <c:pt idx="664">
                  <c:v>63.451079999999855</c:v>
                </c:pt>
                <c:pt idx="665">
                  <c:v>63.451079999999855</c:v>
                </c:pt>
                <c:pt idx="666">
                  <c:v>63.451079999999855</c:v>
                </c:pt>
                <c:pt idx="667">
                  <c:v>63.451079999999855</c:v>
                </c:pt>
                <c:pt idx="668">
                  <c:v>63.451079999999855</c:v>
                </c:pt>
                <c:pt idx="669">
                  <c:v>63.451079999999855</c:v>
                </c:pt>
                <c:pt idx="670">
                  <c:v>63.451079999999855</c:v>
                </c:pt>
                <c:pt idx="671">
                  <c:v>63.451079999999855</c:v>
                </c:pt>
                <c:pt idx="672">
                  <c:v>63.451079999999855</c:v>
                </c:pt>
                <c:pt idx="673">
                  <c:v>63.451079999999855</c:v>
                </c:pt>
                <c:pt idx="674">
                  <c:v>63.451079999999855</c:v>
                </c:pt>
                <c:pt idx="675">
                  <c:v>63.451079999999855</c:v>
                </c:pt>
                <c:pt idx="676">
                  <c:v>63.451079999999855</c:v>
                </c:pt>
                <c:pt idx="677">
                  <c:v>63.451079999999855</c:v>
                </c:pt>
                <c:pt idx="678">
                  <c:v>63.451079999999855</c:v>
                </c:pt>
                <c:pt idx="679">
                  <c:v>63.451079999999855</c:v>
                </c:pt>
                <c:pt idx="680">
                  <c:v>63.451079999999855</c:v>
                </c:pt>
                <c:pt idx="681">
                  <c:v>63.451079999999855</c:v>
                </c:pt>
                <c:pt idx="682">
                  <c:v>63.451079999999855</c:v>
                </c:pt>
                <c:pt idx="683">
                  <c:v>63.451079999999855</c:v>
                </c:pt>
                <c:pt idx="684">
                  <c:v>63.451079999999855</c:v>
                </c:pt>
                <c:pt idx="685">
                  <c:v>63.451079999999855</c:v>
                </c:pt>
                <c:pt idx="686">
                  <c:v>63.451079999999855</c:v>
                </c:pt>
                <c:pt idx="687">
                  <c:v>63.451079999999855</c:v>
                </c:pt>
                <c:pt idx="688">
                  <c:v>63.451079999999855</c:v>
                </c:pt>
                <c:pt idx="689">
                  <c:v>63.451079999999855</c:v>
                </c:pt>
                <c:pt idx="690">
                  <c:v>63.451079999999855</c:v>
                </c:pt>
                <c:pt idx="691">
                  <c:v>63.451079999999855</c:v>
                </c:pt>
                <c:pt idx="692">
                  <c:v>63.451079999999855</c:v>
                </c:pt>
                <c:pt idx="693">
                  <c:v>63.451079999999855</c:v>
                </c:pt>
                <c:pt idx="694">
                  <c:v>63.451079999999855</c:v>
                </c:pt>
                <c:pt idx="695">
                  <c:v>63.451079999999855</c:v>
                </c:pt>
                <c:pt idx="696">
                  <c:v>63.451079999999855</c:v>
                </c:pt>
                <c:pt idx="697">
                  <c:v>63.451079999999855</c:v>
                </c:pt>
                <c:pt idx="698">
                  <c:v>63.451079999999855</c:v>
                </c:pt>
                <c:pt idx="699">
                  <c:v>63.451079999999855</c:v>
                </c:pt>
                <c:pt idx="700">
                  <c:v>63.451079999999855</c:v>
                </c:pt>
                <c:pt idx="701">
                  <c:v>63.451079999999855</c:v>
                </c:pt>
                <c:pt idx="702">
                  <c:v>63.451079999999855</c:v>
                </c:pt>
                <c:pt idx="703">
                  <c:v>63.451079999999855</c:v>
                </c:pt>
                <c:pt idx="704">
                  <c:v>63.451079999999855</c:v>
                </c:pt>
                <c:pt idx="705">
                  <c:v>63.451079999999855</c:v>
                </c:pt>
                <c:pt idx="706">
                  <c:v>63.451079999999855</c:v>
                </c:pt>
                <c:pt idx="707">
                  <c:v>63.451079999999855</c:v>
                </c:pt>
                <c:pt idx="708">
                  <c:v>63.451079999999855</c:v>
                </c:pt>
                <c:pt idx="709">
                  <c:v>63.451079999999855</c:v>
                </c:pt>
                <c:pt idx="710">
                  <c:v>63.451079999999855</c:v>
                </c:pt>
                <c:pt idx="711">
                  <c:v>63.451079999999855</c:v>
                </c:pt>
                <c:pt idx="712">
                  <c:v>63.451079999999855</c:v>
                </c:pt>
                <c:pt idx="713">
                  <c:v>63.451079999999855</c:v>
                </c:pt>
                <c:pt idx="714">
                  <c:v>63.451079999999855</c:v>
                </c:pt>
                <c:pt idx="715">
                  <c:v>63.451079999999855</c:v>
                </c:pt>
                <c:pt idx="716">
                  <c:v>63.451079999999855</c:v>
                </c:pt>
                <c:pt idx="717">
                  <c:v>63.451079999999855</c:v>
                </c:pt>
                <c:pt idx="718">
                  <c:v>63.451079999999855</c:v>
                </c:pt>
                <c:pt idx="719">
                  <c:v>63.451079999999855</c:v>
                </c:pt>
                <c:pt idx="720">
                  <c:v>63.451079999999855</c:v>
                </c:pt>
                <c:pt idx="721">
                  <c:v>63.451079999999855</c:v>
                </c:pt>
                <c:pt idx="722">
                  <c:v>63.451079999999855</c:v>
                </c:pt>
                <c:pt idx="723">
                  <c:v>63.451079999999855</c:v>
                </c:pt>
                <c:pt idx="724">
                  <c:v>63.451079999999855</c:v>
                </c:pt>
                <c:pt idx="725">
                  <c:v>63.451079999999855</c:v>
                </c:pt>
                <c:pt idx="726">
                  <c:v>63.451079999999855</c:v>
                </c:pt>
                <c:pt idx="727">
                  <c:v>63.451079999999855</c:v>
                </c:pt>
                <c:pt idx="728">
                  <c:v>63.451079999999855</c:v>
                </c:pt>
                <c:pt idx="729">
                  <c:v>63.451079999999855</c:v>
                </c:pt>
                <c:pt idx="730">
                  <c:v>63.451079999999855</c:v>
                </c:pt>
                <c:pt idx="731">
                  <c:v>63.451079999999855</c:v>
                </c:pt>
                <c:pt idx="732">
                  <c:v>63.451079999999855</c:v>
                </c:pt>
                <c:pt idx="733">
                  <c:v>63.451079999999855</c:v>
                </c:pt>
                <c:pt idx="734">
                  <c:v>63.451079999999855</c:v>
                </c:pt>
                <c:pt idx="735">
                  <c:v>63.451079999999855</c:v>
                </c:pt>
                <c:pt idx="736">
                  <c:v>63.451079999999855</c:v>
                </c:pt>
                <c:pt idx="737">
                  <c:v>63.451079999999855</c:v>
                </c:pt>
                <c:pt idx="738">
                  <c:v>63.451079999999855</c:v>
                </c:pt>
                <c:pt idx="739">
                  <c:v>63.451079999999855</c:v>
                </c:pt>
                <c:pt idx="740">
                  <c:v>63.451079999999855</c:v>
                </c:pt>
                <c:pt idx="741">
                  <c:v>63.451079999999855</c:v>
                </c:pt>
                <c:pt idx="742">
                  <c:v>63.451079999999855</c:v>
                </c:pt>
                <c:pt idx="743">
                  <c:v>63.451079999999855</c:v>
                </c:pt>
                <c:pt idx="744">
                  <c:v>63.451079999999855</c:v>
                </c:pt>
                <c:pt idx="745">
                  <c:v>63.451079999999855</c:v>
                </c:pt>
                <c:pt idx="746">
                  <c:v>63.451079999999855</c:v>
                </c:pt>
                <c:pt idx="747">
                  <c:v>63.451079999999855</c:v>
                </c:pt>
                <c:pt idx="748">
                  <c:v>63.451079999999855</c:v>
                </c:pt>
                <c:pt idx="749">
                  <c:v>63.451079999999855</c:v>
                </c:pt>
                <c:pt idx="750">
                  <c:v>63.451079999999855</c:v>
                </c:pt>
                <c:pt idx="751">
                  <c:v>63.451079999999855</c:v>
                </c:pt>
                <c:pt idx="752">
                  <c:v>63.451079999999855</c:v>
                </c:pt>
                <c:pt idx="753">
                  <c:v>63.451079999999855</c:v>
                </c:pt>
                <c:pt idx="754">
                  <c:v>63.451079999999855</c:v>
                </c:pt>
                <c:pt idx="755">
                  <c:v>63.451079999999855</c:v>
                </c:pt>
                <c:pt idx="756">
                  <c:v>63.451079999999855</c:v>
                </c:pt>
                <c:pt idx="757">
                  <c:v>63.451079999999855</c:v>
                </c:pt>
                <c:pt idx="758">
                  <c:v>63.451079999999855</c:v>
                </c:pt>
                <c:pt idx="759">
                  <c:v>63.451079999999855</c:v>
                </c:pt>
                <c:pt idx="760">
                  <c:v>63.451079999999855</c:v>
                </c:pt>
                <c:pt idx="761">
                  <c:v>63.451079999999855</c:v>
                </c:pt>
                <c:pt idx="762">
                  <c:v>63.451079999999855</c:v>
                </c:pt>
                <c:pt idx="763">
                  <c:v>63.451079999999855</c:v>
                </c:pt>
                <c:pt idx="764">
                  <c:v>63.451079999999855</c:v>
                </c:pt>
                <c:pt idx="765">
                  <c:v>63.451079999999855</c:v>
                </c:pt>
                <c:pt idx="766">
                  <c:v>63.451079999999855</c:v>
                </c:pt>
                <c:pt idx="767">
                  <c:v>63.451079999999855</c:v>
                </c:pt>
                <c:pt idx="768">
                  <c:v>63.451079999999855</c:v>
                </c:pt>
                <c:pt idx="769">
                  <c:v>63.451079999999855</c:v>
                </c:pt>
                <c:pt idx="770">
                  <c:v>63.451079999999855</c:v>
                </c:pt>
                <c:pt idx="771">
                  <c:v>63.451079999999855</c:v>
                </c:pt>
                <c:pt idx="772">
                  <c:v>63.451079999999855</c:v>
                </c:pt>
                <c:pt idx="773">
                  <c:v>63.451079999999855</c:v>
                </c:pt>
                <c:pt idx="774">
                  <c:v>63.451079999999855</c:v>
                </c:pt>
                <c:pt idx="775">
                  <c:v>63.451079999999855</c:v>
                </c:pt>
                <c:pt idx="776">
                  <c:v>63.451079999999855</c:v>
                </c:pt>
                <c:pt idx="777">
                  <c:v>63.451079999999855</c:v>
                </c:pt>
                <c:pt idx="778">
                  <c:v>63.451079999999855</c:v>
                </c:pt>
                <c:pt idx="779">
                  <c:v>63.451079999999855</c:v>
                </c:pt>
                <c:pt idx="780">
                  <c:v>63.451079999999855</c:v>
                </c:pt>
                <c:pt idx="781">
                  <c:v>63.451079999999855</c:v>
                </c:pt>
                <c:pt idx="782">
                  <c:v>63.451079999999855</c:v>
                </c:pt>
                <c:pt idx="783">
                  <c:v>63.451079999999855</c:v>
                </c:pt>
                <c:pt idx="784">
                  <c:v>63.451079999999855</c:v>
                </c:pt>
                <c:pt idx="785">
                  <c:v>63.451079999999855</c:v>
                </c:pt>
                <c:pt idx="786">
                  <c:v>63.451079999999855</c:v>
                </c:pt>
                <c:pt idx="787">
                  <c:v>63.451079999999855</c:v>
                </c:pt>
                <c:pt idx="788">
                  <c:v>63.451079999999855</c:v>
                </c:pt>
                <c:pt idx="789">
                  <c:v>63.451079999999855</c:v>
                </c:pt>
                <c:pt idx="790">
                  <c:v>63.451079999999855</c:v>
                </c:pt>
                <c:pt idx="791">
                  <c:v>63.451079999999855</c:v>
                </c:pt>
                <c:pt idx="792">
                  <c:v>63.451079999999855</c:v>
                </c:pt>
                <c:pt idx="793">
                  <c:v>63.451079999999855</c:v>
                </c:pt>
                <c:pt idx="794">
                  <c:v>63.451079999999855</c:v>
                </c:pt>
                <c:pt idx="795">
                  <c:v>63.451079999999855</c:v>
                </c:pt>
                <c:pt idx="796">
                  <c:v>63.451079999999855</c:v>
                </c:pt>
                <c:pt idx="797">
                  <c:v>63.451079999999855</c:v>
                </c:pt>
                <c:pt idx="798">
                  <c:v>63.451079999999855</c:v>
                </c:pt>
                <c:pt idx="799">
                  <c:v>63.451079999999855</c:v>
                </c:pt>
                <c:pt idx="800">
                  <c:v>63.451079999999855</c:v>
                </c:pt>
                <c:pt idx="801">
                  <c:v>63.451079999999855</c:v>
                </c:pt>
                <c:pt idx="802">
                  <c:v>63.451079999999855</c:v>
                </c:pt>
                <c:pt idx="803">
                  <c:v>63.451079999999855</c:v>
                </c:pt>
                <c:pt idx="804">
                  <c:v>63.451079999999855</c:v>
                </c:pt>
                <c:pt idx="805">
                  <c:v>63.451079999999855</c:v>
                </c:pt>
                <c:pt idx="806">
                  <c:v>63.451079999999855</c:v>
                </c:pt>
                <c:pt idx="807">
                  <c:v>63.451079999999855</c:v>
                </c:pt>
                <c:pt idx="808">
                  <c:v>63.451079999999855</c:v>
                </c:pt>
                <c:pt idx="809">
                  <c:v>63.451079999999855</c:v>
                </c:pt>
                <c:pt idx="810">
                  <c:v>63.451079999999855</c:v>
                </c:pt>
                <c:pt idx="811">
                  <c:v>63.451079999999855</c:v>
                </c:pt>
                <c:pt idx="812">
                  <c:v>63.451079999999855</c:v>
                </c:pt>
                <c:pt idx="813">
                  <c:v>63.451079999999855</c:v>
                </c:pt>
                <c:pt idx="814">
                  <c:v>63.451079999999855</c:v>
                </c:pt>
                <c:pt idx="815">
                  <c:v>63.451079999999855</c:v>
                </c:pt>
                <c:pt idx="816">
                  <c:v>63.451079999999855</c:v>
                </c:pt>
                <c:pt idx="817">
                  <c:v>63.451079999999855</c:v>
                </c:pt>
                <c:pt idx="818">
                  <c:v>63.451079999999855</c:v>
                </c:pt>
                <c:pt idx="819">
                  <c:v>63.451079999999855</c:v>
                </c:pt>
                <c:pt idx="820">
                  <c:v>63.451079999999855</c:v>
                </c:pt>
                <c:pt idx="821">
                  <c:v>63.451079999999855</c:v>
                </c:pt>
                <c:pt idx="822">
                  <c:v>63.451079999999855</c:v>
                </c:pt>
                <c:pt idx="823">
                  <c:v>63.451079999999855</c:v>
                </c:pt>
                <c:pt idx="824">
                  <c:v>63.451079999999855</c:v>
                </c:pt>
                <c:pt idx="825">
                  <c:v>63.451079999999855</c:v>
                </c:pt>
                <c:pt idx="826">
                  <c:v>63.451079999999855</c:v>
                </c:pt>
                <c:pt idx="827">
                  <c:v>63.451079999999855</c:v>
                </c:pt>
                <c:pt idx="828">
                  <c:v>63.451079999999855</c:v>
                </c:pt>
                <c:pt idx="829">
                  <c:v>63.451079999999855</c:v>
                </c:pt>
                <c:pt idx="830">
                  <c:v>63.451079999999855</c:v>
                </c:pt>
                <c:pt idx="831">
                  <c:v>63.451079999999855</c:v>
                </c:pt>
                <c:pt idx="832">
                  <c:v>63.451079999999855</c:v>
                </c:pt>
                <c:pt idx="833">
                  <c:v>63.451079999999855</c:v>
                </c:pt>
                <c:pt idx="834">
                  <c:v>63.451079999999855</c:v>
                </c:pt>
                <c:pt idx="835">
                  <c:v>63.451079999999855</c:v>
                </c:pt>
                <c:pt idx="836">
                  <c:v>63.451079999999855</c:v>
                </c:pt>
                <c:pt idx="837">
                  <c:v>63.451079999999855</c:v>
                </c:pt>
                <c:pt idx="838">
                  <c:v>63.451079999999855</c:v>
                </c:pt>
                <c:pt idx="839">
                  <c:v>63.451079999999855</c:v>
                </c:pt>
                <c:pt idx="840">
                  <c:v>63.451079999999855</c:v>
                </c:pt>
                <c:pt idx="841">
                  <c:v>63.451079999999855</c:v>
                </c:pt>
                <c:pt idx="842">
                  <c:v>63.451079999999855</c:v>
                </c:pt>
                <c:pt idx="843">
                  <c:v>63.451079999999855</c:v>
                </c:pt>
                <c:pt idx="844">
                  <c:v>63.451079999999855</c:v>
                </c:pt>
                <c:pt idx="845">
                  <c:v>63.451079999999855</c:v>
                </c:pt>
                <c:pt idx="846">
                  <c:v>63.451079999999855</c:v>
                </c:pt>
                <c:pt idx="847">
                  <c:v>63.451079999999855</c:v>
                </c:pt>
                <c:pt idx="848">
                  <c:v>63.451079999999855</c:v>
                </c:pt>
                <c:pt idx="849">
                  <c:v>63.451079999999855</c:v>
                </c:pt>
                <c:pt idx="850">
                  <c:v>63.451079999999855</c:v>
                </c:pt>
                <c:pt idx="851">
                  <c:v>63.451079999999855</c:v>
                </c:pt>
                <c:pt idx="852">
                  <c:v>63.451079999999855</c:v>
                </c:pt>
                <c:pt idx="853">
                  <c:v>63.451079999999855</c:v>
                </c:pt>
                <c:pt idx="854">
                  <c:v>63.451079999999855</c:v>
                </c:pt>
                <c:pt idx="855">
                  <c:v>63.451079999999855</c:v>
                </c:pt>
                <c:pt idx="856">
                  <c:v>63.451079999999855</c:v>
                </c:pt>
                <c:pt idx="857">
                  <c:v>63.451079999999855</c:v>
                </c:pt>
                <c:pt idx="858">
                  <c:v>63.451079999999855</c:v>
                </c:pt>
                <c:pt idx="859">
                  <c:v>63.451079999999855</c:v>
                </c:pt>
                <c:pt idx="860">
                  <c:v>63.451079999999855</c:v>
                </c:pt>
                <c:pt idx="861">
                  <c:v>63.451079999999855</c:v>
                </c:pt>
                <c:pt idx="862">
                  <c:v>63.451079999999855</c:v>
                </c:pt>
                <c:pt idx="863">
                  <c:v>63.451079999999855</c:v>
                </c:pt>
                <c:pt idx="864">
                  <c:v>63.451079999999855</c:v>
                </c:pt>
                <c:pt idx="865">
                  <c:v>63.451079999999855</c:v>
                </c:pt>
                <c:pt idx="866">
                  <c:v>63.451079999999855</c:v>
                </c:pt>
                <c:pt idx="867">
                  <c:v>63.451079999999855</c:v>
                </c:pt>
                <c:pt idx="868">
                  <c:v>63.451079999999855</c:v>
                </c:pt>
                <c:pt idx="869">
                  <c:v>63.451079999999855</c:v>
                </c:pt>
                <c:pt idx="870">
                  <c:v>63.451079999999855</c:v>
                </c:pt>
                <c:pt idx="871">
                  <c:v>63.451079999999855</c:v>
                </c:pt>
                <c:pt idx="872">
                  <c:v>63.451079999999855</c:v>
                </c:pt>
                <c:pt idx="873">
                  <c:v>63.451079999999855</c:v>
                </c:pt>
                <c:pt idx="874">
                  <c:v>63.451079999999855</c:v>
                </c:pt>
                <c:pt idx="875">
                  <c:v>63.451079999999855</c:v>
                </c:pt>
                <c:pt idx="876">
                  <c:v>63.451079999999855</c:v>
                </c:pt>
                <c:pt idx="877">
                  <c:v>63.451079999999855</c:v>
                </c:pt>
                <c:pt idx="878">
                  <c:v>63.451079999999855</c:v>
                </c:pt>
                <c:pt idx="879">
                  <c:v>63.451079999999855</c:v>
                </c:pt>
                <c:pt idx="880">
                  <c:v>63.451079999999855</c:v>
                </c:pt>
                <c:pt idx="881">
                  <c:v>63.451079999999855</c:v>
                </c:pt>
                <c:pt idx="882">
                  <c:v>63.451079999999855</c:v>
                </c:pt>
                <c:pt idx="883">
                  <c:v>63.451079999999855</c:v>
                </c:pt>
                <c:pt idx="884">
                  <c:v>63.451079999999855</c:v>
                </c:pt>
                <c:pt idx="885">
                  <c:v>63.451079999999855</c:v>
                </c:pt>
                <c:pt idx="886">
                  <c:v>63.451079999999855</c:v>
                </c:pt>
                <c:pt idx="887">
                  <c:v>63.451079999999855</c:v>
                </c:pt>
                <c:pt idx="888">
                  <c:v>63.451079999999855</c:v>
                </c:pt>
                <c:pt idx="889">
                  <c:v>63.451079999999855</c:v>
                </c:pt>
                <c:pt idx="890">
                  <c:v>63.451079999999855</c:v>
                </c:pt>
                <c:pt idx="891">
                  <c:v>63.451079999999855</c:v>
                </c:pt>
                <c:pt idx="892">
                  <c:v>63.451079999999855</c:v>
                </c:pt>
                <c:pt idx="893">
                  <c:v>63.451079999999855</c:v>
                </c:pt>
                <c:pt idx="894">
                  <c:v>63.451079999999855</c:v>
                </c:pt>
                <c:pt idx="895">
                  <c:v>63.451079999999855</c:v>
                </c:pt>
                <c:pt idx="896">
                  <c:v>63.451079999999855</c:v>
                </c:pt>
                <c:pt idx="897">
                  <c:v>63.451079999999855</c:v>
                </c:pt>
                <c:pt idx="898">
                  <c:v>63.451079999999855</c:v>
                </c:pt>
                <c:pt idx="899">
                  <c:v>63.451079999999855</c:v>
                </c:pt>
                <c:pt idx="900">
                  <c:v>63.451079999999855</c:v>
                </c:pt>
                <c:pt idx="901">
                  <c:v>63.451079999999855</c:v>
                </c:pt>
                <c:pt idx="902">
                  <c:v>63.451079999999855</c:v>
                </c:pt>
                <c:pt idx="903">
                  <c:v>63.451079999999855</c:v>
                </c:pt>
                <c:pt idx="904">
                  <c:v>63.451079999999855</c:v>
                </c:pt>
                <c:pt idx="905">
                  <c:v>63.451079999999855</c:v>
                </c:pt>
                <c:pt idx="906">
                  <c:v>63.451079999999855</c:v>
                </c:pt>
                <c:pt idx="907">
                  <c:v>63.451079999999855</c:v>
                </c:pt>
                <c:pt idx="908">
                  <c:v>63.451079999999855</c:v>
                </c:pt>
                <c:pt idx="909">
                  <c:v>63.451079999999855</c:v>
                </c:pt>
                <c:pt idx="910">
                  <c:v>63.451079999999855</c:v>
                </c:pt>
                <c:pt idx="911">
                  <c:v>63.451079999999855</c:v>
                </c:pt>
                <c:pt idx="912">
                  <c:v>63.451079999999855</c:v>
                </c:pt>
                <c:pt idx="913">
                  <c:v>63.451079999999855</c:v>
                </c:pt>
                <c:pt idx="914">
                  <c:v>63.451079999999855</c:v>
                </c:pt>
                <c:pt idx="915">
                  <c:v>63.451079999999855</c:v>
                </c:pt>
                <c:pt idx="916">
                  <c:v>63.451079999999855</c:v>
                </c:pt>
                <c:pt idx="917">
                  <c:v>63.451079999999855</c:v>
                </c:pt>
                <c:pt idx="918">
                  <c:v>63.451079999999855</c:v>
                </c:pt>
                <c:pt idx="919">
                  <c:v>63.451079999999855</c:v>
                </c:pt>
                <c:pt idx="920">
                  <c:v>63.451079999999855</c:v>
                </c:pt>
                <c:pt idx="921">
                  <c:v>63.451079999999855</c:v>
                </c:pt>
                <c:pt idx="922">
                  <c:v>63.451079999999855</c:v>
                </c:pt>
                <c:pt idx="923">
                  <c:v>63.451079999999855</c:v>
                </c:pt>
                <c:pt idx="924">
                  <c:v>63.451079999999855</c:v>
                </c:pt>
                <c:pt idx="925">
                  <c:v>63.451079999999855</c:v>
                </c:pt>
                <c:pt idx="926">
                  <c:v>63.451079999999855</c:v>
                </c:pt>
                <c:pt idx="927">
                  <c:v>63.451079999999855</c:v>
                </c:pt>
                <c:pt idx="928">
                  <c:v>63.451079999999855</c:v>
                </c:pt>
                <c:pt idx="929">
                  <c:v>63.451079999999855</c:v>
                </c:pt>
                <c:pt idx="930">
                  <c:v>63.451079999999855</c:v>
                </c:pt>
                <c:pt idx="931">
                  <c:v>63.451079999999855</c:v>
                </c:pt>
                <c:pt idx="932">
                  <c:v>63.451079999999855</c:v>
                </c:pt>
                <c:pt idx="933">
                  <c:v>63.451079999999855</c:v>
                </c:pt>
                <c:pt idx="934">
                  <c:v>63.451079999999855</c:v>
                </c:pt>
                <c:pt idx="935">
                  <c:v>63.451079999999855</c:v>
                </c:pt>
                <c:pt idx="936">
                  <c:v>63.451079999999855</c:v>
                </c:pt>
                <c:pt idx="937">
                  <c:v>63.451079999999855</c:v>
                </c:pt>
                <c:pt idx="938">
                  <c:v>63.451079999999855</c:v>
                </c:pt>
                <c:pt idx="939">
                  <c:v>63.451079999999855</c:v>
                </c:pt>
                <c:pt idx="940">
                  <c:v>63.451079999999855</c:v>
                </c:pt>
                <c:pt idx="941">
                  <c:v>63.451079999999855</c:v>
                </c:pt>
                <c:pt idx="942">
                  <c:v>63.451079999999855</c:v>
                </c:pt>
                <c:pt idx="943">
                  <c:v>63.451079999999855</c:v>
                </c:pt>
                <c:pt idx="944">
                  <c:v>63.451079999999855</c:v>
                </c:pt>
                <c:pt idx="945">
                  <c:v>63.451079999999855</c:v>
                </c:pt>
                <c:pt idx="946">
                  <c:v>63.451079999999855</c:v>
                </c:pt>
                <c:pt idx="947">
                  <c:v>63.451079999999855</c:v>
                </c:pt>
                <c:pt idx="948">
                  <c:v>63.451079999999855</c:v>
                </c:pt>
                <c:pt idx="949">
                  <c:v>63.451079999999855</c:v>
                </c:pt>
                <c:pt idx="950">
                  <c:v>63.451079999999855</c:v>
                </c:pt>
                <c:pt idx="951">
                  <c:v>63.451079999999855</c:v>
                </c:pt>
                <c:pt idx="952">
                  <c:v>63.451079999999855</c:v>
                </c:pt>
                <c:pt idx="953">
                  <c:v>63.451079999999855</c:v>
                </c:pt>
                <c:pt idx="954">
                  <c:v>63.451079999999855</c:v>
                </c:pt>
                <c:pt idx="955">
                  <c:v>63.451079999999855</c:v>
                </c:pt>
                <c:pt idx="956">
                  <c:v>63.451079999999855</c:v>
                </c:pt>
                <c:pt idx="957">
                  <c:v>63.451079999999855</c:v>
                </c:pt>
                <c:pt idx="958">
                  <c:v>63.451079999999855</c:v>
                </c:pt>
                <c:pt idx="959">
                  <c:v>63.451079999999855</c:v>
                </c:pt>
                <c:pt idx="960">
                  <c:v>63.451079999999855</c:v>
                </c:pt>
                <c:pt idx="961">
                  <c:v>63.451079999999855</c:v>
                </c:pt>
                <c:pt idx="962">
                  <c:v>63.451079999999855</c:v>
                </c:pt>
                <c:pt idx="963">
                  <c:v>63.451079999999855</c:v>
                </c:pt>
                <c:pt idx="964">
                  <c:v>63.451079999999855</c:v>
                </c:pt>
                <c:pt idx="965">
                  <c:v>63.451079999999855</c:v>
                </c:pt>
                <c:pt idx="966">
                  <c:v>63.451079999999855</c:v>
                </c:pt>
                <c:pt idx="967">
                  <c:v>63.451079999999855</c:v>
                </c:pt>
                <c:pt idx="968">
                  <c:v>63.451079999999855</c:v>
                </c:pt>
                <c:pt idx="969">
                  <c:v>63.451079999999855</c:v>
                </c:pt>
                <c:pt idx="970">
                  <c:v>63.451079999999855</c:v>
                </c:pt>
                <c:pt idx="971">
                  <c:v>63.451079999999855</c:v>
                </c:pt>
                <c:pt idx="972">
                  <c:v>63.451079999999855</c:v>
                </c:pt>
                <c:pt idx="973">
                  <c:v>63.451079999999855</c:v>
                </c:pt>
                <c:pt idx="974">
                  <c:v>63.451079999999855</c:v>
                </c:pt>
                <c:pt idx="975">
                  <c:v>63.451079999999855</c:v>
                </c:pt>
                <c:pt idx="976">
                  <c:v>63.451079999999855</c:v>
                </c:pt>
                <c:pt idx="977">
                  <c:v>63.451079999999855</c:v>
                </c:pt>
                <c:pt idx="978">
                  <c:v>63.451079999999855</c:v>
                </c:pt>
                <c:pt idx="979">
                  <c:v>63.451079999999855</c:v>
                </c:pt>
                <c:pt idx="980">
                  <c:v>63.451079999999855</c:v>
                </c:pt>
                <c:pt idx="981">
                  <c:v>63.451079999999855</c:v>
                </c:pt>
                <c:pt idx="982">
                  <c:v>63.451079999999855</c:v>
                </c:pt>
                <c:pt idx="983">
                  <c:v>63.451079999999855</c:v>
                </c:pt>
                <c:pt idx="984">
                  <c:v>63.451079999999855</c:v>
                </c:pt>
                <c:pt idx="985">
                  <c:v>63.451079999999855</c:v>
                </c:pt>
                <c:pt idx="986">
                  <c:v>63.451079999999855</c:v>
                </c:pt>
                <c:pt idx="987">
                  <c:v>63.451079999999855</c:v>
                </c:pt>
                <c:pt idx="988">
                  <c:v>63.451079999999855</c:v>
                </c:pt>
                <c:pt idx="989">
                  <c:v>63.451079999999855</c:v>
                </c:pt>
                <c:pt idx="990">
                  <c:v>63.451079999999855</c:v>
                </c:pt>
                <c:pt idx="991">
                  <c:v>63.451079999999855</c:v>
                </c:pt>
                <c:pt idx="992">
                  <c:v>63.451079999999855</c:v>
                </c:pt>
                <c:pt idx="993">
                  <c:v>63.451079999999855</c:v>
                </c:pt>
                <c:pt idx="994">
                  <c:v>63.451079999999855</c:v>
                </c:pt>
                <c:pt idx="995">
                  <c:v>63.451079999999855</c:v>
                </c:pt>
                <c:pt idx="996">
                  <c:v>63.451079999999855</c:v>
                </c:pt>
                <c:pt idx="997">
                  <c:v>63.451079999999855</c:v>
                </c:pt>
                <c:pt idx="998">
                  <c:v>63.451079999999855</c:v>
                </c:pt>
                <c:pt idx="999">
                  <c:v>63.451079999999855</c:v>
                </c:pt>
                <c:pt idx="1000">
                  <c:v>63.451079999999855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4-48D6-934B-5D8E0316888E}"/>
            </c:ext>
          </c:extLst>
        </c:ser>
        <c:ser>
          <c:idx val="0"/>
          <c:order val="2"/>
          <c:tx>
            <c:strRef>
              <c:f>Courbes!$B$133</c:f>
              <c:strCache>
                <c:ptCount val="1"/>
                <c:pt idx="0">
                  <c:v>Traînée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5.0999999999999375</c:v>
                </c:pt>
                <c:pt idx="502">
                  <c:v>5.1999999999999371</c:v>
                </c:pt>
                <c:pt idx="503">
                  <c:v>5.2999999999999368</c:v>
                </c:pt>
                <c:pt idx="504">
                  <c:v>5.3999999999999364</c:v>
                </c:pt>
                <c:pt idx="505">
                  <c:v>5.4999999999999361</c:v>
                </c:pt>
                <c:pt idx="506">
                  <c:v>5.5999999999999357</c:v>
                </c:pt>
                <c:pt idx="507">
                  <c:v>5.6999999999999353</c:v>
                </c:pt>
                <c:pt idx="508">
                  <c:v>5.799999999999935</c:v>
                </c:pt>
                <c:pt idx="509">
                  <c:v>5.8999999999999346</c:v>
                </c:pt>
                <c:pt idx="510">
                  <c:v>5.9999999999999343</c:v>
                </c:pt>
                <c:pt idx="511">
                  <c:v>6.0999999999999339</c:v>
                </c:pt>
                <c:pt idx="512">
                  <c:v>6.1999999999999336</c:v>
                </c:pt>
                <c:pt idx="513">
                  <c:v>6.2999999999999332</c:v>
                </c:pt>
                <c:pt idx="514">
                  <c:v>6.3999999999999329</c:v>
                </c:pt>
                <c:pt idx="515">
                  <c:v>6.4999999999999325</c:v>
                </c:pt>
                <c:pt idx="516">
                  <c:v>6.5999999999999321</c:v>
                </c:pt>
                <c:pt idx="517">
                  <c:v>6.6999999999999318</c:v>
                </c:pt>
                <c:pt idx="518">
                  <c:v>6.7999999999999314</c:v>
                </c:pt>
                <c:pt idx="519">
                  <c:v>6.8999999999999311</c:v>
                </c:pt>
                <c:pt idx="520">
                  <c:v>6.9999999999999307</c:v>
                </c:pt>
                <c:pt idx="521">
                  <c:v>7.0999999999999304</c:v>
                </c:pt>
                <c:pt idx="522">
                  <c:v>7.19999999999993</c:v>
                </c:pt>
                <c:pt idx="523">
                  <c:v>7.2999999999999297</c:v>
                </c:pt>
                <c:pt idx="524">
                  <c:v>7.3999999999999293</c:v>
                </c:pt>
                <c:pt idx="525">
                  <c:v>7.4999999999999289</c:v>
                </c:pt>
                <c:pt idx="526">
                  <c:v>7.5999999999999286</c:v>
                </c:pt>
                <c:pt idx="527">
                  <c:v>7.6999999999999282</c:v>
                </c:pt>
                <c:pt idx="528">
                  <c:v>7.7999999999999279</c:v>
                </c:pt>
                <c:pt idx="529">
                  <c:v>7.8999999999999275</c:v>
                </c:pt>
                <c:pt idx="530">
                  <c:v>7.9999999999999272</c:v>
                </c:pt>
                <c:pt idx="531">
                  <c:v>8.0999999999999268</c:v>
                </c:pt>
                <c:pt idx="532">
                  <c:v>8.1999999999999265</c:v>
                </c:pt>
                <c:pt idx="533">
                  <c:v>8.2999999999999261</c:v>
                </c:pt>
                <c:pt idx="534">
                  <c:v>8.3999999999999257</c:v>
                </c:pt>
                <c:pt idx="535">
                  <c:v>8.4999999999999254</c:v>
                </c:pt>
                <c:pt idx="536">
                  <c:v>8.599999999999925</c:v>
                </c:pt>
                <c:pt idx="537">
                  <c:v>8.6999999999999247</c:v>
                </c:pt>
                <c:pt idx="538">
                  <c:v>8.7999999999999243</c:v>
                </c:pt>
                <c:pt idx="539">
                  <c:v>8.899999999999924</c:v>
                </c:pt>
                <c:pt idx="540">
                  <c:v>8.9999999999999236</c:v>
                </c:pt>
                <c:pt idx="541">
                  <c:v>9.0999999999999233</c:v>
                </c:pt>
                <c:pt idx="542">
                  <c:v>9.1999999999999229</c:v>
                </c:pt>
                <c:pt idx="543">
                  <c:v>9.2999999999999226</c:v>
                </c:pt>
                <c:pt idx="544">
                  <c:v>9.3999999999999222</c:v>
                </c:pt>
                <c:pt idx="545">
                  <c:v>9.4999999999999218</c:v>
                </c:pt>
                <c:pt idx="546">
                  <c:v>9.5999999999999215</c:v>
                </c:pt>
                <c:pt idx="547">
                  <c:v>9.6999999999999211</c:v>
                </c:pt>
                <c:pt idx="548">
                  <c:v>9.7999999999999208</c:v>
                </c:pt>
                <c:pt idx="549">
                  <c:v>9.8999999999999204</c:v>
                </c:pt>
                <c:pt idx="550">
                  <c:v>9.9999999999999201</c:v>
                </c:pt>
                <c:pt idx="551">
                  <c:v>10.09999999999992</c:v>
                </c:pt>
                <c:pt idx="552">
                  <c:v>10.199999999999919</c:v>
                </c:pt>
                <c:pt idx="553">
                  <c:v>10.299999999999919</c:v>
                </c:pt>
                <c:pt idx="554">
                  <c:v>10.399999999999919</c:v>
                </c:pt>
                <c:pt idx="555">
                  <c:v>10.499999999999918</c:v>
                </c:pt>
                <c:pt idx="556">
                  <c:v>10.599999999999918</c:v>
                </c:pt>
                <c:pt idx="557">
                  <c:v>10.699999999999918</c:v>
                </c:pt>
                <c:pt idx="558">
                  <c:v>10.799999999999917</c:v>
                </c:pt>
                <c:pt idx="559">
                  <c:v>10.899999999999917</c:v>
                </c:pt>
                <c:pt idx="560">
                  <c:v>10.999999999999917</c:v>
                </c:pt>
                <c:pt idx="561">
                  <c:v>11.099999999999916</c:v>
                </c:pt>
                <c:pt idx="562">
                  <c:v>11.199999999999916</c:v>
                </c:pt>
                <c:pt idx="563">
                  <c:v>11.299999999999915</c:v>
                </c:pt>
                <c:pt idx="564">
                  <c:v>11.399999999999915</c:v>
                </c:pt>
                <c:pt idx="565">
                  <c:v>11.499999999999915</c:v>
                </c:pt>
                <c:pt idx="566">
                  <c:v>11.599999999999914</c:v>
                </c:pt>
                <c:pt idx="567">
                  <c:v>11.699999999999914</c:v>
                </c:pt>
                <c:pt idx="568">
                  <c:v>11.799999999999914</c:v>
                </c:pt>
                <c:pt idx="569">
                  <c:v>11.899999999999913</c:v>
                </c:pt>
                <c:pt idx="570">
                  <c:v>11.999999999999913</c:v>
                </c:pt>
                <c:pt idx="571">
                  <c:v>12.099999999999913</c:v>
                </c:pt>
                <c:pt idx="572">
                  <c:v>12.199999999999912</c:v>
                </c:pt>
                <c:pt idx="573">
                  <c:v>12.299999999999912</c:v>
                </c:pt>
                <c:pt idx="574">
                  <c:v>12.399999999999912</c:v>
                </c:pt>
                <c:pt idx="575">
                  <c:v>12.499999999999911</c:v>
                </c:pt>
                <c:pt idx="576">
                  <c:v>12.599999999999911</c:v>
                </c:pt>
                <c:pt idx="577">
                  <c:v>12.69999999999991</c:v>
                </c:pt>
                <c:pt idx="578">
                  <c:v>12.79999999999991</c:v>
                </c:pt>
                <c:pt idx="579">
                  <c:v>12.89999999999991</c:v>
                </c:pt>
                <c:pt idx="580">
                  <c:v>12.999999999999909</c:v>
                </c:pt>
                <c:pt idx="581">
                  <c:v>13.099999999999909</c:v>
                </c:pt>
                <c:pt idx="582">
                  <c:v>13.199999999999909</c:v>
                </c:pt>
                <c:pt idx="583">
                  <c:v>13.299999999999908</c:v>
                </c:pt>
                <c:pt idx="584">
                  <c:v>13.399999999999908</c:v>
                </c:pt>
                <c:pt idx="585">
                  <c:v>13.499999999999908</c:v>
                </c:pt>
                <c:pt idx="586">
                  <c:v>13.599999999999907</c:v>
                </c:pt>
                <c:pt idx="587">
                  <c:v>13.699999999999907</c:v>
                </c:pt>
                <c:pt idx="588">
                  <c:v>13.799999999999907</c:v>
                </c:pt>
                <c:pt idx="589">
                  <c:v>13.899999999999906</c:v>
                </c:pt>
                <c:pt idx="590">
                  <c:v>13.999999999999906</c:v>
                </c:pt>
                <c:pt idx="591">
                  <c:v>14.099999999999905</c:v>
                </c:pt>
                <c:pt idx="592">
                  <c:v>14.199999999999905</c:v>
                </c:pt>
                <c:pt idx="593">
                  <c:v>14.299999999999905</c:v>
                </c:pt>
                <c:pt idx="594">
                  <c:v>14.399999999999904</c:v>
                </c:pt>
                <c:pt idx="595">
                  <c:v>14.499999999999904</c:v>
                </c:pt>
                <c:pt idx="596">
                  <c:v>14.599999999999904</c:v>
                </c:pt>
                <c:pt idx="597">
                  <c:v>14.699999999999903</c:v>
                </c:pt>
                <c:pt idx="598">
                  <c:v>14.799999999999903</c:v>
                </c:pt>
                <c:pt idx="599">
                  <c:v>14.899999999999903</c:v>
                </c:pt>
                <c:pt idx="600">
                  <c:v>14.999999999999902</c:v>
                </c:pt>
                <c:pt idx="601">
                  <c:v>15.099999999999902</c:v>
                </c:pt>
                <c:pt idx="602">
                  <c:v>15.199999999999902</c:v>
                </c:pt>
                <c:pt idx="603">
                  <c:v>15.299999999999901</c:v>
                </c:pt>
                <c:pt idx="604">
                  <c:v>15.399999999999901</c:v>
                </c:pt>
                <c:pt idx="605">
                  <c:v>15.499999999999901</c:v>
                </c:pt>
                <c:pt idx="606">
                  <c:v>15.5999999999999</c:v>
                </c:pt>
                <c:pt idx="607">
                  <c:v>15.6999999999999</c:v>
                </c:pt>
                <c:pt idx="608">
                  <c:v>15.799999999999899</c:v>
                </c:pt>
                <c:pt idx="609">
                  <c:v>15.899999999999899</c:v>
                </c:pt>
                <c:pt idx="610">
                  <c:v>15.999999999999899</c:v>
                </c:pt>
                <c:pt idx="611">
                  <c:v>16.099999999999898</c:v>
                </c:pt>
                <c:pt idx="612">
                  <c:v>16.1999999999999</c:v>
                </c:pt>
                <c:pt idx="613">
                  <c:v>16.299999999999901</c:v>
                </c:pt>
                <c:pt idx="614">
                  <c:v>16.399999999999903</c:v>
                </c:pt>
                <c:pt idx="615">
                  <c:v>16.499999999999904</c:v>
                </c:pt>
                <c:pt idx="616">
                  <c:v>16.599999999999905</c:v>
                </c:pt>
                <c:pt idx="617">
                  <c:v>16.699999999999907</c:v>
                </c:pt>
                <c:pt idx="618">
                  <c:v>16.799999999999908</c:v>
                </c:pt>
                <c:pt idx="619">
                  <c:v>16.89999999999991</c:v>
                </c:pt>
                <c:pt idx="620">
                  <c:v>16.999999999999911</c:v>
                </c:pt>
                <c:pt idx="621">
                  <c:v>17.099999999999913</c:v>
                </c:pt>
                <c:pt idx="622">
                  <c:v>17.199999999999914</c:v>
                </c:pt>
                <c:pt idx="623">
                  <c:v>17.299999999999915</c:v>
                </c:pt>
                <c:pt idx="624">
                  <c:v>17.399999999999917</c:v>
                </c:pt>
                <c:pt idx="625">
                  <c:v>17.499999999999918</c:v>
                </c:pt>
                <c:pt idx="626">
                  <c:v>17.59999999999992</c:v>
                </c:pt>
                <c:pt idx="627">
                  <c:v>17.699999999999921</c:v>
                </c:pt>
                <c:pt idx="628">
                  <c:v>17.799999999999923</c:v>
                </c:pt>
                <c:pt idx="629">
                  <c:v>17.899999999999924</c:v>
                </c:pt>
                <c:pt idx="630">
                  <c:v>17.999999999999925</c:v>
                </c:pt>
                <c:pt idx="631">
                  <c:v>18.099999999999927</c:v>
                </c:pt>
                <c:pt idx="632">
                  <c:v>18.199999999999928</c:v>
                </c:pt>
                <c:pt idx="633">
                  <c:v>18.29999999999993</c:v>
                </c:pt>
                <c:pt idx="634">
                  <c:v>18.399999999999931</c:v>
                </c:pt>
                <c:pt idx="635">
                  <c:v>18.499999999999932</c:v>
                </c:pt>
                <c:pt idx="636">
                  <c:v>18.599999999999934</c:v>
                </c:pt>
                <c:pt idx="637">
                  <c:v>18.699999999999935</c:v>
                </c:pt>
                <c:pt idx="638">
                  <c:v>18.799999999999937</c:v>
                </c:pt>
                <c:pt idx="639">
                  <c:v>18.899999999999938</c:v>
                </c:pt>
                <c:pt idx="640">
                  <c:v>18.99999999999994</c:v>
                </c:pt>
                <c:pt idx="641">
                  <c:v>19.099999999999941</c:v>
                </c:pt>
                <c:pt idx="642">
                  <c:v>19.199999999999942</c:v>
                </c:pt>
                <c:pt idx="643">
                  <c:v>19.299999999999944</c:v>
                </c:pt>
                <c:pt idx="644">
                  <c:v>19.399999999999945</c:v>
                </c:pt>
                <c:pt idx="645">
                  <c:v>19.499999999999947</c:v>
                </c:pt>
                <c:pt idx="646">
                  <c:v>19.599999999999948</c:v>
                </c:pt>
                <c:pt idx="647">
                  <c:v>19.69999999999995</c:v>
                </c:pt>
                <c:pt idx="648">
                  <c:v>19.799999999999951</c:v>
                </c:pt>
                <c:pt idx="649">
                  <c:v>19.899999999999952</c:v>
                </c:pt>
                <c:pt idx="650">
                  <c:v>19.999999999999954</c:v>
                </c:pt>
                <c:pt idx="651">
                  <c:v>20.099999999999955</c:v>
                </c:pt>
                <c:pt idx="652">
                  <c:v>20.199999999999957</c:v>
                </c:pt>
                <c:pt idx="653">
                  <c:v>20.299999999999958</c:v>
                </c:pt>
                <c:pt idx="654">
                  <c:v>20.399999999999959</c:v>
                </c:pt>
                <c:pt idx="655">
                  <c:v>20.499999999999961</c:v>
                </c:pt>
                <c:pt idx="656">
                  <c:v>20.599999999999962</c:v>
                </c:pt>
                <c:pt idx="657">
                  <c:v>20.699999999999964</c:v>
                </c:pt>
                <c:pt idx="658">
                  <c:v>20.799999999999965</c:v>
                </c:pt>
                <c:pt idx="659">
                  <c:v>20.899999999999967</c:v>
                </c:pt>
                <c:pt idx="660">
                  <c:v>20.999999999999968</c:v>
                </c:pt>
                <c:pt idx="661">
                  <c:v>21.099999999999969</c:v>
                </c:pt>
                <c:pt idx="662">
                  <c:v>21.199999999999971</c:v>
                </c:pt>
                <c:pt idx="663">
                  <c:v>21.299999999999972</c:v>
                </c:pt>
                <c:pt idx="664">
                  <c:v>21.399999999999974</c:v>
                </c:pt>
                <c:pt idx="665">
                  <c:v>21.499999999999975</c:v>
                </c:pt>
                <c:pt idx="666">
                  <c:v>21.599999999999977</c:v>
                </c:pt>
                <c:pt idx="667">
                  <c:v>21.699999999999978</c:v>
                </c:pt>
                <c:pt idx="668">
                  <c:v>21.799999999999979</c:v>
                </c:pt>
                <c:pt idx="669">
                  <c:v>21.899999999999981</c:v>
                </c:pt>
                <c:pt idx="670">
                  <c:v>21.999999999999982</c:v>
                </c:pt>
                <c:pt idx="671">
                  <c:v>22.099999999999984</c:v>
                </c:pt>
                <c:pt idx="672">
                  <c:v>22.199999999999985</c:v>
                </c:pt>
                <c:pt idx="673">
                  <c:v>22.299999999999986</c:v>
                </c:pt>
                <c:pt idx="674">
                  <c:v>22.399999999999988</c:v>
                </c:pt>
                <c:pt idx="675">
                  <c:v>22.499999999999989</c:v>
                </c:pt>
                <c:pt idx="676">
                  <c:v>22.599999999999991</c:v>
                </c:pt>
                <c:pt idx="677">
                  <c:v>22.699999999999992</c:v>
                </c:pt>
                <c:pt idx="678">
                  <c:v>22.799999999999994</c:v>
                </c:pt>
                <c:pt idx="679">
                  <c:v>22.899999999999995</c:v>
                </c:pt>
                <c:pt idx="680">
                  <c:v>22.999999999999996</c:v>
                </c:pt>
                <c:pt idx="681">
                  <c:v>23.099999999999998</c:v>
                </c:pt>
                <c:pt idx="682">
                  <c:v>23.2</c:v>
                </c:pt>
                <c:pt idx="683">
                  <c:v>23.3</c:v>
                </c:pt>
                <c:pt idx="684">
                  <c:v>23.400000000000002</c:v>
                </c:pt>
                <c:pt idx="685">
                  <c:v>23.500000000000004</c:v>
                </c:pt>
                <c:pt idx="686">
                  <c:v>23.600000000000005</c:v>
                </c:pt>
                <c:pt idx="687">
                  <c:v>23.700000000000006</c:v>
                </c:pt>
                <c:pt idx="688">
                  <c:v>23.800000000000008</c:v>
                </c:pt>
                <c:pt idx="689">
                  <c:v>23.900000000000009</c:v>
                </c:pt>
                <c:pt idx="690">
                  <c:v>24.000000000000011</c:v>
                </c:pt>
                <c:pt idx="691">
                  <c:v>24.100000000000012</c:v>
                </c:pt>
                <c:pt idx="692">
                  <c:v>24.200000000000014</c:v>
                </c:pt>
                <c:pt idx="693">
                  <c:v>24.300000000000015</c:v>
                </c:pt>
                <c:pt idx="694">
                  <c:v>24.400000000000016</c:v>
                </c:pt>
                <c:pt idx="695">
                  <c:v>24.500000000000018</c:v>
                </c:pt>
                <c:pt idx="696">
                  <c:v>24.600000000000019</c:v>
                </c:pt>
                <c:pt idx="697">
                  <c:v>24.700000000000021</c:v>
                </c:pt>
                <c:pt idx="698">
                  <c:v>24.800000000000022</c:v>
                </c:pt>
                <c:pt idx="699">
                  <c:v>24.900000000000023</c:v>
                </c:pt>
                <c:pt idx="700">
                  <c:v>25.000000000000025</c:v>
                </c:pt>
                <c:pt idx="701">
                  <c:v>25.100000000000026</c:v>
                </c:pt>
                <c:pt idx="702">
                  <c:v>25.200000000000028</c:v>
                </c:pt>
                <c:pt idx="703">
                  <c:v>25.300000000000029</c:v>
                </c:pt>
                <c:pt idx="704">
                  <c:v>25.400000000000031</c:v>
                </c:pt>
                <c:pt idx="705">
                  <c:v>25.500000000000032</c:v>
                </c:pt>
                <c:pt idx="706">
                  <c:v>25.600000000000033</c:v>
                </c:pt>
                <c:pt idx="707">
                  <c:v>25.700000000000035</c:v>
                </c:pt>
                <c:pt idx="708">
                  <c:v>25.800000000000036</c:v>
                </c:pt>
                <c:pt idx="709">
                  <c:v>25.900000000000038</c:v>
                </c:pt>
                <c:pt idx="710">
                  <c:v>26.000000000000039</c:v>
                </c:pt>
                <c:pt idx="711">
                  <c:v>26.100000000000041</c:v>
                </c:pt>
                <c:pt idx="712">
                  <c:v>26.200000000000042</c:v>
                </c:pt>
                <c:pt idx="713">
                  <c:v>26.300000000000043</c:v>
                </c:pt>
                <c:pt idx="714">
                  <c:v>26.400000000000045</c:v>
                </c:pt>
                <c:pt idx="715">
                  <c:v>26.500000000000046</c:v>
                </c:pt>
                <c:pt idx="716">
                  <c:v>26.600000000000048</c:v>
                </c:pt>
                <c:pt idx="717">
                  <c:v>26.700000000000049</c:v>
                </c:pt>
                <c:pt idx="718">
                  <c:v>26.80000000000005</c:v>
                </c:pt>
                <c:pt idx="719">
                  <c:v>26.900000000000052</c:v>
                </c:pt>
                <c:pt idx="720">
                  <c:v>27.000000000000053</c:v>
                </c:pt>
                <c:pt idx="721">
                  <c:v>27.100000000000055</c:v>
                </c:pt>
                <c:pt idx="722">
                  <c:v>27.200000000000056</c:v>
                </c:pt>
                <c:pt idx="723">
                  <c:v>27.300000000000058</c:v>
                </c:pt>
                <c:pt idx="724">
                  <c:v>27.400000000000059</c:v>
                </c:pt>
                <c:pt idx="725">
                  <c:v>27.50000000000006</c:v>
                </c:pt>
                <c:pt idx="726">
                  <c:v>27.600000000000062</c:v>
                </c:pt>
                <c:pt idx="727">
                  <c:v>27.700000000000063</c:v>
                </c:pt>
                <c:pt idx="728">
                  <c:v>27.800000000000065</c:v>
                </c:pt>
                <c:pt idx="729">
                  <c:v>27.900000000000066</c:v>
                </c:pt>
                <c:pt idx="730">
                  <c:v>28.000000000000068</c:v>
                </c:pt>
                <c:pt idx="731">
                  <c:v>28.100000000000069</c:v>
                </c:pt>
                <c:pt idx="732">
                  <c:v>28.20000000000007</c:v>
                </c:pt>
                <c:pt idx="733">
                  <c:v>28.300000000000072</c:v>
                </c:pt>
                <c:pt idx="734">
                  <c:v>28.400000000000073</c:v>
                </c:pt>
                <c:pt idx="735">
                  <c:v>28.500000000000075</c:v>
                </c:pt>
                <c:pt idx="736">
                  <c:v>28.600000000000076</c:v>
                </c:pt>
                <c:pt idx="737">
                  <c:v>28.700000000000077</c:v>
                </c:pt>
                <c:pt idx="738">
                  <c:v>28.800000000000079</c:v>
                </c:pt>
                <c:pt idx="739">
                  <c:v>28.90000000000008</c:v>
                </c:pt>
                <c:pt idx="740">
                  <c:v>29.000000000000082</c:v>
                </c:pt>
                <c:pt idx="741">
                  <c:v>29.100000000000083</c:v>
                </c:pt>
                <c:pt idx="742">
                  <c:v>29.200000000000085</c:v>
                </c:pt>
                <c:pt idx="743">
                  <c:v>29.300000000000086</c:v>
                </c:pt>
                <c:pt idx="744">
                  <c:v>29.400000000000087</c:v>
                </c:pt>
                <c:pt idx="745">
                  <c:v>29.500000000000089</c:v>
                </c:pt>
                <c:pt idx="746">
                  <c:v>29.60000000000009</c:v>
                </c:pt>
                <c:pt idx="747">
                  <c:v>29.700000000000092</c:v>
                </c:pt>
                <c:pt idx="748">
                  <c:v>29.800000000000093</c:v>
                </c:pt>
                <c:pt idx="749">
                  <c:v>29.900000000000095</c:v>
                </c:pt>
                <c:pt idx="750">
                  <c:v>30.000000000000096</c:v>
                </c:pt>
                <c:pt idx="751">
                  <c:v>30.100000000000097</c:v>
                </c:pt>
                <c:pt idx="752">
                  <c:v>30.200000000000099</c:v>
                </c:pt>
                <c:pt idx="753">
                  <c:v>30.3000000000001</c:v>
                </c:pt>
                <c:pt idx="754">
                  <c:v>30.400000000000102</c:v>
                </c:pt>
                <c:pt idx="755">
                  <c:v>30.500000000000103</c:v>
                </c:pt>
                <c:pt idx="756">
                  <c:v>30.600000000000104</c:v>
                </c:pt>
                <c:pt idx="757">
                  <c:v>30.700000000000106</c:v>
                </c:pt>
                <c:pt idx="758">
                  <c:v>30.800000000000107</c:v>
                </c:pt>
                <c:pt idx="759">
                  <c:v>30.900000000000109</c:v>
                </c:pt>
                <c:pt idx="760">
                  <c:v>31.00000000000011</c:v>
                </c:pt>
                <c:pt idx="761">
                  <c:v>31.100000000000112</c:v>
                </c:pt>
                <c:pt idx="762">
                  <c:v>31.200000000000113</c:v>
                </c:pt>
                <c:pt idx="763">
                  <c:v>31.300000000000114</c:v>
                </c:pt>
                <c:pt idx="764">
                  <c:v>31.400000000000116</c:v>
                </c:pt>
                <c:pt idx="765">
                  <c:v>31.500000000000117</c:v>
                </c:pt>
                <c:pt idx="766">
                  <c:v>31.600000000000119</c:v>
                </c:pt>
                <c:pt idx="767">
                  <c:v>31.70000000000012</c:v>
                </c:pt>
                <c:pt idx="768">
                  <c:v>31.800000000000122</c:v>
                </c:pt>
                <c:pt idx="769">
                  <c:v>31.900000000000123</c:v>
                </c:pt>
                <c:pt idx="770">
                  <c:v>32.000000000000121</c:v>
                </c:pt>
                <c:pt idx="771">
                  <c:v>32.100000000000122</c:v>
                </c:pt>
                <c:pt idx="772">
                  <c:v>32.200000000000124</c:v>
                </c:pt>
                <c:pt idx="773">
                  <c:v>32.300000000000125</c:v>
                </c:pt>
                <c:pt idx="774">
                  <c:v>32.400000000000126</c:v>
                </c:pt>
                <c:pt idx="775">
                  <c:v>32.500000000000128</c:v>
                </c:pt>
                <c:pt idx="776">
                  <c:v>32.600000000000129</c:v>
                </c:pt>
                <c:pt idx="777">
                  <c:v>32.700000000000131</c:v>
                </c:pt>
                <c:pt idx="778">
                  <c:v>32.800000000000132</c:v>
                </c:pt>
                <c:pt idx="779">
                  <c:v>32.900000000000134</c:v>
                </c:pt>
                <c:pt idx="780">
                  <c:v>33.000000000000135</c:v>
                </c:pt>
                <c:pt idx="781">
                  <c:v>33.100000000000136</c:v>
                </c:pt>
                <c:pt idx="782">
                  <c:v>33.200000000000138</c:v>
                </c:pt>
                <c:pt idx="783">
                  <c:v>33.300000000000139</c:v>
                </c:pt>
                <c:pt idx="784">
                  <c:v>33.400000000000141</c:v>
                </c:pt>
                <c:pt idx="785">
                  <c:v>33.500000000000142</c:v>
                </c:pt>
                <c:pt idx="786">
                  <c:v>33.600000000000144</c:v>
                </c:pt>
                <c:pt idx="787">
                  <c:v>33.700000000000145</c:v>
                </c:pt>
                <c:pt idx="788">
                  <c:v>33.800000000000146</c:v>
                </c:pt>
                <c:pt idx="789">
                  <c:v>33.900000000000148</c:v>
                </c:pt>
                <c:pt idx="790">
                  <c:v>34.000000000000149</c:v>
                </c:pt>
                <c:pt idx="791">
                  <c:v>34.100000000000151</c:v>
                </c:pt>
                <c:pt idx="792">
                  <c:v>34.200000000000152</c:v>
                </c:pt>
                <c:pt idx="793">
                  <c:v>34.300000000000153</c:v>
                </c:pt>
                <c:pt idx="794">
                  <c:v>34.400000000000155</c:v>
                </c:pt>
                <c:pt idx="795">
                  <c:v>34.500000000000156</c:v>
                </c:pt>
                <c:pt idx="796">
                  <c:v>34.600000000000158</c:v>
                </c:pt>
                <c:pt idx="797">
                  <c:v>34.700000000000159</c:v>
                </c:pt>
                <c:pt idx="798">
                  <c:v>34.800000000000161</c:v>
                </c:pt>
                <c:pt idx="799">
                  <c:v>34.900000000000162</c:v>
                </c:pt>
                <c:pt idx="800">
                  <c:v>35.000000000000163</c:v>
                </c:pt>
                <c:pt idx="801">
                  <c:v>35.100000000000165</c:v>
                </c:pt>
                <c:pt idx="802">
                  <c:v>35.200000000000166</c:v>
                </c:pt>
                <c:pt idx="803">
                  <c:v>35.300000000000168</c:v>
                </c:pt>
                <c:pt idx="804">
                  <c:v>35.400000000000169</c:v>
                </c:pt>
                <c:pt idx="805">
                  <c:v>35.500000000000171</c:v>
                </c:pt>
                <c:pt idx="806">
                  <c:v>35.600000000000172</c:v>
                </c:pt>
                <c:pt idx="807">
                  <c:v>35.700000000000173</c:v>
                </c:pt>
                <c:pt idx="808">
                  <c:v>35.800000000000175</c:v>
                </c:pt>
                <c:pt idx="809">
                  <c:v>35.900000000000176</c:v>
                </c:pt>
                <c:pt idx="810">
                  <c:v>36.000000000000178</c:v>
                </c:pt>
                <c:pt idx="811">
                  <c:v>36.100000000000179</c:v>
                </c:pt>
                <c:pt idx="812">
                  <c:v>36.20000000000018</c:v>
                </c:pt>
                <c:pt idx="813">
                  <c:v>36.300000000000182</c:v>
                </c:pt>
                <c:pt idx="814">
                  <c:v>36.400000000000183</c:v>
                </c:pt>
                <c:pt idx="815">
                  <c:v>36.500000000000185</c:v>
                </c:pt>
                <c:pt idx="816">
                  <c:v>36.600000000000186</c:v>
                </c:pt>
                <c:pt idx="817">
                  <c:v>36.700000000000188</c:v>
                </c:pt>
                <c:pt idx="818">
                  <c:v>36.800000000000189</c:v>
                </c:pt>
                <c:pt idx="819">
                  <c:v>36.90000000000019</c:v>
                </c:pt>
                <c:pt idx="820">
                  <c:v>37.000000000000192</c:v>
                </c:pt>
                <c:pt idx="821">
                  <c:v>37.100000000000193</c:v>
                </c:pt>
                <c:pt idx="822">
                  <c:v>37.200000000000195</c:v>
                </c:pt>
                <c:pt idx="823">
                  <c:v>37.300000000000196</c:v>
                </c:pt>
                <c:pt idx="824">
                  <c:v>37.400000000000198</c:v>
                </c:pt>
                <c:pt idx="825">
                  <c:v>37.500000000000199</c:v>
                </c:pt>
                <c:pt idx="826">
                  <c:v>37.6000000000002</c:v>
                </c:pt>
                <c:pt idx="827">
                  <c:v>37.700000000000202</c:v>
                </c:pt>
                <c:pt idx="828">
                  <c:v>37.800000000000203</c:v>
                </c:pt>
                <c:pt idx="829">
                  <c:v>37.900000000000205</c:v>
                </c:pt>
                <c:pt idx="830">
                  <c:v>38.000000000000206</c:v>
                </c:pt>
                <c:pt idx="831">
                  <c:v>38.100000000000207</c:v>
                </c:pt>
                <c:pt idx="832">
                  <c:v>38.200000000000209</c:v>
                </c:pt>
                <c:pt idx="833">
                  <c:v>38.30000000000021</c:v>
                </c:pt>
                <c:pt idx="834">
                  <c:v>38.400000000000212</c:v>
                </c:pt>
                <c:pt idx="835">
                  <c:v>38.500000000000213</c:v>
                </c:pt>
                <c:pt idx="836">
                  <c:v>38.600000000000215</c:v>
                </c:pt>
                <c:pt idx="837">
                  <c:v>38.700000000000216</c:v>
                </c:pt>
                <c:pt idx="838">
                  <c:v>38.800000000000217</c:v>
                </c:pt>
                <c:pt idx="839">
                  <c:v>38.900000000000219</c:v>
                </c:pt>
                <c:pt idx="840">
                  <c:v>39.00000000000022</c:v>
                </c:pt>
                <c:pt idx="841">
                  <c:v>39.100000000000222</c:v>
                </c:pt>
                <c:pt idx="842">
                  <c:v>39.200000000000223</c:v>
                </c:pt>
                <c:pt idx="843">
                  <c:v>39.300000000000225</c:v>
                </c:pt>
                <c:pt idx="844">
                  <c:v>39.400000000000226</c:v>
                </c:pt>
                <c:pt idx="845">
                  <c:v>39.500000000000227</c:v>
                </c:pt>
                <c:pt idx="846">
                  <c:v>39.600000000000229</c:v>
                </c:pt>
                <c:pt idx="847">
                  <c:v>39.70000000000023</c:v>
                </c:pt>
                <c:pt idx="848">
                  <c:v>39.800000000000232</c:v>
                </c:pt>
                <c:pt idx="849">
                  <c:v>39.900000000000233</c:v>
                </c:pt>
                <c:pt idx="850">
                  <c:v>40.000000000000234</c:v>
                </c:pt>
                <c:pt idx="851">
                  <c:v>40.100000000000236</c:v>
                </c:pt>
                <c:pt idx="852">
                  <c:v>40.200000000000237</c:v>
                </c:pt>
                <c:pt idx="853">
                  <c:v>40.300000000000239</c:v>
                </c:pt>
                <c:pt idx="854">
                  <c:v>40.40000000000024</c:v>
                </c:pt>
                <c:pt idx="855">
                  <c:v>40.500000000000242</c:v>
                </c:pt>
                <c:pt idx="856">
                  <c:v>40.600000000000243</c:v>
                </c:pt>
                <c:pt idx="857">
                  <c:v>40.700000000000244</c:v>
                </c:pt>
                <c:pt idx="858">
                  <c:v>40.800000000000246</c:v>
                </c:pt>
                <c:pt idx="859">
                  <c:v>40.900000000000247</c:v>
                </c:pt>
                <c:pt idx="860">
                  <c:v>41.000000000000249</c:v>
                </c:pt>
                <c:pt idx="861">
                  <c:v>41.10000000000025</c:v>
                </c:pt>
                <c:pt idx="862">
                  <c:v>41.200000000000252</c:v>
                </c:pt>
                <c:pt idx="863">
                  <c:v>41.300000000000253</c:v>
                </c:pt>
                <c:pt idx="864">
                  <c:v>41.400000000000254</c:v>
                </c:pt>
                <c:pt idx="865">
                  <c:v>41.500000000000256</c:v>
                </c:pt>
                <c:pt idx="866">
                  <c:v>41.600000000000257</c:v>
                </c:pt>
                <c:pt idx="867">
                  <c:v>41.700000000000259</c:v>
                </c:pt>
                <c:pt idx="868">
                  <c:v>41.80000000000026</c:v>
                </c:pt>
                <c:pt idx="869">
                  <c:v>41.900000000000261</c:v>
                </c:pt>
                <c:pt idx="870">
                  <c:v>42.000000000000263</c:v>
                </c:pt>
                <c:pt idx="871">
                  <c:v>42.100000000000264</c:v>
                </c:pt>
                <c:pt idx="872">
                  <c:v>42.200000000000266</c:v>
                </c:pt>
                <c:pt idx="873">
                  <c:v>42.300000000000267</c:v>
                </c:pt>
                <c:pt idx="874">
                  <c:v>42.400000000000269</c:v>
                </c:pt>
                <c:pt idx="875">
                  <c:v>42.50000000000027</c:v>
                </c:pt>
                <c:pt idx="876">
                  <c:v>42.600000000000271</c:v>
                </c:pt>
                <c:pt idx="877">
                  <c:v>42.700000000000273</c:v>
                </c:pt>
                <c:pt idx="878">
                  <c:v>42.800000000000274</c:v>
                </c:pt>
                <c:pt idx="879">
                  <c:v>42.900000000000276</c:v>
                </c:pt>
                <c:pt idx="880">
                  <c:v>43.000000000000277</c:v>
                </c:pt>
                <c:pt idx="881">
                  <c:v>43.100000000000279</c:v>
                </c:pt>
                <c:pt idx="882">
                  <c:v>43.20000000000028</c:v>
                </c:pt>
                <c:pt idx="883">
                  <c:v>43.300000000000281</c:v>
                </c:pt>
                <c:pt idx="884">
                  <c:v>43.400000000000283</c:v>
                </c:pt>
                <c:pt idx="885">
                  <c:v>43.500000000000284</c:v>
                </c:pt>
                <c:pt idx="886">
                  <c:v>43.600000000000286</c:v>
                </c:pt>
                <c:pt idx="887">
                  <c:v>43.700000000000287</c:v>
                </c:pt>
                <c:pt idx="888">
                  <c:v>43.800000000000288</c:v>
                </c:pt>
                <c:pt idx="889">
                  <c:v>43.90000000000029</c:v>
                </c:pt>
                <c:pt idx="890">
                  <c:v>44.000000000000291</c:v>
                </c:pt>
                <c:pt idx="891">
                  <c:v>44.100000000000293</c:v>
                </c:pt>
                <c:pt idx="892">
                  <c:v>44.200000000000294</c:v>
                </c:pt>
                <c:pt idx="893">
                  <c:v>44.300000000000296</c:v>
                </c:pt>
                <c:pt idx="894">
                  <c:v>44.400000000000297</c:v>
                </c:pt>
                <c:pt idx="895">
                  <c:v>44.500000000000298</c:v>
                </c:pt>
                <c:pt idx="896">
                  <c:v>44.6000000000003</c:v>
                </c:pt>
                <c:pt idx="897">
                  <c:v>44.700000000000301</c:v>
                </c:pt>
                <c:pt idx="898">
                  <c:v>44.800000000000303</c:v>
                </c:pt>
                <c:pt idx="899">
                  <c:v>44.900000000000304</c:v>
                </c:pt>
                <c:pt idx="900">
                  <c:v>45.000000000000306</c:v>
                </c:pt>
                <c:pt idx="901">
                  <c:v>45.100000000000307</c:v>
                </c:pt>
                <c:pt idx="902">
                  <c:v>45.200000000000308</c:v>
                </c:pt>
                <c:pt idx="903">
                  <c:v>45.30000000000031</c:v>
                </c:pt>
                <c:pt idx="904">
                  <c:v>45.400000000000311</c:v>
                </c:pt>
                <c:pt idx="905">
                  <c:v>45.500000000000313</c:v>
                </c:pt>
                <c:pt idx="906">
                  <c:v>45.600000000000314</c:v>
                </c:pt>
                <c:pt idx="907">
                  <c:v>45.700000000000315</c:v>
                </c:pt>
                <c:pt idx="908">
                  <c:v>45.800000000000317</c:v>
                </c:pt>
                <c:pt idx="909">
                  <c:v>45.900000000000318</c:v>
                </c:pt>
                <c:pt idx="910">
                  <c:v>46.00000000000032</c:v>
                </c:pt>
                <c:pt idx="911">
                  <c:v>46.100000000000321</c:v>
                </c:pt>
                <c:pt idx="912">
                  <c:v>46.200000000000323</c:v>
                </c:pt>
                <c:pt idx="913">
                  <c:v>46.300000000000324</c:v>
                </c:pt>
                <c:pt idx="914">
                  <c:v>46.400000000000325</c:v>
                </c:pt>
                <c:pt idx="915">
                  <c:v>46.500000000000327</c:v>
                </c:pt>
                <c:pt idx="916">
                  <c:v>46.600000000000328</c:v>
                </c:pt>
                <c:pt idx="917">
                  <c:v>46.70000000000033</c:v>
                </c:pt>
                <c:pt idx="918">
                  <c:v>46.800000000000331</c:v>
                </c:pt>
                <c:pt idx="919">
                  <c:v>46.900000000000333</c:v>
                </c:pt>
                <c:pt idx="920">
                  <c:v>47.000000000000334</c:v>
                </c:pt>
                <c:pt idx="921">
                  <c:v>47.100000000000335</c:v>
                </c:pt>
                <c:pt idx="922">
                  <c:v>47.200000000000337</c:v>
                </c:pt>
                <c:pt idx="923">
                  <c:v>47.300000000000338</c:v>
                </c:pt>
                <c:pt idx="924">
                  <c:v>47.40000000000034</c:v>
                </c:pt>
                <c:pt idx="925">
                  <c:v>47.500000000000341</c:v>
                </c:pt>
                <c:pt idx="926">
                  <c:v>47.600000000000342</c:v>
                </c:pt>
                <c:pt idx="927">
                  <c:v>47.700000000000344</c:v>
                </c:pt>
                <c:pt idx="928">
                  <c:v>47.800000000000345</c:v>
                </c:pt>
                <c:pt idx="929">
                  <c:v>47.900000000000347</c:v>
                </c:pt>
                <c:pt idx="930">
                  <c:v>48.000000000000348</c:v>
                </c:pt>
                <c:pt idx="931">
                  <c:v>48.10000000000035</c:v>
                </c:pt>
                <c:pt idx="932">
                  <c:v>48.200000000000351</c:v>
                </c:pt>
                <c:pt idx="933">
                  <c:v>48.300000000000352</c:v>
                </c:pt>
                <c:pt idx="934">
                  <c:v>48.400000000000354</c:v>
                </c:pt>
                <c:pt idx="935">
                  <c:v>48.500000000000355</c:v>
                </c:pt>
                <c:pt idx="936">
                  <c:v>48.600000000000357</c:v>
                </c:pt>
                <c:pt idx="937">
                  <c:v>48.700000000000358</c:v>
                </c:pt>
                <c:pt idx="938">
                  <c:v>48.80000000000036</c:v>
                </c:pt>
                <c:pt idx="939">
                  <c:v>48.900000000000361</c:v>
                </c:pt>
                <c:pt idx="940">
                  <c:v>49.000000000000362</c:v>
                </c:pt>
                <c:pt idx="941">
                  <c:v>49.100000000000364</c:v>
                </c:pt>
                <c:pt idx="942">
                  <c:v>49.200000000000365</c:v>
                </c:pt>
                <c:pt idx="943">
                  <c:v>49.300000000000367</c:v>
                </c:pt>
                <c:pt idx="944">
                  <c:v>49.400000000000368</c:v>
                </c:pt>
                <c:pt idx="945">
                  <c:v>49.500000000000369</c:v>
                </c:pt>
                <c:pt idx="946">
                  <c:v>49.600000000000371</c:v>
                </c:pt>
                <c:pt idx="947">
                  <c:v>49.700000000000372</c:v>
                </c:pt>
                <c:pt idx="948">
                  <c:v>49.800000000000374</c:v>
                </c:pt>
                <c:pt idx="949">
                  <c:v>49.900000000000375</c:v>
                </c:pt>
                <c:pt idx="950">
                  <c:v>50.000000000000377</c:v>
                </c:pt>
                <c:pt idx="951">
                  <c:v>50.100000000000378</c:v>
                </c:pt>
                <c:pt idx="952">
                  <c:v>50.200000000000379</c:v>
                </c:pt>
                <c:pt idx="953">
                  <c:v>50.300000000000381</c:v>
                </c:pt>
                <c:pt idx="954">
                  <c:v>50.400000000000382</c:v>
                </c:pt>
                <c:pt idx="955">
                  <c:v>50.500000000000384</c:v>
                </c:pt>
                <c:pt idx="956">
                  <c:v>50.600000000000385</c:v>
                </c:pt>
                <c:pt idx="957">
                  <c:v>50.700000000000387</c:v>
                </c:pt>
                <c:pt idx="958">
                  <c:v>50.800000000000388</c:v>
                </c:pt>
                <c:pt idx="959">
                  <c:v>50.900000000000389</c:v>
                </c:pt>
                <c:pt idx="960">
                  <c:v>51.000000000000391</c:v>
                </c:pt>
                <c:pt idx="961">
                  <c:v>51.100000000000392</c:v>
                </c:pt>
                <c:pt idx="962">
                  <c:v>51.200000000000394</c:v>
                </c:pt>
                <c:pt idx="963">
                  <c:v>51.300000000000395</c:v>
                </c:pt>
                <c:pt idx="964">
                  <c:v>51.400000000000396</c:v>
                </c:pt>
                <c:pt idx="965">
                  <c:v>51.500000000000398</c:v>
                </c:pt>
                <c:pt idx="966">
                  <c:v>51.600000000000399</c:v>
                </c:pt>
                <c:pt idx="967">
                  <c:v>51.700000000000401</c:v>
                </c:pt>
                <c:pt idx="968">
                  <c:v>51.800000000000402</c:v>
                </c:pt>
                <c:pt idx="969">
                  <c:v>51.900000000000404</c:v>
                </c:pt>
                <c:pt idx="970">
                  <c:v>52.000000000000405</c:v>
                </c:pt>
                <c:pt idx="971">
                  <c:v>52.100000000000406</c:v>
                </c:pt>
                <c:pt idx="972">
                  <c:v>52.200000000000408</c:v>
                </c:pt>
                <c:pt idx="973">
                  <c:v>52.300000000000409</c:v>
                </c:pt>
                <c:pt idx="974">
                  <c:v>52.400000000000411</c:v>
                </c:pt>
                <c:pt idx="975">
                  <c:v>52.500000000000412</c:v>
                </c:pt>
                <c:pt idx="976">
                  <c:v>52.600000000000414</c:v>
                </c:pt>
                <c:pt idx="977">
                  <c:v>52.700000000000415</c:v>
                </c:pt>
                <c:pt idx="978">
                  <c:v>52.800000000000416</c:v>
                </c:pt>
                <c:pt idx="979">
                  <c:v>52.80010000000042</c:v>
                </c:pt>
                <c:pt idx="980">
                  <c:v>52.800200000000423</c:v>
                </c:pt>
                <c:pt idx="981">
                  <c:v>52.800300000000426</c:v>
                </c:pt>
                <c:pt idx="982">
                  <c:v>52.80040000000043</c:v>
                </c:pt>
                <c:pt idx="983">
                  <c:v>52.800500000000433</c:v>
                </c:pt>
                <c:pt idx="984">
                  <c:v>52.800600000000436</c:v>
                </c:pt>
                <c:pt idx="985">
                  <c:v>52.80070000000044</c:v>
                </c:pt>
                <c:pt idx="986">
                  <c:v>52.800800000000443</c:v>
                </c:pt>
                <c:pt idx="987">
                  <c:v>52.800900000000446</c:v>
                </c:pt>
                <c:pt idx="988">
                  <c:v>52.80100000000045</c:v>
                </c:pt>
                <c:pt idx="989">
                  <c:v>52.801100000000453</c:v>
                </c:pt>
                <c:pt idx="990">
                  <c:v>52.801200000000456</c:v>
                </c:pt>
                <c:pt idx="991">
                  <c:v>52.80130000000046</c:v>
                </c:pt>
                <c:pt idx="992">
                  <c:v>52.801400000000463</c:v>
                </c:pt>
                <c:pt idx="993">
                  <c:v>52.801500000000466</c:v>
                </c:pt>
                <c:pt idx="994">
                  <c:v>52.801600000000469</c:v>
                </c:pt>
                <c:pt idx="995">
                  <c:v>52.801700000000473</c:v>
                </c:pt>
                <c:pt idx="996">
                  <c:v>52.801800000000476</c:v>
                </c:pt>
                <c:pt idx="997">
                  <c:v>52.801900000000479</c:v>
                </c:pt>
                <c:pt idx="998">
                  <c:v>52.802000000000483</c:v>
                </c:pt>
                <c:pt idx="999">
                  <c:v>52.802100000000486</c:v>
                </c:pt>
                <c:pt idx="1000">
                  <c:v>52.802200000000489</c:v>
                </c:pt>
              </c:numCache>
            </c:numRef>
          </c:xVal>
          <c:yVal>
            <c:numRef>
              <c:f>Calculs!$W$4:$W$1004</c:f>
              <c:numCache>
                <c:formatCode>0.00</c:formatCode>
                <c:ptCount val="1001"/>
                <c:pt idx="0">
                  <c:v>0</c:v>
                </c:pt>
                <c:pt idx="1">
                  <c:v>8.5106057982561726E-5</c:v>
                </c:pt>
                <c:pt idx="2">
                  <c:v>1.2151654062809096E-3</c:v>
                </c:pt>
                <c:pt idx="3">
                  <c:v>4.5302765968912454E-3</c:v>
                </c:pt>
                <c:pt idx="4">
                  <c:v>1.1358567049040133E-2</c:v>
                </c:pt>
                <c:pt idx="5">
                  <c:v>2.3309666730402561E-2</c:v>
                </c:pt>
                <c:pt idx="6">
                  <c:v>4.2276234985765847E-2</c:v>
                </c:pt>
                <c:pt idx="7">
                  <c:v>7.0435701686142493E-2</c:v>
                </c:pt>
                <c:pt idx="8">
                  <c:v>0.11025221841939448</c:v>
                </c:pt>
                <c:pt idx="9">
                  <c:v>0.16447881565734485</c:v>
                </c:pt>
                <c:pt idx="10">
                  <c:v>0.23615976203093061</c:v>
                </c:pt>
                <c:pt idx="11">
                  <c:v>0.32414718794016889</c:v>
                </c:pt>
                <c:pt idx="12">
                  <c:v>0.42479897621980783</c:v>
                </c:pt>
                <c:pt idx="13">
                  <c:v>0.53759678621349949</c:v>
                </c:pt>
                <c:pt idx="14">
                  <c:v>0.66200629543793521</c:v>
                </c:pt>
                <c:pt idx="15">
                  <c:v>0.7975313460925425</c:v>
                </c:pt>
                <c:pt idx="16">
                  <c:v>0.94368005439342684</c:v>
                </c:pt>
                <c:pt idx="17">
                  <c:v>1.0999649260502038</c:v>
                </c:pt>
                <c:pt idx="18">
                  <c:v>1.2659029699461106</c:v>
                </c:pt>
                <c:pt idx="19">
                  <c:v>1.441015809992952</c:v>
                </c:pt>
                <c:pt idx="20">
                  <c:v>1.624829795133713</c:v>
                </c:pt>
                <c:pt idx="21">
                  <c:v>1.8168761074669508</c:v>
                </c:pt>
                <c:pt idx="22">
                  <c:v>2.016690868468392</c:v>
                </c:pt>
                <c:pt idx="23">
                  <c:v>2.2238152432864107</c:v>
                </c:pt>
                <c:pt idx="24">
                  <c:v>2.4377955430894227</c:v>
                </c:pt>
                <c:pt idx="25">
                  <c:v>2.6581833254444827</c:v>
                </c:pt>
                <c:pt idx="26">
                  <c:v>2.8845354927076987</c:v>
                </c:pt>
                <c:pt idx="27">
                  <c:v>3.1182830198927558</c:v>
                </c:pt>
                <c:pt idx="28">
                  <c:v>3.36114893256019</c:v>
                </c:pt>
                <c:pt idx="29">
                  <c:v>3.6131319731268903</c:v>
                </c:pt>
                <c:pt idx="30">
                  <c:v>3.8742305101220516</c:v>
                </c:pt>
                <c:pt idx="31">
                  <c:v>4.1444422486369836</c:v>
                </c:pt>
                <c:pt idx="32">
                  <c:v>4.4237644728767753</c:v>
                </c:pt>
                <c:pt idx="33">
                  <c:v>4.7121940456444333</c:v>
                </c:pt>
                <c:pt idx="34">
                  <c:v>5.0097274078632781</c:v>
                </c:pt>
                <c:pt idx="35">
                  <c:v>5.3163605781346996</c:v>
                </c:pt>
                <c:pt idx="36">
                  <c:v>5.6320891523320089</c:v>
                </c:pt>
                <c:pt idx="37">
                  <c:v>5.9569083032309953</c:v>
                </c:pt>
                <c:pt idx="38">
                  <c:v>6.2908127801777374</c:v>
                </c:pt>
                <c:pt idx="39">
                  <c:v>6.6337969087941735</c:v>
                </c:pt>
                <c:pt idx="40">
                  <c:v>6.9858545907218597</c:v>
                </c:pt>
                <c:pt idx="41">
                  <c:v>7.3469793034042912</c:v>
                </c:pt>
                <c:pt idx="42">
                  <c:v>7.7171640999082278</c:v>
                </c:pt>
                <c:pt idx="43">
                  <c:v>8.0964016087842232</c:v>
                </c:pt>
                <c:pt idx="44">
                  <c:v>8.4846840339667988</c:v>
                </c:pt>
                <c:pt idx="45">
                  <c:v>8.8820031547143632</c:v>
                </c:pt>
                <c:pt idx="46">
                  <c:v>9.2883503255892972</c:v>
                </c:pt>
                <c:pt idx="47">
                  <c:v>9.7037164764782684</c:v>
                </c:pt>
                <c:pt idx="48">
                  <c:v>10.128092112653096</c:v>
                </c:pt>
                <c:pt idx="49">
                  <c:v>10.561467314872258</c:v>
                </c:pt>
                <c:pt idx="50">
                  <c:v>11.003831739523267</c:v>
                </c:pt>
                <c:pt idx="51">
                  <c:v>11.455174618806021</c:v>
                </c:pt>
                <c:pt idx="52">
                  <c:v>11.915484760957302</c:v>
                </c:pt>
                <c:pt idx="53">
                  <c:v>12.384750550516507</c:v>
                </c:pt>
                <c:pt idx="54">
                  <c:v>12.862959948632735</c:v>
                </c:pt>
                <c:pt idx="55">
                  <c:v>13.350100493413313</c:v>
                </c:pt>
                <c:pt idx="56">
                  <c:v>13.846159300313836</c:v>
                </c:pt>
                <c:pt idx="57">
                  <c:v>14.35112306256986</c:v>
                </c:pt>
                <c:pt idx="58">
                  <c:v>14.864978051670162</c:v>
                </c:pt>
                <c:pt idx="59">
                  <c:v>15.38771011787178</c:v>
                </c:pt>
                <c:pt idx="60">
                  <c:v>15.919304690756706</c:v>
                </c:pt>
                <c:pt idx="61">
                  <c:v>16.459746779830457</c:v>
                </c:pt>
                <c:pt idx="62">
                  <c:v>17.009020975162322</c:v>
                </c:pt>
                <c:pt idx="63">
                  <c:v>17.567111448067404</c:v>
                </c:pt>
                <c:pt idx="64">
                  <c:v>18.134001951830573</c:v>
                </c:pt>
                <c:pt idx="65">
                  <c:v>18.709675822472025</c:v>
                </c:pt>
                <c:pt idx="66">
                  <c:v>19.294115979554725</c:v>
                </c:pt>
                <c:pt idx="67">
                  <c:v>19.887304927033437</c:v>
                </c:pt>
                <c:pt idx="68">
                  <c:v>20.489224754145653</c:v>
                </c:pt>
                <c:pt idx="69">
                  <c:v>21.099857136343953</c:v>
                </c:pt>
                <c:pt idx="70">
                  <c:v>21.71918333627006</c:v>
                </c:pt>
                <c:pt idx="71">
                  <c:v>22.347184204770404</c:v>
                </c:pt>
                <c:pt idx="72">
                  <c:v>22.983781713660093</c:v>
                </c:pt>
                <c:pt idx="73">
                  <c:v>23.62889406662369</c:v>
                </c:pt>
                <c:pt idx="74">
                  <c:v>24.282495871382718</c:v>
                </c:pt>
                <c:pt idx="75">
                  <c:v>24.944561331657876</c:v>
                </c:pt>
                <c:pt idx="76">
                  <c:v>25.615064248890064</c:v>
                </c:pt>
                <c:pt idx="77">
                  <c:v>26.293978024002229</c:v>
                </c:pt>
                <c:pt idx="78">
                  <c:v>26.981275659202076</c:v>
                </c:pt>
                <c:pt idx="79">
                  <c:v>27.676929759825271</c:v>
                </c:pt>
                <c:pt idx="80">
                  <c:v>28.380912536219022</c:v>
                </c:pt>
                <c:pt idx="81">
                  <c:v>29.09319580566579</c:v>
                </c:pt>
                <c:pt idx="82">
                  <c:v>29.813750994346805</c:v>
                </c:pt>
                <c:pt idx="83">
                  <c:v>30.542549139345329</c:v>
                </c:pt>
                <c:pt idx="84">
                  <c:v>31.279560890689215</c:v>
                </c:pt>
                <c:pt idx="85">
                  <c:v>32.024756513432536</c:v>
                </c:pt>
                <c:pt idx="86">
                  <c:v>32.778105889776235</c:v>
                </c:pt>
                <c:pt idx="87">
                  <c:v>33.539578521227234</c:v>
                </c:pt>
                <c:pt idx="88">
                  <c:v>34.309143530795865</c:v>
                </c:pt>
                <c:pt idx="89">
                  <c:v>35.086769665231294</c:v>
                </c:pt>
                <c:pt idx="90">
                  <c:v>35.872425297294747</c:v>
                </c:pt>
                <c:pt idx="91">
                  <c:v>36.666078428070023</c:v>
                </c:pt>
                <c:pt idx="92">
                  <c:v>37.46769668931131</c:v>
                </c:pt>
                <c:pt idx="93">
                  <c:v>38.277247345827504</c:v>
                </c:pt>
                <c:pt idx="94">
                  <c:v>39.094697297903359</c:v>
                </c:pt>
                <c:pt idx="95">
                  <c:v>39.920013083756466</c:v>
                </c:pt>
                <c:pt idx="96">
                  <c:v>40.753160882030279</c:v>
                </c:pt>
                <c:pt idx="97">
                  <c:v>41.59410651432237</c:v>
                </c:pt>
                <c:pt idx="98">
                  <c:v>42.44281544774806</c:v>
                </c:pt>
                <c:pt idx="99">
                  <c:v>43.299252797538664</c:v>
                </c:pt>
                <c:pt idx="100">
                  <c:v>44.163383329674097</c:v>
                </c:pt>
                <c:pt idx="101">
                  <c:v>45.035171463549787</c:v>
                </c:pt>
                <c:pt idx="102">
                  <c:v>45.91458127467692</c:v>
                </c:pt>
                <c:pt idx="103">
                  <c:v>46.801576497416214</c:v>
                </c:pt>
                <c:pt idx="104">
                  <c:v>47.696120527744469</c:v>
                </c:pt>
                <c:pt idx="105">
                  <c:v>48.598176426053826</c:v>
                </c:pt>
                <c:pt idx="106">
                  <c:v>49.507706919982922</c:v>
                </c:pt>
                <c:pt idx="107">
                  <c:v>50.424674407279923</c:v>
                </c:pt>
                <c:pt idx="108">
                  <c:v>51.34904095869679</c:v>
                </c:pt>
                <c:pt idx="109">
                  <c:v>52.280768320914611</c:v>
                </c:pt>
                <c:pt idx="110">
                  <c:v>53.219817919499285</c:v>
                </c:pt>
                <c:pt idx="111">
                  <c:v>54.166150861887296</c:v>
                </c:pt>
                <c:pt idx="112">
                  <c:v>55.119727940401226</c:v>
                </c:pt>
                <c:pt idx="113">
                  <c:v>56.080509635294376</c:v>
                </c:pt>
                <c:pt idx="114">
                  <c:v>57.048456117824358</c:v>
                </c:pt>
                <c:pt idx="115">
                  <c:v>58.023527253354757</c:v>
                </c:pt>
                <c:pt idx="116">
                  <c:v>59.005682604484953</c:v>
                </c:pt>
                <c:pt idx="117">
                  <c:v>59.994881434207237</c:v>
                </c:pt>
                <c:pt idx="118">
                  <c:v>60.991082709091145</c:v>
                </c:pt>
                <c:pt idx="119">
                  <c:v>61.994245102493871</c:v>
                </c:pt>
                <c:pt idx="120">
                  <c:v>63.004326997797321</c:v>
                </c:pt>
                <c:pt idx="121">
                  <c:v>64.021286491670509</c:v>
                </c:pt>
                <c:pt idx="122">
                  <c:v>65.045081397356981</c:v>
                </c:pt>
                <c:pt idx="123">
                  <c:v>66.075669247987179</c:v>
                </c:pt>
                <c:pt idx="124">
                  <c:v>67.113007299914784</c:v>
                </c:pt>
                <c:pt idx="125">
                  <c:v>68.157052536077003</c:v>
                </c:pt>
                <c:pt idx="126">
                  <c:v>69.207761669377774</c:v>
                </c:pt>
                <c:pt idx="127">
                  <c:v>70.265091146093937</c:v>
                </c:pt>
                <c:pt idx="128">
                  <c:v>71.328997149303802</c:v>
                </c:pt>
                <c:pt idx="129">
                  <c:v>72.398952614192766</c:v>
                </c:pt>
                <c:pt idx="130">
                  <c:v>73.47441547217521</c:v>
                </c:pt>
                <c:pt idx="131">
                  <c:v>74.555319427628518</c:v>
                </c:pt>
                <c:pt idx="132">
                  <c:v>75.641598043478439</c:v>
                </c:pt>
                <c:pt idx="133">
                  <c:v>76.733184746831483</c:v>
                </c:pt>
                <c:pt idx="134">
                  <c:v>77.830012834606165</c:v>
                </c:pt>
                <c:pt idx="135">
                  <c:v>78.932015479162516</c:v>
                </c:pt>
                <c:pt idx="136">
                  <c:v>80.039125733929069</c:v>
                </c:pt>
                <c:pt idx="137">
                  <c:v>81.151276539026384</c:v>
                </c:pt>
                <c:pt idx="138">
                  <c:v>82.268400726885986</c:v>
                </c:pt>
                <c:pt idx="139">
                  <c:v>83.390431027864764</c:v>
                </c:pt>
                <c:pt idx="140">
                  <c:v>84.517300075853228</c:v>
                </c:pt>
                <c:pt idx="141">
                  <c:v>85.648940413876588</c:v>
                </c:pt>
                <c:pt idx="142">
                  <c:v>86.785284499689027</c:v>
                </c:pt>
                <c:pt idx="143">
                  <c:v>87.926264711358954</c:v>
                </c:pt>
                <c:pt idx="144">
                  <c:v>89.071813352845524</c:v>
                </c:pt>
                <c:pt idx="145">
                  <c:v>90.221862659565176</c:v>
                </c:pt>
                <c:pt idx="146">
                  <c:v>91.376344803946907</c:v>
                </c:pt>
                <c:pt idx="147">
                  <c:v>92.535191900976784</c:v>
                </c:pt>
                <c:pt idx="148">
                  <c:v>93.698336013729374</c:v>
                </c:pt>
                <c:pt idx="149">
                  <c:v>94.865709158886659</c:v>
                </c:pt>
                <c:pt idx="150">
                  <c:v>96.03724331224268</c:v>
                </c:pt>
                <c:pt idx="151">
                  <c:v>97.212870414193759</c:v>
                </c:pt>
                <c:pt idx="152">
                  <c:v>98.392522375213105</c:v>
                </c:pt>
                <c:pt idx="153">
                  <c:v>99.576131081309626</c:v>
                </c:pt>
                <c:pt idx="154">
                  <c:v>100.7636283994693</c:v>
                </c:pt>
                <c:pt idx="155">
                  <c:v>101.95494618307957</c:v>
                </c:pt>
                <c:pt idx="156">
                  <c:v>103.15001627733456</c:v>
                </c:pt>
                <c:pt idx="157">
                  <c:v>104.34877052462201</c:v>
                </c:pt>
                <c:pt idx="158">
                  <c:v>105.55114076988991</c:v>
                </c:pt>
                <c:pt idx="159">
                  <c:v>106.75705886599248</c:v>
                </c:pt>
                <c:pt idx="160">
                  <c:v>107.96645667901548</c:v>
                </c:pt>
                <c:pt idx="161">
                  <c:v>109.1792660935789</c:v>
                </c:pt>
                <c:pt idx="162">
                  <c:v>110.39541901811747</c:v>
                </c:pt>
                <c:pt idx="163">
                  <c:v>111.61484739013794</c:v>
                </c:pt>
                <c:pt idx="164">
                  <c:v>112.83748318145176</c:v>
                </c:pt>
                <c:pt idx="165">
                  <c:v>114.06325840338393</c:v>
                </c:pt>
                <c:pt idx="166">
                  <c:v>115.29210511195595</c:v>
                </c:pt>
                <c:pt idx="167">
                  <c:v>116.52395541304294</c:v>
                </c:pt>
                <c:pt idx="168">
                  <c:v>117.75874146750428</c:v>
                </c:pt>
                <c:pt idx="169">
                  <c:v>118.99639549628722</c:v>
                </c:pt>
                <c:pt idx="170">
                  <c:v>120.23684978550182</c:v>
                </c:pt>
                <c:pt idx="171">
                  <c:v>121.48003669146846</c:v>
                </c:pt>
                <c:pt idx="172">
                  <c:v>122.72588864573545</c:v>
                </c:pt>
                <c:pt idx="173">
                  <c:v>123.97433816006749</c:v>
                </c:pt>
                <c:pt idx="174">
                  <c:v>125.22531783140352</c:v>
                </c:pt>
                <c:pt idx="175">
                  <c:v>126.47876034678384</c:v>
                </c:pt>
                <c:pt idx="176">
                  <c:v>127.73459848824581</c:v>
                </c:pt>
                <c:pt idx="177">
                  <c:v>128.99276513768754</c:v>
                </c:pt>
                <c:pt idx="178">
                  <c:v>130.25319328169923</c:v>
                </c:pt>
                <c:pt idx="179">
                  <c:v>131.51581601636099</c:v>
                </c:pt>
                <c:pt idx="180">
                  <c:v>132.78056655200726</c:v>
                </c:pt>
                <c:pt idx="181">
                  <c:v>134.04737821795749</c:v>
                </c:pt>
                <c:pt idx="182">
                  <c:v>135.31618446721126</c:v>
                </c:pt>
                <c:pt idx="183">
                  <c:v>136.5869188811092</c:v>
                </c:pt>
                <c:pt idx="184">
                  <c:v>137.8595151739575</c:v>
                </c:pt>
                <c:pt idx="185">
                  <c:v>139.13390719761671</c:v>
                </c:pt>
                <c:pt idx="186">
                  <c:v>140.41002894605347</c:v>
                </c:pt>
                <c:pt idx="187">
                  <c:v>141.68781455985592</c:v>
                </c:pt>
                <c:pt idx="188">
                  <c:v>142.96719833071052</c:v>
                </c:pt>
                <c:pt idx="189">
                  <c:v>144.24811470584157</c:v>
                </c:pt>
                <c:pt idx="190">
                  <c:v>145.53049829241226</c:v>
                </c:pt>
                <c:pt idx="191">
                  <c:v>146.81428386188651</c:v>
                </c:pt>
                <c:pt idx="192">
                  <c:v>148.09940635435163</c:v>
                </c:pt>
                <c:pt idx="193">
                  <c:v>149.3858008828015</c:v>
                </c:pt>
                <c:pt idx="194">
                  <c:v>150.67340273737935</c:v>
                </c:pt>
                <c:pt idx="195">
                  <c:v>151.96214738958031</c:v>
                </c:pt>
                <c:pt idx="196">
                  <c:v>153.25197049641284</c:v>
                </c:pt>
                <c:pt idx="197">
                  <c:v>154.54280790451907</c:v>
                </c:pt>
                <c:pt idx="198">
                  <c:v>155.83459565425358</c:v>
                </c:pt>
                <c:pt idx="199">
                  <c:v>157.12726998372011</c:v>
                </c:pt>
                <c:pt idx="200">
                  <c:v>158.42076733276613</c:v>
                </c:pt>
                <c:pt idx="201">
                  <c:v>159.71502434693465</c:v>
                </c:pt>
                <c:pt idx="202">
                  <c:v>161.0099778813732</c:v>
                </c:pt>
                <c:pt idx="203">
                  <c:v>162.30556500469976</c:v>
                </c:pt>
                <c:pt idx="204">
                  <c:v>163.60172300282451</c:v>
                </c:pt>
                <c:pt idx="205">
                  <c:v>164.89838938272845</c:v>
                </c:pt>
                <c:pt idx="206">
                  <c:v>166.19532159695643</c:v>
                </c:pt>
                <c:pt idx="207">
                  <c:v>167.49227455936312</c:v>
                </c:pt>
                <c:pt idx="208">
                  <c:v>168.78918254801363</c:v>
                </c:pt>
                <c:pt idx="209">
                  <c:v>170.08598012502523</c:v>
                </c:pt>
                <c:pt idx="210">
                  <c:v>171.38260214030143</c:v>
                </c:pt>
                <c:pt idx="211">
                  <c:v>172.67898373521302</c:v>
                </c:pt>
                <c:pt idx="212">
                  <c:v>173.97506034622481</c:v>
                </c:pt>
                <c:pt idx="213">
                  <c:v>175.27076770846941</c:v>
                </c:pt>
                <c:pt idx="214">
                  <c:v>176.56604185926611</c:v>
                </c:pt>
                <c:pt idx="215">
                  <c:v>177.86081914158598</c:v>
                </c:pt>
                <c:pt idx="216">
                  <c:v>179.15503620746293</c:v>
                </c:pt>
                <c:pt idx="217">
                  <c:v>180.44863002134929</c:v>
                </c:pt>
                <c:pt idx="218">
                  <c:v>181.74153786341822</c:v>
                </c:pt>
                <c:pt idx="219">
                  <c:v>183.03369733281016</c:v>
                </c:pt>
                <c:pt idx="220">
                  <c:v>184.32504635082546</c:v>
                </c:pt>
                <c:pt idx="221">
                  <c:v>185.61552316406147</c:v>
                </c:pt>
                <c:pt idx="222">
                  <c:v>186.90506634749462</c:v>
                </c:pt>
                <c:pt idx="223">
                  <c:v>188.19361480750825</c:v>
                </c:pt>
                <c:pt idx="224">
                  <c:v>189.48110778486458</c:v>
                </c:pt>
                <c:pt idx="225">
                  <c:v>190.76748485762175</c:v>
                </c:pt>
                <c:pt idx="226">
                  <c:v>192.05268594399598</c:v>
                </c:pt>
                <c:pt idx="227">
                  <c:v>193.33665130516806</c:v>
                </c:pt>
                <c:pt idx="228">
                  <c:v>194.61932154803532</c:v>
                </c:pt>
                <c:pt idx="229">
                  <c:v>195.9006376279074</c:v>
                </c:pt>
                <c:pt idx="230">
                  <c:v>197.18054085114818</c:v>
                </c:pt>
                <c:pt idx="231">
                  <c:v>198.45897287776094</c:v>
                </c:pt>
                <c:pt idx="232">
                  <c:v>199.73587572391989</c:v>
                </c:pt>
                <c:pt idx="233">
                  <c:v>201.0111917644459</c:v>
                </c:pt>
                <c:pt idx="234">
                  <c:v>202.28486373522676</c:v>
                </c:pt>
                <c:pt idx="235">
                  <c:v>203.55683473558329</c:v>
                </c:pt>
                <c:pt idx="236">
                  <c:v>204.82704823057992</c:v>
                </c:pt>
                <c:pt idx="237">
                  <c:v>206.09544805328071</c:v>
                </c:pt>
                <c:pt idx="238">
                  <c:v>207.36197840695067</c:v>
                </c:pt>
                <c:pt idx="239">
                  <c:v>208.62658386720219</c:v>
                </c:pt>
                <c:pt idx="240">
                  <c:v>209.88920938408688</c:v>
                </c:pt>
                <c:pt idx="241">
                  <c:v>211.14980028413342</c:v>
                </c:pt>
                <c:pt idx="242">
                  <c:v>212.40759484468816</c:v>
                </c:pt>
                <c:pt idx="243">
                  <c:v>213.6618238971399</c:v>
                </c:pt>
                <c:pt idx="244">
                  <c:v>214.91242322857744</c:v>
                </c:pt>
                <c:pt idx="245">
                  <c:v>216.15932920622677</c:v>
                </c:pt>
                <c:pt idx="246">
                  <c:v>217.40247877914101</c:v>
                </c:pt>
                <c:pt idx="247">
                  <c:v>218.64180947980725</c:v>
                </c:pt>
                <c:pt idx="248">
                  <c:v>219.87725942567295</c:v>
                </c:pt>
                <c:pt idx="249">
                  <c:v>221.10876732058892</c:v>
                </c:pt>
                <c:pt idx="250">
                  <c:v>222.33627245617168</c:v>
                </c:pt>
                <c:pt idx="251">
                  <c:v>223.55971471308581</c:v>
                </c:pt>
                <c:pt idx="252">
                  <c:v>224.77903456224624</c:v>
                </c:pt>
                <c:pt idx="253">
                  <c:v>225.99417306593995</c:v>
                </c:pt>
                <c:pt idx="254">
                  <c:v>227.20507187886929</c:v>
                </c:pt>
                <c:pt idx="255">
                  <c:v>228.41167324911757</c:v>
                </c:pt>
                <c:pt idx="256">
                  <c:v>229.61392001903536</c:v>
                </c:pt>
                <c:pt idx="257">
                  <c:v>230.81175562605037</c:v>
                </c:pt>
                <c:pt idx="258">
                  <c:v>232.00512410339996</c:v>
                </c:pt>
                <c:pt idx="259">
                  <c:v>233.1939700807888</c:v>
                </c:pt>
                <c:pt idx="260">
                  <c:v>234.3782387849692</c:v>
                </c:pt>
                <c:pt idx="261">
                  <c:v>235.55787604024755</c:v>
                </c:pt>
                <c:pt idx="262">
                  <c:v>236.73282826891676</c:v>
                </c:pt>
                <c:pt idx="263">
                  <c:v>237.90304249161377</c:v>
                </c:pt>
                <c:pt idx="264">
                  <c:v>239.06846632760508</c:v>
                </c:pt>
                <c:pt idx="265">
                  <c:v>240.22904799499958</c:v>
                </c:pt>
                <c:pt idx="266">
                  <c:v>241.38473631088991</c:v>
                </c:pt>
                <c:pt idx="267">
                  <c:v>242.53548069142161</c:v>
                </c:pt>
                <c:pt idx="268">
                  <c:v>243.68123115179367</c:v>
                </c:pt>
                <c:pt idx="269">
                  <c:v>244.82193830618732</c:v>
                </c:pt>
                <c:pt idx="270">
                  <c:v>245.95755336762736</c:v>
                </c:pt>
                <c:pt idx="271">
                  <c:v>247.08802814777488</c:v>
                </c:pt>
                <c:pt idx="272">
                  <c:v>248.213315056651</c:v>
                </c:pt>
                <c:pt idx="273">
                  <c:v>249.3333671022956</c:v>
                </c:pt>
                <c:pt idx="274">
                  <c:v>250.4481378903582</c:v>
                </c:pt>
                <c:pt idx="275">
                  <c:v>251.55758162362434</c:v>
                </c:pt>
                <c:pt idx="276">
                  <c:v>252.66165310147622</c:v>
                </c:pt>
                <c:pt idx="277">
                  <c:v>253.76030771929047</c:v>
                </c:pt>
                <c:pt idx="278">
                  <c:v>254.85350146777103</c:v>
                </c:pt>
                <c:pt idx="279">
                  <c:v>255.94119093222076</c:v>
                </c:pt>
                <c:pt idx="280">
                  <c:v>257.02333329175065</c:v>
                </c:pt>
                <c:pt idx="281">
                  <c:v>258.09988631842742</c:v>
                </c:pt>
                <c:pt idx="282">
                  <c:v>259.17080837636166</c:v>
                </c:pt>
                <c:pt idx="283">
                  <c:v>260.23605842073545</c:v>
                </c:pt>
                <c:pt idx="284">
                  <c:v>261.29652055955665</c:v>
                </c:pt>
                <c:pt idx="285">
                  <c:v>262.35308571000365</c:v>
                </c:pt>
                <c:pt idx="286">
                  <c:v>263.40572240292511</c:v>
                </c:pt>
                <c:pt idx="287">
                  <c:v>264.45439953791532</c:v>
                </c:pt>
                <c:pt idx="288">
                  <c:v>265.49908638292942</c:v>
                </c:pt>
                <c:pt idx="289">
                  <c:v>266.5397525738644</c:v>
                </c:pt>
                <c:pt idx="290">
                  <c:v>267.57636811410867</c:v>
                </c:pt>
                <c:pt idx="291">
                  <c:v>268.60890337405993</c:v>
                </c:pt>
                <c:pt idx="292">
                  <c:v>269.63732909060911</c:v>
                </c:pt>
                <c:pt idx="293">
                  <c:v>270.66161636659592</c:v>
                </c:pt>
                <c:pt idx="294">
                  <c:v>271.68173667023063</c:v>
                </c:pt>
                <c:pt idx="295">
                  <c:v>272.69766183448684</c:v>
                </c:pt>
                <c:pt idx="296">
                  <c:v>273.70936405646421</c:v>
                </c:pt>
                <c:pt idx="297">
                  <c:v>274.71681589671897</c:v>
                </c:pt>
                <c:pt idx="298">
                  <c:v>275.71999027856793</c:v>
                </c:pt>
                <c:pt idx="299">
                  <c:v>276.71886048736076</c:v>
                </c:pt>
                <c:pt idx="300">
                  <c:v>277.71340016972556</c:v>
                </c:pt>
                <c:pt idx="301">
                  <c:v>278.70358333278381</c:v>
                </c:pt>
                <c:pt idx="302">
                  <c:v>279.68938434333984</c:v>
                </c:pt>
                <c:pt idx="303">
                  <c:v>280.67077792703981</c:v>
                </c:pt>
                <c:pt idx="304">
                  <c:v>281.64773916750545</c:v>
                </c:pt>
                <c:pt idx="305">
                  <c:v>282.62024350544056</c:v>
                </c:pt>
                <c:pt idx="306">
                  <c:v>283.58826673770977</c:v>
                </c:pt>
                <c:pt idx="307">
                  <c:v>284.55178501639256</c:v>
                </c:pt>
                <c:pt idx="308">
                  <c:v>285.51077484781115</c:v>
                </c:pt>
                <c:pt idx="309">
                  <c:v>286.4652130915311</c:v>
                </c:pt>
                <c:pt idx="310">
                  <c:v>287.41507695934081</c:v>
                </c:pt>
                <c:pt idx="311">
                  <c:v>288.36034401420227</c:v>
                </c:pt>
                <c:pt idx="312">
                  <c:v>289.30099216918001</c:v>
                </c:pt>
                <c:pt idx="313">
                  <c:v>290.23699968634514</c:v>
                </c:pt>
                <c:pt idx="314">
                  <c:v>291.16834517565621</c:v>
                </c:pt>
                <c:pt idx="315">
                  <c:v>292.09500759381717</c:v>
                </c:pt>
                <c:pt idx="316">
                  <c:v>293.01696624311143</c:v>
                </c:pt>
                <c:pt idx="317">
                  <c:v>293.93420077021511</c:v>
                </c:pt>
                <c:pt idx="318">
                  <c:v>294.84669116498679</c:v>
                </c:pt>
                <c:pt idx="319">
                  <c:v>295.75441775923741</c:v>
                </c:pt>
                <c:pt idx="320">
                  <c:v>296.65736122547617</c:v>
                </c:pt>
                <c:pt idx="321">
                  <c:v>297.55550257563851</c:v>
                </c:pt>
                <c:pt idx="322">
                  <c:v>298.44882315979123</c:v>
                </c:pt>
                <c:pt idx="323">
                  <c:v>299.33730466481927</c:v>
                </c:pt>
                <c:pt idx="324">
                  <c:v>300.22092911309113</c:v>
                </c:pt>
                <c:pt idx="325">
                  <c:v>301.09967886110616</c:v>
                </c:pt>
                <c:pt idx="326">
                  <c:v>301.97359781046902</c:v>
                </c:pt>
                <c:pt idx="327">
                  <c:v>302.84273043678701</c:v>
                </c:pt>
                <c:pt idx="328">
                  <c:v>303.70706034753323</c:v>
                </c:pt>
                <c:pt idx="329">
                  <c:v>304.56657146777616</c:v>
                </c:pt>
                <c:pt idx="330">
                  <c:v>305.42124803880216</c:v>
                </c:pt>
                <c:pt idx="331">
                  <c:v>306.27107461672398</c:v>
                </c:pt>
                <c:pt idx="332">
                  <c:v>307.11603607107043</c:v>
                </c:pt>
                <c:pt idx="333">
                  <c:v>307.95611758336292</c:v>
                </c:pt>
                <c:pt idx="334">
                  <c:v>308.7913046456739</c:v>
                </c:pt>
                <c:pt idx="335">
                  <c:v>309.62158305917131</c:v>
                </c:pt>
                <c:pt idx="336">
                  <c:v>310.44693893264821</c:v>
                </c:pt>
                <c:pt idx="337">
                  <c:v>311.26735868103805</c:v>
                </c:pt>
                <c:pt idx="338">
                  <c:v>312.08282902391437</c:v>
                </c:pt>
                <c:pt idx="339">
                  <c:v>312.89333698397877</c:v>
                </c:pt>
                <c:pt idx="340">
                  <c:v>313.69886988553321</c:v>
                </c:pt>
                <c:pt idx="341">
                  <c:v>314.49941535294056</c:v>
                </c:pt>
                <c:pt idx="342">
                  <c:v>315.29496130907199</c:v>
                </c:pt>
                <c:pt idx="343">
                  <c:v>316.08549597374071</c:v>
                </c:pt>
                <c:pt idx="344">
                  <c:v>316.87100786212579</c:v>
                </c:pt>
                <c:pt idx="345">
                  <c:v>317.65148578318059</c:v>
                </c:pt>
                <c:pt idx="346">
                  <c:v>318.42691883803423</c:v>
                </c:pt>
                <c:pt idx="347">
                  <c:v>319.19729641837625</c:v>
                </c:pt>
                <c:pt idx="348">
                  <c:v>319.96260820483616</c:v>
                </c:pt>
                <c:pt idx="349">
                  <c:v>320.722844165347</c:v>
                </c:pt>
                <c:pt idx="350">
                  <c:v>321.47799455350258</c:v>
                </c:pt>
                <c:pt idx="351">
                  <c:v>322.22804990690241</c:v>
                </c:pt>
                <c:pt idx="352">
                  <c:v>322.97300104548748</c:v>
                </c:pt>
                <c:pt idx="353">
                  <c:v>323.71283906986741</c:v>
                </c:pt>
                <c:pt idx="354">
                  <c:v>324.44755535963725</c:v>
                </c:pt>
                <c:pt idx="355">
                  <c:v>325.17714157168615</c:v>
                </c:pt>
                <c:pt idx="356">
                  <c:v>325.90158963849751</c:v>
                </c:pt>
                <c:pt idx="357">
                  <c:v>326.6208917664411</c:v>
                </c:pt>
                <c:pt idx="358">
                  <c:v>327.33504043405651</c:v>
                </c:pt>
                <c:pt idx="359">
                  <c:v>328.04402839032934</c:v>
                </c:pt>
                <c:pt idx="360">
                  <c:v>328.74784865296135</c:v>
                </c:pt>
                <c:pt idx="361">
                  <c:v>329.44649450663042</c:v>
                </c:pt>
                <c:pt idx="362">
                  <c:v>330.13995950124769</c:v>
                </c:pt>
                <c:pt idx="363">
                  <c:v>330.8282374502046</c:v>
                </c:pt>
                <c:pt idx="364">
                  <c:v>331.5113224286165</c:v>
                </c:pt>
                <c:pt idx="365">
                  <c:v>332.1892087715583</c:v>
                </c:pt>
                <c:pt idx="366">
                  <c:v>332.86352285667317</c:v>
                </c:pt>
                <c:pt idx="367">
                  <c:v>333.5358943711301</c:v>
                </c:pt>
                <c:pt idx="368">
                  <c:v>334.20632004096933</c:v>
                </c:pt>
                <c:pt idx="369">
                  <c:v>334.8747966593852</c:v>
                </c:pt>
                <c:pt idx="370">
                  <c:v>335.54132108641346</c:v>
                </c:pt>
                <c:pt idx="371">
                  <c:v>336.20589024861397</c:v>
                </c:pt>
                <c:pt idx="372">
                  <c:v>336.86850113875596</c:v>
                </c:pt>
                <c:pt idx="373">
                  <c:v>337.52915081550003</c:v>
                </c:pt>
                <c:pt idx="374">
                  <c:v>338.18783640307953</c:v>
                </c:pt>
                <c:pt idx="375">
                  <c:v>338.84455509097967</c:v>
                </c:pt>
                <c:pt idx="376">
                  <c:v>339.49930413361852</c:v>
                </c:pt>
                <c:pt idx="377">
                  <c:v>340.15208085002354</c:v>
                </c:pt>
                <c:pt idx="378">
                  <c:v>340.80288262350871</c:v>
                </c:pt>
                <c:pt idx="379">
                  <c:v>341.4517069013516</c:v>
                </c:pt>
                <c:pt idx="380">
                  <c:v>342.09855119446712</c:v>
                </c:pt>
                <c:pt idx="381">
                  <c:v>342.74162512767998</c:v>
                </c:pt>
                <c:pt idx="382">
                  <c:v>343.37913570231404</c:v>
                </c:pt>
                <c:pt idx="383">
                  <c:v>344.01107989125251</c:v>
                </c:pt>
                <c:pt idx="384">
                  <c:v>344.63745492860323</c:v>
                </c:pt>
                <c:pt idx="385">
                  <c:v>345.2582583076761</c:v>
                </c:pt>
                <c:pt idx="386">
                  <c:v>345.87348777895807</c:v>
                </c:pt>
                <c:pt idx="387">
                  <c:v>346.48314134808504</c:v>
                </c:pt>
                <c:pt idx="388">
                  <c:v>347.08721727381254</c:v>
                </c:pt>
                <c:pt idx="389">
                  <c:v>347.68571406598346</c:v>
                </c:pt>
                <c:pt idx="390">
                  <c:v>348.27863048349514</c:v>
                </c:pt>
                <c:pt idx="391">
                  <c:v>348.86596553226462</c:v>
                </c:pt>
                <c:pt idx="392">
                  <c:v>349.44771846319395</c:v>
                </c:pt>
                <c:pt idx="393">
                  <c:v>350.0238887701326</c:v>
                </c:pt>
                <c:pt idx="394">
                  <c:v>350.59447618784145</c:v>
                </c:pt>
                <c:pt idx="395">
                  <c:v>351.15948068995539</c:v>
                </c:pt>
                <c:pt idx="396">
                  <c:v>351.71890248694592</c:v>
                </c:pt>
                <c:pt idx="397">
                  <c:v>352.27274202408461</c:v>
                </c:pt>
                <c:pt idx="398">
                  <c:v>352.82099997940605</c:v>
                </c:pt>
                <c:pt idx="399">
                  <c:v>353.36367726167265</c:v>
                </c:pt>
                <c:pt idx="400">
                  <c:v>353.90077500833877</c:v>
                </c:pt>
                <c:pt idx="401">
                  <c:v>354.43086685757254</c:v>
                </c:pt>
                <c:pt idx="402">
                  <c:v>354.95252588532617</c:v>
                </c:pt>
                <c:pt idx="403">
                  <c:v>355.46575547549656</c:v>
                </c:pt>
                <c:pt idx="404">
                  <c:v>355.97055946052973</c:v>
                </c:pt>
                <c:pt idx="405">
                  <c:v>356.46694211700594</c:v>
                </c:pt>
                <c:pt idx="406">
                  <c:v>356.95490816122827</c:v>
                </c:pt>
                <c:pt idx="407">
                  <c:v>357.43446274481374</c:v>
                </c:pt>
                <c:pt idx="408">
                  <c:v>357.90561145028926</c:v>
                </c:pt>
                <c:pt idx="409">
                  <c:v>358.36836028669245</c:v>
                </c:pt>
                <c:pt idx="410">
                  <c:v>358.82271568517496</c:v>
                </c:pt>
                <c:pt idx="411">
                  <c:v>359.26075006865284</c:v>
                </c:pt>
                <c:pt idx="412">
                  <c:v>359.67453752834211</c:v>
                </c:pt>
                <c:pt idx="413">
                  <c:v>360.06410407694744</c:v>
                </c:pt>
                <c:pt idx="414">
                  <c:v>360.42947873935003</c:v>
                </c:pt>
                <c:pt idx="415">
                  <c:v>360.77069351769393</c:v>
                </c:pt>
                <c:pt idx="416">
                  <c:v>361.0877833564108</c:v>
                </c:pt>
                <c:pt idx="417">
                  <c:v>361.38078610719401</c:v>
                </c:pt>
                <c:pt idx="418">
                  <c:v>361.64974249393373</c:v>
                </c:pt>
                <c:pt idx="419">
                  <c:v>361.8946960776251</c:v>
                </c:pt>
                <c:pt idx="420">
                  <c:v>362.11116663816091</c:v>
                </c:pt>
                <c:pt idx="421">
                  <c:v>362.2946845198648</c:v>
                </c:pt>
                <c:pt idx="422">
                  <c:v>362.44532344815855</c:v>
                </c:pt>
                <c:pt idx="423">
                  <c:v>362.56316228484604</c:v>
                </c:pt>
                <c:pt idx="424">
                  <c:v>362.6482849612122</c:v>
                </c:pt>
                <c:pt idx="425">
                  <c:v>362.70078041104875</c:v>
                </c:pt>
                <c:pt idx="426">
                  <c:v>362.72074250363414</c:v>
                </c:pt>
                <c:pt idx="427">
                  <c:v>362.70826997669485</c:v>
                </c:pt>
                <c:pt idx="428">
                  <c:v>362.66346636937146</c:v>
                </c:pt>
                <c:pt idx="429">
                  <c:v>362.58643995521538</c:v>
                </c:pt>
                <c:pt idx="430">
                  <c:v>362.47730367524218</c:v>
                </c:pt>
                <c:pt idx="431">
                  <c:v>362.33617507106391</c:v>
                </c:pt>
                <c:pt idx="432">
                  <c:v>362.15589344815766</c:v>
                </c:pt>
                <c:pt idx="433">
                  <c:v>361.92933434767895</c:v>
                </c:pt>
                <c:pt idx="434">
                  <c:v>361.65669372668435</c:v>
                </c:pt>
                <c:pt idx="435">
                  <c:v>361.33817706440357</c:v>
                </c:pt>
                <c:pt idx="436">
                  <c:v>360.9739992191486</c:v>
                </c:pt>
                <c:pt idx="437">
                  <c:v>360.56438428523916</c:v>
                </c:pt>
                <c:pt idx="438">
                  <c:v>360.10956545001051</c:v>
                </c:pt>
                <c:pt idx="439">
                  <c:v>359.60978485097473</c:v>
                </c:pt>
                <c:pt idx="440">
                  <c:v>359.06529343319937</c:v>
                </c:pt>
                <c:pt idx="441">
                  <c:v>358.47635080696938</c:v>
                </c:pt>
                <c:pt idx="442">
                  <c:v>357.84761484092422</c:v>
                </c:pt>
                <c:pt idx="443">
                  <c:v>357.18371953947445</c:v>
                </c:pt>
                <c:pt idx="444">
                  <c:v>356.48489087841352</c:v>
                </c:pt>
                <c:pt idx="445">
                  <c:v>355.75135983744946</c:v>
                </c:pt>
                <c:pt idx="446">
                  <c:v>354.98336231187892</c:v>
                </c:pt>
                <c:pt idx="447">
                  <c:v>354.18113902482082</c:v>
                </c:pt>
                <c:pt idx="448">
                  <c:v>353.34493544003732</c:v>
                </c:pt>
                <c:pt idx="449">
                  <c:v>352.47500167536566</c:v>
                </c:pt>
                <c:pt idx="450">
                  <c:v>351.57159241678397</c:v>
                </c:pt>
                <c:pt idx="451">
                  <c:v>350.63496683313332</c:v>
                </c:pt>
                <c:pt idx="452">
                  <c:v>349.66538849151669</c:v>
                </c:pt>
                <c:pt idx="453">
                  <c:v>348.66931829713019</c:v>
                </c:pt>
                <c:pt idx="454">
                  <c:v>347.65316070139829</c:v>
                </c:pt>
                <c:pt idx="455">
                  <c:v>346.61708759295249</c:v>
                </c:pt>
                <c:pt idx="456">
                  <c:v>345.56127215210216</c:v>
                </c:pt>
                <c:pt idx="457">
                  <c:v>344.48588882151688</c:v>
                </c:pt>
                <c:pt idx="458">
                  <c:v>343.39111327728938</c:v>
                </c:pt>
                <c:pt idx="459">
                  <c:v>342.2771224003763</c:v>
                </c:pt>
                <c:pt idx="460">
                  <c:v>341.14409424842137</c:v>
                </c:pt>
                <c:pt idx="461">
                  <c:v>339.99770372625483</c:v>
                </c:pt>
                <c:pt idx="462">
                  <c:v>338.84356714256421</c:v>
                </c:pt>
                <c:pt idx="463">
                  <c:v>337.68176568607851</c:v>
                </c:pt>
                <c:pt idx="464">
                  <c:v>336.51238054486407</c:v>
                </c:pt>
                <c:pt idx="465">
                  <c:v>335.33549290297583</c:v>
                </c:pt>
                <c:pt idx="466">
                  <c:v>334.14661096175524</c:v>
                </c:pt>
                <c:pt idx="467">
                  <c:v>332.94129425959483</c:v>
                </c:pt>
                <c:pt idx="468">
                  <c:v>331.66898908713284</c:v>
                </c:pt>
                <c:pt idx="469">
                  <c:v>330.34168421566159</c:v>
                </c:pt>
                <c:pt idx="470">
                  <c:v>329.02174091982113</c:v>
                </c:pt>
                <c:pt idx="471">
                  <c:v>327.70910438106353</c:v>
                </c:pt>
                <c:pt idx="472">
                  <c:v>326.40372029401283</c:v>
                </c:pt>
                <c:pt idx="473">
                  <c:v>325.10553486068659</c:v>
                </c:pt>
                <c:pt idx="474">
                  <c:v>323.81449478479095</c:v>
                </c:pt>
                <c:pt idx="475">
                  <c:v>322.53054726609167</c:v>
                </c:pt>
                <c:pt idx="476">
                  <c:v>321.25363999485813</c:v>
                </c:pt>
                <c:pt idx="477">
                  <c:v>319.98372114638136</c:v>
                </c:pt>
                <c:pt idx="478">
                  <c:v>318.72073937556257</c:v>
                </c:pt>
                <c:pt idx="479">
                  <c:v>317.46464381157267</c:v>
                </c:pt>
                <c:pt idx="480">
                  <c:v>316.2153840525807</c:v>
                </c:pt>
                <c:pt idx="481">
                  <c:v>314.97291016055146</c:v>
                </c:pt>
                <c:pt idx="482">
                  <c:v>313.73717265611049</c:v>
                </c:pt>
                <c:pt idx="483">
                  <c:v>312.5081225134748</c:v>
                </c:pt>
                <c:pt idx="484">
                  <c:v>311.28571115545003</c:v>
                </c:pt>
                <c:pt idx="485">
                  <c:v>310.06989044849047</c:v>
                </c:pt>
                <c:pt idx="486">
                  <c:v>308.86061269782522</c:v>
                </c:pt>
                <c:pt idx="487">
                  <c:v>307.657830642644</c:v>
                </c:pt>
                <c:pt idx="488">
                  <c:v>306.46149745134693</c:v>
                </c:pt>
                <c:pt idx="489">
                  <c:v>305.27156671685401</c:v>
                </c:pt>
                <c:pt idx="490">
                  <c:v>304.08799245197406</c:v>
                </c:pt>
                <c:pt idx="491">
                  <c:v>302.91072908483443</c:v>
                </c:pt>
                <c:pt idx="492">
                  <c:v>301.73973145436656</c:v>
                </c:pt>
                <c:pt idx="493">
                  <c:v>300.57495480585118</c:v>
                </c:pt>
                <c:pt idx="494">
                  <c:v>299.41635478651727</c:v>
                </c:pt>
                <c:pt idx="495">
                  <c:v>298.26388744119993</c:v>
                </c:pt>
                <c:pt idx="496">
                  <c:v>297.11750920804974</c:v>
                </c:pt>
                <c:pt idx="497">
                  <c:v>295.97717691429904</c:v>
                </c:pt>
                <c:pt idx="498">
                  <c:v>294.84284777207972</c:v>
                </c:pt>
                <c:pt idx="499">
                  <c:v>293.71447937429394</c:v>
                </c:pt>
                <c:pt idx="500">
                  <c:v>292.59202969053723</c:v>
                </c:pt>
                <c:pt idx="501">
                  <c:v>281.54404346197094</c:v>
                </c:pt>
                <c:pt idx="502">
                  <c:v>271.0609926871453</c:v>
                </c:pt>
                <c:pt idx="503">
                  <c:v>261.10460625522359</c:v>
                </c:pt>
                <c:pt idx="504">
                  <c:v>251.63983113830159</c:v>
                </c:pt>
                <c:pt idx="505">
                  <c:v>242.63451107292366</c:v>
                </c:pt>
                <c:pt idx="506">
                  <c:v>234.05910222995814</c:v>
                </c:pt>
                <c:pt idx="507">
                  <c:v>225.8864210681981</c:v>
                </c:pt>
                <c:pt idx="508">
                  <c:v>218.09142025994538</c:v>
                </c:pt>
                <c:pt idx="509">
                  <c:v>210.65098916019977</c:v>
                </c:pt>
                <c:pt idx="510">
                  <c:v>203.54377578367834</c:v>
                </c:pt>
                <c:pt idx="511">
                  <c:v>196.75002767107503</c:v>
                </c:pt>
                <c:pt idx="512">
                  <c:v>190.25144938026395</c:v>
                </c:pt>
                <c:pt idx="513">
                  <c:v>184.03107463984159</c:v>
                </c:pt>
                <c:pt idx="514">
                  <c:v>178.07315145999183</c:v>
                </c:pt>
                <c:pt idx="515">
                  <c:v>172.36303871612407</c:v>
                </c:pt>
                <c:pt idx="516">
                  <c:v>166.88711290990992</c:v>
                </c:pt>
                <c:pt idx="517">
                  <c:v>161.6326839750476</c:v>
                </c:pt>
                <c:pt idx="518">
                  <c:v>156.58791913533551</c:v>
                </c:pt>
                <c:pt idx="519">
                  <c:v>151.74177394381923</c:v>
                </c:pt>
                <c:pt idx="520">
                  <c:v>147.0839297366928</c:v>
                </c:pt>
                <c:pt idx="521">
                  <c:v>142.6047368266741</c:v>
                </c:pt>
                <c:pt idx="522">
                  <c:v>138.29516283972092</c:v>
                </c:pt>
                <c:pt idx="523">
                  <c:v>134.1467456679068</c:v>
                </c:pt>
                <c:pt idx="524">
                  <c:v>130.15155057145793</c:v>
                </c:pt>
                <c:pt idx="525">
                  <c:v>126.30213101558</c:v>
                </c:pt>
                <c:pt idx="526">
                  <c:v>122.59149287381085</c:v>
                </c:pt>
                <c:pt idx="527">
                  <c:v>119.0130616700929</c:v>
                </c:pt>
                <c:pt idx="528">
                  <c:v>115.5606525673364</c:v>
                </c:pt>
                <c:pt idx="529">
                  <c:v>112.22844284156447</c:v>
                </c:pt>
                <c:pt idx="530">
                  <c:v>109.01094660836203</c:v>
                </c:pt>
                <c:pt idx="531">
                  <c:v>105.90299159276181</c:v>
                </c:pt>
                <c:pt idx="532">
                  <c:v>102.89969775529455</c:v>
                </c:pt>
                <c:pt idx="533">
                  <c:v>99.996457606074543</c:v>
                </c:pt>
                <c:pt idx="534">
                  <c:v>97.188918055773456</c:v>
                </c:pt>
                <c:pt idx="535">
                  <c:v>94.4729636674342</c:v>
                </c:pt>
                <c:pt idx="536">
                  <c:v>91.844701186511045</c:v>
                </c:pt>
                <c:pt idx="537">
                  <c:v>89.300445238496636</c:v>
                </c:pt>
                <c:pt idx="538">
                  <c:v>86.836705094183088</c:v>
                </c:pt>
                <c:pt idx="539">
                  <c:v>84.450172412153009</c:v>
                </c:pt>
                <c:pt idx="540">
                  <c:v>82.13770987664121</c:v>
                </c:pt>
                <c:pt idx="541">
                  <c:v>79.896340656560525</c:v>
                </c:pt>
                <c:pt idx="542">
                  <c:v>77.723238618352354</c:v>
                </c:pt>
                <c:pt idx="543">
                  <c:v>75.615719231487105</c:v>
                </c:pt>
                <c:pt idx="544">
                  <c:v>73.571231110983391</c:v>
                </c:pt>
                <c:pt idx="545">
                  <c:v>71.587348146303839</c:v>
                </c:pt>
                <c:pt idx="546">
                  <c:v>69.661762170482532</c:v>
                </c:pt>
                <c:pt idx="547">
                  <c:v>67.792276127394146</c:v>
                </c:pt>
                <c:pt idx="548">
                  <c:v>65.976797698739091</c:v>
                </c:pt>
                <c:pt idx="549">
                  <c:v>64.213333355628691</c:v>
                </c:pt>
                <c:pt idx="550">
                  <c:v>62.499982802653079</c:v>
                </c:pt>
                <c:pt idx="551">
                  <c:v>60.834933785028028</c:v>
                </c:pt>
                <c:pt idx="552">
                  <c:v>59.216457231878174</c:v>
                </c:pt>
                <c:pt idx="553">
                  <c:v>57.642902710949663</c:v>
                </c:pt>
                <c:pt idx="554">
                  <c:v>56.112694172074065</c:v>
                </c:pt>
                <c:pt idx="555">
                  <c:v>54.624325958551516</c:v>
                </c:pt>
                <c:pt idx="556">
                  <c:v>53.176359067301263</c:v>
                </c:pt>
                <c:pt idx="557">
                  <c:v>51.767417640158492</c:v>
                </c:pt>
                <c:pt idx="558">
                  <c:v>50.396185670091356</c:v>
                </c:pt>
                <c:pt idx="559">
                  <c:v>49.061403907386385</c:v>
                </c:pt>
                <c:pt idx="560">
                  <c:v>47.761866952013847</c:v>
                </c:pt>
                <c:pt idx="561">
                  <c:v>46.496420519446481</c:v>
                </c:pt>
                <c:pt idx="562">
                  <c:v>45.263958868180644</c:v>
                </c:pt>
                <c:pt idx="563">
                  <c:v>44.063422378096604</c:v>
                </c:pt>
                <c:pt idx="564">
                  <c:v>42.893795269613634</c:v>
                </c:pt>
                <c:pt idx="565">
                  <c:v>41.754103454341909</c:v>
                </c:pt>
                <c:pt idx="566">
                  <c:v>40.643412508621743</c:v>
                </c:pt>
                <c:pt idx="567">
                  <c:v>39.560825761970875</c:v>
                </c:pt>
                <c:pt idx="568">
                  <c:v>38.505482493040006</c:v>
                </c:pt>
                <c:pt idx="569">
                  <c:v>37.476556226211329</c:v>
                </c:pt>
                <c:pt idx="570">
                  <c:v>36.473253122464094</c:v>
                </c:pt>
                <c:pt idx="571">
                  <c:v>35.494810458584752</c:v>
                </c:pt>
                <c:pt idx="572">
                  <c:v>34.540495189215115</c:v>
                </c:pt>
                <c:pt idx="573">
                  <c:v>33.609602586616411</c:v>
                </c:pt>
                <c:pt idx="574">
                  <c:v>32.701454953382353</c:v>
                </c:pt>
                <c:pt idx="575">
                  <c:v>31.815400403660981</c:v>
                </c:pt>
                <c:pt idx="576">
                  <c:v>30.950811708748557</c:v>
                </c:pt>
                <c:pt idx="577">
                  <c:v>30.107085203198487</c:v>
                </c:pt>
                <c:pt idx="578">
                  <c:v>29.283639747846852</c:v>
                </c:pt>
                <c:pt idx="579">
                  <c:v>28.479915746396532</c:v>
                </c:pt>
                <c:pt idx="580">
                  <c:v>27.695374212423587</c:v>
                </c:pt>
                <c:pt idx="581">
                  <c:v>26.92949588387566</c:v>
                </c:pt>
                <c:pt idx="582">
                  <c:v>26.18178038232308</c:v>
                </c:pt>
                <c:pt idx="583">
                  <c:v>25.45174541440057</c:v>
                </c:pt>
                <c:pt idx="584">
                  <c:v>24.73892601304204</c:v>
                </c:pt>
                <c:pt idx="585">
                  <c:v>24.042873816263981</c:v>
                </c:pt>
                <c:pt idx="586">
                  <c:v>23.363156381394635</c:v>
                </c:pt>
                <c:pt idx="587">
                  <c:v>22.699356532778967</c:v>
                </c:pt>
                <c:pt idx="588">
                  <c:v>22.051071741111731</c:v>
                </c:pt>
                <c:pt idx="589">
                  <c:v>21.417913532666226</c:v>
                </c:pt>
                <c:pt idx="590">
                  <c:v>20.799506926792247</c:v>
                </c:pt>
                <c:pt idx="591">
                  <c:v>20.195489900156769</c:v>
                </c:pt>
                <c:pt idx="592">
                  <c:v>19.605512876293311</c:v>
                </c:pt>
                <c:pt idx="593">
                  <c:v>19.029238239112473</c:v>
                </c:pt>
                <c:pt idx="594">
                  <c:v>18.466339869106886</c:v>
                </c:pt>
                <c:pt idx="595">
                  <c:v>17.916502701059468</c:v>
                </c:pt>
                <c:pt idx="596">
                  <c:v>17.379422302133637</c:v>
                </c:pt>
                <c:pt idx="597">
                  <c:v>16.854804469290933</c:v>
                </c:pt>
                <c:pt idx="598">
                  <c:v>16.342364845042226</c:v>
                </c:pt>
                <c:pt idx="599">
                  <c:v>15.841828550596906</c:v>
                </c:pt>
                <c:pt idx="600">
                  <c:v>15.35292983552784</c:v>
                </c:pt>
                <c:pt idx="601">
                  <c:v>14.875411743121076</c:v>
                </c:pt>
                <c:pt idx="602">
                  <c:v>14.409025790625801</c:v>
                </c:pt>
                <c:pt idx="603">
                  <c:v>13.953531663665025</c:v>
                </c:pt>
                <c:pt idx="604">
                  <c:v>13.508696924108662</c:v>
                </c:pt>
                <c:pt idx="605">
                  <c:v>13.074296730749937</c:v>
                </c:pt>
                <c:pt idx="606">
                  <c:v>12.650113572162404</c:v>
                </c:pt>
                <c:pt idx="607">
                  <c:v>12.235937011149424</c:v>
                </c:pt>
                <c:pt idx="608">
                  <c:v>11.831563440230063</c:v>
                </c:pt>
                <c:pt idx="609">
                  <c:v>11.436795847635853</c:v>
                </c:pt>
                <c:pt idx="610">
                  <c:v>11.051443593321055</c:v>
                </c:pt>
                <c:pt idx="611">
                  <c:v>10.675322194516301</c:v>
                </c:pt>
                <c:pt idx="612">
                  <c:v>10.308253120380172</c:v>
                </c:pt>
                <c:pt idx="613">
                  <c:v>9.9500635953274124</c:v>
                </c:pt>
                <c:pt idx="614">
                  <c:v>9.600586410634417</c:v>
                </c:pt>
                <c:pt idx="615">
                  <c:v>9.259659743943951</c:v>
                </c:pt>
                <c:pt idx="616">
                  <c:v>8.9271269863105687</c:v>
                </c:pt>
                <c:pt idx="617">
                  <c:v>8.602836576446979</c:v>
                </c:pt>
                <c:pt idx="618">
                  <c:v>8.2866418418489953</c:v>
                </c:pt>
                <c:pt idx="619">
                  <c:v>7.9784008464934164</c:v>
                </c:pt>
                <c:pt idx="620">
                  <c:v>7.6779762448185824</c:v>
                </c:pt>
                <c:pt idx="621">
                  <c:v>7.3852351417120552</c:v>
                </c:pt>
                <c:pt idx="622">
                  <c:v>7.1000489582437289</c:v>
                </c:pt>
                <c:pt idx="623">
                  <c:v>6.8222933028956616</c:v>
                </c:pt>
                <c:pt idx="624">
                  <c:v>6.5518478480521241</c:v>
                </c:pt>
                <c:pt idx="625">
                  <c:v>6.2885962115249567</c:v>
                </c:pt>
                <c:pt idx="626">
                  <c:v>6.0324258429000768</c:v>
                </c:pt>
                <c:pt idx="627">
                  <c:v>5.7832279145012615</c:v>
                </c:pt>
                <c:pt idx="628">
                  <c:v>5.5408972167767692</c:v>
                </c:pt>
                <c:pt idx="629">
                  <c:v>5.3053320579233691</c:v>
                </c:pt>
                <c:pt idx="630">
                  <c:v>5.0764341675707119</c:v>
                </c:pt>
                <c:pt idx="631">
                  <c:v>4.854108604356635</c:v>
                </c:pt>
                <c:pt idx="632">
                  <c:v>4.6382636672313842</c:v>
                </c:pt>
                <c:pt idx="633">
                  <c:v>4.4288108103351709</c:v>
                </c:pt>
                <c:pt idx="634">
                  <c:v>4.2256645612997357</c:v>
                </c:pt>
                <c:pt idx="635">
                  <c:v>4.0287424428299845</c:v>
                </c:pt>
                <c:pt idx="636">
                  <c:v>3.8379648974266845</c:v>
                </c:pt>
                <c:pt idx="637">
                  <c:v>3.6532552151155682</c:v>
                </c:pt>
                <c:pt idx="638">
                  <c:v>3.4745394640517357</c:v>
                </c:pt>
                <c:pt idx="639">
                  <c:v>3.3017464238712408</c:v>
                </c:pt>
                <c:pt idx="640">
                  <c:v>3.1348075216639311</c:v>
                </c:pt>
                <c:pt idx="641">
                  <c:v>2.9736567704428838</c:v>
                </c:pt>
                <c:pt idx="642">
                  <c:v>2.8182307099861967</c:v>
                </c:pt>
                <c:pt idx="643">
                  <c:v>2.6684683499262247</c:v>
                </c:pt>
                <c:pt idx="644">
                  <c:v>2.5243111149593842</c:v>
                </c:pt>
                <c:pt idx="645">
                  <c:v>2.3857027920463714</c:v>
                </c:pt>
                <c:pt idx="646">
                  <c:v>2.2525894794676513</c:v>
                </c:pt>
                <c:pt idx="647">
                  <c:v>2.1249195375921781</c:v>
                </c:pt>
                <c:pt idx="648">
                  <c:v>2.0026435412082133</c:v>
                </c:pt>
                <c:pt idx="649">
                  <c:v>1.8857142332532708</c:v>
                </c:pt>
                <c:pt idx="650">
                  <c:v>1.7740864797654039</c:v>
                </c:pt>
                <c:pt idx="651">
                  <c:v>1.6677172258594817</c:v>
                </c:pt>
                <c:pt idx="652">
                  <c:v>1.5665654525093666</c:v>
                </c:pt>
                <c:pt idx="653">
                  <c:v>1.4705921338892376</c:v>
                </c:pt>
                <c:pt idx="654">
                  <c:v>1.3797601949939982</c:v>
                </c:pt>
                <c:pt idx="655">
                  <c:v>1.2940344692190691</c:v>
                </c:pt>
                <c:pt idx="656">
                  <c:v>1.213381655533329</c:v>
                </c:pt>
                <c:pt idx="657">
                  <c:v>1.1377702748249119</c:v>
                </c:pt>
                <c:pt idx="658">
                  <c:v>1.0671706249382324</c:v>
                </c:pt>
                <c:pt idx="659">
                  <c:v>1.0015547338523474</c:v>
                </c:pt>
                <c:pt idx="660">
                  <c:v>0.94089631037740329</c:v>
                </c:pt>
                <c:pt idx="661">
                  <c:v>0.8851706916705756</c:v>
                </c:pt>
                <c:pt idx="662">
                  <c:v>0.83435478680084207</c:v>
                </c:pt>
                <c:pt idx="663">
                  <c:v>0.78842701553119965</c:v>
                </c:pt>
                <c:pt idx="664">
                  <c:v>0.74736724144868028</c:v>
                </c:pt>
                <c:pt idx="665">
                  <c:v>0.71115669857140795</c:v>
                </c:pt>
                <c:pt idx="666">
                  <c:v>0.67977791061538018</c:v>
                </c:pt>
                <c:pt idx="667">
                  <c:v>0.65321460223034811</c:v>
                </c:pt>
                <c:pt idx="668">
                  <c:v>0.63145160173079762</c:v>
                </c:pt>
                <c:pt idx="669">
                  <c:v>0.61447473516469509</c:v>
                </c:pt>
                <c:pt idx="670">
                  <c:v>0.60227071197709314</c:v>
                </c:pt>
                <c:pt idx="671">
                  <c:v>0.59482700301788893</c:v>
                </c:pt>
                <c:pt idx="672">
                  <c:v>0.59213171217275573</c:v>
                </c:pt>
                <c:pt idx="673">
                  <c:v>0.59417344340500244</c:v>
                </c:pt>
                <c:pt idx="674">
                  <c:v>0.60094116541600451</c:v>
                </c:pt>
                <c:pt idx="675">
                  <c:v>0.61242407639926255</c:v>
                </c:pt>
                <c:pt idx="676">
                  <c:v>0.62861147143446194</c:v>
                </c:pt>
                <c:pt idx="677">
                  <c:v>0.6494926149309711</c:v>
                </c:pt>
                <c:pt idx="678">
                  <c:v>0.67505662020799473</c:v>
                </c:pt>
                <c:pt idx="679">
                  <c:v>0.70529233784267065</c:v>
                </c:pt>
                <c:pt idx="680">
                  <c:v>0.74018825389454113</c:v>
                </c:pt>
                <c:pt idx="681">
                  <c:v>0.77973239859153598</c:v>
                </c:pt>
                <c:pt idx="682">
                  <c:v>0.82391226559229191</c:v>
                </c:pt>
                <c:pt idx="683">
                  <c:v>0.87271474155633622</c:v>
                </c:pt>
                <c:pt idx="684">
                  <c:v>0.92612604547117316</c:v>
                </c:pt>
                <c:pt idx="685">
                  <c:v>0.98413167700133453</c:v>
                </c:pt>
                <c:pt idx="686">
                  <c:v>1.0467163730260056</c:v>
                </c:pt>
                <c:pt idx="687">
                  <c:v>1.1138640715010033</c:v>
                </c:pt>
                <c:pt idx="688">
                  <c:v>1.1855578817989074</c:v>
                </c:pt>
                <c:pt idx="689">
                  <c:v>1.2617800607313301</c:v>
                </c:pt>
                <c:pt idx="690">
                  <c:v>1.3425119935259029</c:v>
                </c:pt>
                <c:pt idx="691">
                  <c:v>1.4277341791075013</c:v>
                </c:pt>
                <c:pt idx="692">
                  <c:v>1.5174262191113499</c:v>
                </c:pt>
                <c:pt idx="693">
                  <c:v>1.6115668101304428</c:v>
                </c:pt>
                <c:pt idx="694">
                  <c:v>1.7101337387686248</c:v>
                </c:pt>
                <c:pt idx="695">
                  <c:v>1.813103879132399</c:v>
                </c:pt>
                <c:pt idx="696">
                  <c:v>1.9204531924486892</c:v>
                </c:pt>
                <c:pt idx="697">
                  <c:v>2.0321567285427822</c:v>
                </c:pt>
                <c:pt idx="698">
                  <c:v>2.1481886289507908</c:v>
                </c:pt>
                <c:pt idx="699">
                  <c:v>2.2685221314751427</c:v>
                </c:pt>
                <c:pt idx="700">
                  <c:v>2.3931295760204128</c:v>
                </c:pt>
                <c:pt idx="701">
                  <c:v>2.5219824115710394</c:v>
                </c:pt>
                <c:pt idx="702">
                  <c:v>2.6550512041927892</c:v>
                </c:pt>
                <c:pt idx="703">
                  <c:v>2.7923056459568092</c:v>
                </c:pt>
                <c:pt idx="704">
                  <c:v>2.9337145646993301</c:v>
                </c:pt>
                <c:pt idx="705">
                  <c:v>3.0792459345419125</c:v>
                </c:pt>
                <c:pt idx="706">
                  <c:v>3.2288668871070549</c:v>
                </c:pt>
                <c:pt idx="707">
                  <c:v>3.3825437233722373</c:v>
                </c:pt>
                <c:pt idx="708">
                  <c:v>3.5402419261123992</c:v>
                </c:pt>
                <c:pt idx="709">
                  <c:v>3.7019261728866231</c:v>
                </c:pt>
                <c:pt idx="710">
                  <c:v>3.867560349529652</c:v>
                </c:pt>
                <c:pt idx="711">
                  <c:v>4.0371075641129393</c:v>
                </c:pt>
                <c:pt idx="712">
                  <c:v>4.2105301613433026</c:v>
                </c:pt>
                <c:pt idx="713">
                  <c:v>4.3877897373701975</c:v>
                </c:pt>
                <c:pt idx="714">
                  <c:v>4.5688471549749732</c:v>
                </c:pt>
                <c:pt idx="715">
                  <c:v>4.753662559117557</c:v>
                </c:pt>
                <c:pt idx="716">
                  <c:v>4.9421953928177498</c:v>
                </c:pt>
                <c:pt idx="717">
                  <c:v>5.1344044133497411</c:v>
                </c:pt>
                <c:pt idx="718">
                  <c:v>5.330247708729777</c:v>
                </c:pt>
                <c:pt idx="719">
                  <c:v>5.5296827144778646</c:v>
                </c:pt>
                <c:pt idx="720">
                  <c:v>5.732666230635421</c:v>
                </c:pt>
                <c:pt idx="721">
                  <c:v>5.9391544390214959</c:v>
                </c:pt>
                <c:pt idx="722">
                  <c:v>6.1491029207108783</c:v>
                </c:pt>
                <c:pt idx="723">
                  <c:v>6.3624666737179849</c:v>
                </c:pt>
                <c:pt idx="724">
                  <c:v>6.5792001308709622</c:v>
                </c:pt>
                <c:pt idx="725">
                  <c:v>6.7992571778608131</c:v>
                </c:pt>
                <c:pt idx="726">
                  <c:v>7.0225911714508689</c:v>
                </c:pt>
                <c:pt idx="727">
                  <c:v>7.2491549578321255</c:v>
                </c:pt>
                <c:pt idx="728">
                  <c:v>7.4789008911104355</c:v>
                </c:pt>
                <c:pt idx="729">
                  <c:v>7.7117808519117093</c:v>
                </c:pt>
                <c:pt idx="730">
                  <c:v>7.9477462660916025</c:v>
                </c:pt>
                <c:pt idx="731">
                  <c:v>8.1867481235364217</c:v>
                </c:pt>
                <c:pt idx="732">
                  <c:v>8.4287369970421082</c:v>
                </c:pt>
                <c:pt idx="733">
                  <c:v>8.6736630612585355</c:v>
                </c:pt>
                <c:pt idx="734">
                  <c:v>8.9214761116863777</c:v>
                </c:pt>
                <c:pt idx="735">
                  <c:v>9.1721255837141928</c:v>
                </c:pt>
                <c:pt idx="736">
                  <c:v>9.4255605716833006</c:v>
                </c:pt>
                <c:pt idx="737">
                  <c:v>9.6817298479685849</c:v>
                </c:pt>
                <c:pt idx="738">
                  <c:v>9.9405818820630909</c:v>
                </c:pt>
                <c:pt idx="739">
                  <c:v>10.202064859654893</c:v>
                </c:pt>
                <c:pt idx="740">
                  <c:v>10.466126701684626</c:v>
                </c:pt>
                <c:pt idx="741">
                  <c:v>10.732715083372295</c:v>
                </c:pt>
                <c:pt idx="742">
                  <c:v>11.001777453202276</c:v>
                </c:pt>
                <c:pt idx="743">
                  <c:v>11.273261051855492</c:v>
                </c:pt>
                <c:pt idx="744">
                  <c:v>11.547112931077994</c:v>
                </c:pt>
                <c:pt idx="745">
                  <c:v>11.823279972475335</c:v>
                </c:pt>
                <c:pt idx="746">
                  <c:v>12.101708906222386</c:v>
                </c:pt>
                <c:pt idx="747">
                  <c:v>12.382346329678315</c:v>
                </c:pt>
                <c:pt idx="748">
                  <c:v>12.665138725896812</c:v>
                </c:pt>
                <c:pt idx="749">
                  <c:v>12.950032482021763</c:v>
                </c:pt>
                <c:pt idx="750">
                  <c:v>13.236973907558745</c:v>
                </c:pt>
                <c:pt idx="751">
                  <c:v>13.525909252512951</c:v>
                </c:pt>
                <c:pt idx="752">
                  <c:v>13.816784725384602</c:v>
                </c:pt>
                <c:pt idx="753">
                  <c:v>14.109546511012571</c:v>
                </c:pt>
                <c:pt idx="754">
                  <c:v>14.404140788257815</c:v>
                </c:pt>
                <c:pt idx="755">
                  <c:v>14.700513747518038</c:v>
                </c:pt>
                <c:pt idx="756">
                  <c:v>14.998611608065239</c:v>
                </c:pt>
                <c:pt idx="757">
                  <c:v>15.298380635198312</c:v>
                </c:pt>
                <c:pt idx="758">
                  <c:v>15.599767157202741</c:v>
                </c:pt>
                <c:pt idx="759">
                  <c:v>15.90271758211</c:v>
                </c:pt>
                <c:pt idx="760">
                  <c:v>16.207178414249277</c:v>
                </c:pt>
                <c:pt idx="761">
                  <c:v>16.513096270584477</c:v>
                </c:pt>
                <c:pt idx="762">
                  <c:v>16.820417896829724</c:v>
                </c:pt>
                <c:pt idx="763">
                  <c:v>17.129090183336803</c:v>
                </c:pt>
                <c:pt idx="764">
                  <c:v>17.439060180748228</c:v>
                </c:pt>
                <c:pt idx="765">
                  <c:v>17.750275115409849</c:v>
                </c:pt>
                <c:pt idx="766">
                  <c:v>18.062682404537252</c:v>
                </c:pt>
                <c:pt idx="767">
                  <c:v>18.376229671130389</c:v>
                </c:pt>
                <c:pt idx="768">
                  <c:v>18.690864758631069</c:v>
                </c:pt>
                <c:pt idx="769">
                  <c:v>19.006535745318413</c:v>
                </c:pt>
                <c:pt idx="770">
                  <c:v>19.32319095843733</c:v>
                </c:pt>
                <c:pt idx="771">
                  <c:v>19.640778988055661</c:v>
                </c:pt>
                <c:pt idx="772">
                  <c:v>19.959248700645492</c:v>
                </c:pt>
                <c:pt idx="773">
                  <c:v>20.27854925238486</c:v>
                </c:pt>
                <c:pt idx="774">
                  <c:v>20.598630102175907</c:v>
                </c:pt>
                <c:pt idx="775">
                  <c:v>20.919441024376106</c:v>
                </c:pt>
                <c:pt idx="776">
                  <c:v>21.240932121239148</c:v>
                </c:pt>
                <c:pt idx="777">
                  <c:v>21.563053835062622</c:v>
                </c:pt>
                <c:pt idx="778">
                  <c:v>21.885756960039707</c:v>
                </c:pt>
                <c:pt idx="779">
                  <c:v>22.208992653812228</c:v>
                </c:pt>
                <c:pt idx="780">
                  <c:v>22.532712448723053</c:v>
                </c:pt>
                <c:pt idx="781">
                  <c:v>22.856868262765573</c:v>
                </c:pt>
                <c:pt idx="782">
                  <c:v>23.181412410228692</c:v>
                </c:pt>
                <c:pt idx="783">
                  <c:v>23.506297612035546</c:v>
                </c:pt>
                <c:pt idx="784">
                  <c:v>23.831477005774907</c:v>
                </c:pt>
                <c:pt idx="785">
                  <c:v>24.156904155424026</c:v>
                </c:pt>
                <c:pt idx="786">
                  <c:v>24.482533060762155</c:v>
                </c:pt>
                <c:pt idx="787">
                  <c:v>24.808318166474027</c:v>
                </c:pt>
                <c:pt idx="788">
                  <c:v>25.134214370943102</c:v>
                </c:pt>
                <c:pt idx="789">
                  <c:v>25.460177034734116</c:v>
                </c:pt>
                <c:pt idx="790">
                  <c:v>25.786161988765336</c:v>
                </c:pt>
                <c:pt idx="791">
                  <c:v>26.112125542170407</c:v>
                </c:pt>
                <c:pt idx="792">
                  <c:v>26.438024489850587</c:v>
                </c:pt>
                <c:pt idx="793">
                  <c:v>26.763816119717614</c:v>
                </c:pt>
                <c:pt idx="794">
                  <c:v>27.089458219628774</c:v>
                </c:pt>
                <c:pt idx="795">
                  <c:v>27.414909084014308</c:v>
                </c:pt>
                <c:pt idx="796">
                  <c:v>27.740127520199295</c:v>
                </c:pt>
                <c:pt idx="797">
                  <c:v>28.065072854420734</c:v>
                </c:pt>
                <c:pt idx="798">
                  <c:v>28.38970493754201</c:v>
                </c:pt>
                <c:pt idx="799">
                  <c:v>28.71398415046616</c:v>
                </c:pt>
                <c:pt idx="800">
                  <c:v>29.037871409250002</c:v>
                </c:pt>
                <c:pt idx="801">
                  <c:v>29.361328169921453</c:v>
                </c:pt>
                <c:pt idx="802">
                  <c:v>29.684316433002024</c:v>
                </c:pt>
                <c:pt idx="803">
                  <c:v>30.006798747737136</c:v>
                </c:pt>
                <c:pt idx="804">
                  <c:v>30.328738216036925</c:v>
                </c:pt>
                <c:pt idx="805">
                  <c:v>30.65009849613002</c:v>
                </c:pt>
                <c:pt idx="806">
                  <c:v>30.970843805933438</c:v>
                </c:pt>
                <c:pt idx="807">
                  <c:v>31.290938926141621</c:v>
                </c:pt>
                <c:pt idx="808">
                  <c:v>31.610349203037529</c:v>
                </c:pt>
                <c:pt idx="809">
                  <c:v>31.929040551029392</c:v>
                </c:pt>
                <c:pt idx="810">
                  <c:v>32.24697945491625</c:v>
                </c:pt>
                <c:pt idx="811">
                  <c:v>32.56413297188606</c:v>
                </c:pt>
                <c:pt idx="812">
                  <c:v>32.880468733249764</c:v>
                </c:pt>
                <c:pt idx="813">
                  <c:v>33.195954945915211</c:v>
                </c:pt>
                <c:pt idx="814">
                  <c:v>33.510560393604763</c:v>
                </c:pt>
                <c:pt idx="815">
                  <c:v>33.824254437820393</c:v>
                </c:pt>
                <c:pt idx="816">
                  <c:v>34.137007018560411</c:v>
                </c:pt>
                <c:pt idx="817">
                  <c:v>34.448788654791962</c:v>
                </c:pt>
                <c:pt idx="818">
                  <c:v>34.759570444683263</c:v>
                </c:pt>
                <c:pt idx="819">
                  <c:v>35.069324065600135</c:v>
                </c:pt>
                <c:pt idx="820">
                  <c:v>35.378021773870984</c:v>
                </c:pt>
                <c:pt idx="821">
                  <c:v>35.685636404324434</c:v>
                </c:pt>
                <c:pt idx="822">
                  <c:v>35.992141369604575</c:v>
                </c:pt>
                <c:pt idx="823">
                  <c:v>36.29751065926785</c:v>
                </c:pt>
                <c:pt idx="824">
                  <c:v>36.601718838666351</c:v>
                </c:pt>
                <c:pt idx="825">
                  <c:v>36.904741047621997</c:v>
                </c:pt>
                <c:pt idx="826">
                  <c:v>37.206552998896555</c:v>
                </c:pt>
                <c:pt idx="827">
                  <c:v>37.507130976461617</c:v>
                </c:pt>
                <c:pt idx="828">
                  <c:v>37.806451833573831</c:v>
                </c:pt>
                <c:pt idx="829">
                  <c:v>38.104492990659715</c:v>
                </c:pt>
                <c:pt idx="830">
                  <c:v>38.401232433014975</c:v>
                </c:pt>
                <c:pt idx="831">
                  <c:v>38.696648708323011</c:v>
                </c:pt>
                <c:pt idx="832">
                  <c:v>38.990720923997571</c:v>
                </c:pt>
                <c:pt idx="833">
                  <c:v>39.283428744354147</c:v>
                </c:pt>
                <c:pt idx="834">
                  <c:v>39.574752387614957</c:v>
                </c:pt>
                <c:pt idx="835">
                  <c:v>39.864672622752401</c:v>
                </c:pt>
                <c:pt idx="836">
                  <c:v>40.153170766175862</c:v>
                </c:pt>
                <c:pt idx="837">
                  <c:v>40.440228678266188</c:v>
                </c:pt>
                <c:pt idx="838">
                  <c:v>40.725828759763495</c:v>
                </c:pt>
                <c:pt idx="839">
                  <c:v>41.00995394801209</c:v>
                </c:pt>
                <c:pt idx="840">
                  <c:v>41.29258771306786</c:v>
                </c:pt>
                <c:pt idx="841">
                  <c:v>41.573714053673029</c:v>
                </c:pt>
                <c:pt idx="842">
                  <c:v>41.853317493102239</c:v>
                </c:pt>
                <c:pt idx="843">
                  <c:v>42.131383074885527</c:v>
                </c:pt>
                <c:pt idx="844">
                  <c:v>42.407896358412216</c:v>
                </c:pt>
                <c:pt idx="845">
                  <c:v>42.682843414420617</c:v>
                </c:pt>
                <c:pt idx="846">
                  <c:v>42.956210820378182</c:v>
                </c:pt>
                <c:pt idx="847">
                  <c:v>43.227985655756548</c:v>
                </c:pt>
                <c:pt idx="848">
                  <c:v>43.498155497206</c:v>
                </c:pt>
                <c:pt idx="849">
                  <c:v>43.766708413633907</c:v>
                </c:pt>
                <c:pt idx="850">
                  <c:v>44.033632961191522</c:v>
                </c:pt>
                <c:pt idx="851">
                  <c:v>44.298918178173452</c:v>
                </c:pt>
                <c:pt idx="852">
                  <c:v>44.562553579834351</c:v>
                </c:pt>
                <c:pt idx="853">
                  <c:v>44.824529153126875</c:v>
                </c:pt>
                <c:pt idx="854">
                  <c:v>45.084835351365321</c:v>
                </c:pt>
                <c:pt idx="855">
                  <c:v>45.343463088818972</c:v>
                </c:pt>
                <c:pt idx="856">
                  <c:v>45.600403735239439</c:v>
                </c:pt>
                <c:pt idx="857">
                  <c:v>45.855649110325949</c:v>
                </c:pt>
                <c:pt idx="858">
                  <c:v>46.109191478132651</c:v>
                </c:pt>
                <c:pt idx="859">
                  <c:v>46.361023541421815</c:v>
                </c:pt>
                <c:pt idx="860">
                  <c:v>46.611138435966765</c:v>
                </c:pt>
                <c:pt idx="861">
                  <c:v>46.859529724808745</c:v>
                </c:pt>
                <c:pt idx="862">
                  <c:v>47.106191392470841</c:v>
                </c:pt>
                <c:pt idx="863">
                  <c:v>47.351117839133217</c:v>
                </c:pt>
                <c:pt idx="864">
                  <c:v>47.594303874772848</c:v>
                </c:pt>
                <c:pt idx="865">
                  <c:v>47.835744713271829</c:v>
                </c:pt>
                <c:pt idx="866">
                  <c:v>48.075435966497245</c:v>
                </c:pt>
                <c:pt idx="867">
                  <c:v>48.313373638356026</c:v>
                </c:pt>
                <c:pt idx="868">
                  <c:v>48.549554118828844</c:v>
                </c:pt>
                <c:pt idx="869">
                  <c:v>48.783974177985222</c:v>
                </c:pt>
                <c:pt idx="870">
                  <c:v>49.016630959984127</c:v>
                </c:pt>
                <c:pt idx="871">
                  <c:v>49.24752197706249</c:v>
                </c:pt>
                <c:pt idx="872">
                  <c:v>49.476645103514855</c:v>
                </c:pt>
                <c:pt idx="873">
                  <c:v>49.703998569667569</c:v>
                </c:pt>
                <c:pt idx="874">
                  <c:v>49.929580955849673</c:v>
                </c:pt>
                <c:pt idx="875">
                  <c:v>50.153391186364253</c:v>
                </c:pt>
                <c:pt idx="876">
                  <c:v>50.375428523461999</c:v>
                </c:pt>
                <c:pt idx="877">
                  <c:v>50.595692561320831</c:v>
                </c:pt>
                <c:pt idx="878">
                  <c:v>50.814183220033151</c:v>
                </c:pt>
                <c:pt idx="879">
                  <c:v>51.030900739603943</c:v>
                </c:pt>
                <c:pt idx="880">
                  <c:v>51.245845673962101</c:v>
                </c:pt>
                <c:pt idx="881">
                  <c:v>51.459018884987259</c:v>
                </c:pt>
                <c:pt idx="882">
                  <c:v>51.670421536554393</c:v>
                </c:pt>
                <c:pt idx="883">
                  <c:v>51.880055088599001</c:v>
                </c:pt>
                <c:pt idx="884">
                  <c:v>52.087921291204246</c:v>
                </c:pt>
                <c:pt idx="885">
                  <c:v>52.294022178713057</c:v>
                </c:pt>
                <c:pt idx="886">
                  <c:v>52.498360063866429</c:v>
                </c:pt>
                <c:pt idx="887">
                  <c:v>52.700937531970638</c:v>
                </c:pt>
                <c:pt idx="888">
                  <c:v>52.901757435094993</c:v>
                </c:pt>
                <c:pt idx="889">
                  <c:v>53.100822886301742</c:v>
                </c:pt>
                <c:pt idx="890">
                  <c:v>53.298137253910468</c:v>
                </c:pt>
                <c:pt idx="891">
                  <c:v>53.493704155798149</c:v>
                </c:pt>
                <c:pt idx="892">
                  <c:v>53.687527453737012</c:v>
                </c:pt>
                <c:pt idx="893">
                  <c:v>53.87961124777145</c:v>
                </c:pt>
                <c:pt idx="894">
                  <c:v>54.069959870635685</c:v>
                </c:pt>
                <c:pt idx="895">
                  <c:v>54.258577882213771</c:v>
                </c:pt>
                <c:pt idx="896">
                  <c:v>54.44547006404283</c:v>
                </c:pt>
                <c:pt idx="897">
                  <c:v>54.63064141386166</c:v>
                </c:pt>
                <c:pt idx="898">
                  <c:v>54.814097140205334</c:v>
                </c:pt>
                <c:pt idx="899">
                  <c:v>54.995842657047213</c:v>
                </c:pt>
                <c:pt idx="900">
                  <c:v>55.175883578489803</c:v>
                </c:pt>
                <c:pt idx="901">
                  <c:v>55.354225713505016</c:v>
                </c:pt>
                <c:pt idx="902">
                  <c:v>55.53087506072567</c:v>
                </c:pt>
                <c:pt idx="903">
                  <c:v>55.70583780328829</c:v>
                </c:pt>
                <c:pt idx="904">
                  <c:v>55.879120303728847</c:v>
                </c:pt>
                <c:pt idx="905">
                  <c:v>56.050729098932329</c:v>
                </c:pt>
                <c:pt idx="906">
                  <c:v>56.220670895136209</c:v>
                </c:pt>
                <c:pt idx="907">
                  <c:v>56.38895256298968</c:v>
                </c:pt>
                <c:pt idx="908">
                  <c:v>56.555581132668536</c:v>
                </c:pt>
                <c:pt idx="909">
                  <c:v>56.720563789046707</c:v>
                </c:pt>
                <c:pt idx="910">
                  <c:v>56.883907866925256</c:v>
                </c:pt>
                <c:pt idx="911">
                  <c:v>57.045620846318926</c:v>
                </c:pt>
                <c:pt idx="912">
                  <c:v>57.205710347801272</c:v>
                </c:pt>
                <c:pt idx="913">
                  <c:v>57.36418412790875</c:v>
                </c:pt>
                <c:pt idx="914">
                  <c:v>57.521050074603856</c:v>
                </c:pt>
                <c:pt idx="915">
                  <c:v>57.676316202798212</c:v>
                </c:pt>
                <c:pt idx="916">
                  <c:v>57.829990649935645</c:v>
                </c:pt>
                <c:pt idx="917">
                  <c:v>57.98208167163579</c:v>
                </c:pt>
                <c:pt idx="918">
                  <c:v>58.132597637398241</c:v>
                </c:pt>
                <c:pt idx="919">
                  <c:v>58.281547026367647</c:v>
                </c:pt>
                <c:pt idx="920">
                  <c:v>58.428938423159963</c:v>
                </c:pt>
                <c:pt idx="921">
                  <c:v>58.574780513750206</c:v>
                </c:pt>
                <c:pt idx="922">
                  <c:v>58.719082081421156</c:v>
                </c:pt>
                <c:pt idx="923">
                  <c:v>58.861852002774022</c:v>
                </c:pt>
                <c:pt idx="924">
                  <c:v>59.003099243800484</c:v>
                </c:pt>
                <c:pt idx="925">
                  <c:v>59.142832856016284</c:v>
                </c:pt>
                <c:pt idx="926">
                  <c:v>59.281061972656524</c:v>
                </c:pt>
                <c:pt idx="927">
                  <c:v>59.417795804932425</c:v>
                </c:pt>
                <c:pt idx="928">
                  <c:v>59.553043638349727</c:v>
                </c:pt>
                <c:pt idx="929">
                  <c:v>59.686814829088249</c:v>
                </c:pt>
                <c:pt idx="930">
                  <c:v>59.819118800442858</c:v>
                </c:pt>
                <c:pt idx="931">
                  <c:v>59.949965039325555</c:v>
                </c:pt>
                <c:pt idx="932">
                  <c:v>60.079363092828281</c:v>
                </c:pt>
                <c:pt idx="933">
                  <c:v>60.207322564846905</c:v>
                </c:pt>
                <c:pt idx="934">
                  <c:v>60.333853112765205</c:v>
                </c:pt>
                <c:pt idx="935">
                  <c:v>60.458964444199253</c:v>
                </c:pt>
                <c:pt idx="936">
                  <c:v>60.582666313802015</c:v>
                </c:pt>
                <c:pt idx="937">
                  <c:v>60.704968520127402</c:v>
                </c:pt>
                <c:pt idx="938">
                  <c:v>60.825880902553479</c:v>
                </c:pt>
                <c:pt idx="939">
                  <c:v>60.945413338265212</c:v>
                </c:pt>
                <c:pt idx="940">
                  <c:v>61.063575739295267</c:v>
                </c:pt>
                <c:pt idx="941">
                  <c:v>61.180378049623727</c:v>
                </c:pt>
                <c:pt idx="942">
                  <c:v>61.295830242334972</c:v>
                </c:pt>
                <c:pt idx="943">
                  <c:v>61.409942316832804</c:v>
                </c:pt>
                <c:pt idx="944">
                  <c:v>61.52272429611196</c:v>
                </c:pt>
                <c:pt idx="945">
                  <c:v>61.634186224086775</c:v>
                </c:pt>
                <c:pt idx="946">
                  <c:v>61.744338162975474</c:v>
                </c:pt>
                <c:pt idx="947">
                  <c:v>61.853190190740591</c:v>
                </c:pt>
                <c:pt idx="948">
                  <c:v>61.960752398584454</c:v>
                </c:pt>
                <c:pt idx="949">
                  <c:v>62.067034888499158</c:v>
                </c:pt>
                <c:pt idx="950">
                  <c:v>62.172047770871131</c:v>
                </c:pt>
                <c:pt idx="951">
                  <c:v>62.275801162138954</c:v>
                </c:pt>
                <c:pt idx="952">
                  <c:v>62.378305182504711</c:v>
                </c:pt>
                <c:pt idx="953">
                  <c:v>62.479569953697634</c:v>
                </c:pt>
                <c:pt idx="954">
                  <c:v>62.57960559679011</c:v>
                </c:pt>
                <c:pt idx="955">
                  <c:v>62.678422230065024</c:v>
                </c:pt>
                <c:pt idx="956">
                  <c:v>62.776029966933891</c:v>
                </c:pt>
                <c:pt idx="957">
                  <c:v>62.872438913905761</c:v>
                </c:pt>
                <c:pt idx="958">
                  <c:v>62.9676591686056</c:v>
                </c:pt>
                <c:pt idx="959">
                  <c:v>63.061700817841967</c:v>
                </c:pt>
                <c:pt idx="960">
                  <c:v>63.154573935723455</c:v>
                </c:pt>
                <c:pt idx="961">
                  <c:v>63.246288581822881</c:v>
                </c:pt>
                <c:pt idx="962">
                  <c:v>63.336854799389045</c:v>
                </c:pt>
                <c:pt idx="963">
                  <c:v>63.426282613605458</c:v>
                </c:pt>
                <c:pt idx="964">
                  <c:v>63.514582029895088</c:v>
                </c:pt>
                <c:pt idx="965">
                  <c:v>63.601763032270647</c:v>
                </c:pt>
                <c:pt idx="966">
                  <c:v>63.687835581730162</c:v>
                </c:pt>
                <c:pt idx="967">
                  <c:v>63.772809614696669</c:v>
                </c:pt>
                <c:pt idx="968">
                  <c:v>63.856695041501709</c:v>
                </c:pt>
                <c:pt idx="969">
                  <c:v>63.939501744912043</c:v>
                </c:pt>
                <c:pt idx="970">
                  <c:v>64.021239578698811</c:v>
                </c:pt>
                <c:pt idx="971">
                  <c:v>64.101918366248455</c:v>
                </c:pt>
                <c:pt idx="972">
                  <c:v>64.181547899215488</c:v>
                </c:pt>
                <c:pt idx="973">
                  <c:v>64.260137936214861</c:v>
                </c:pt>
                <c:pt idx="974">
                  <c:v>64.337698201555497</c:v>
                </c:pt>
                <c:pt idx="975">
                  <c:v>64.414238384012421</c:v>
                </c:pt>
                <c:pt idx="976">
                  <c:v>64.489768135638187</c:v>
                </c:pt>
                <c:pt idx="977">
                  <c:v>64.564297070612042</c:v>
                </c:pt>
                <c:pt idx="978">
                  <c:v>64.637834764127007</c:v>
                </c:pt>
                <c:pt idx="979">
                  <c:v>64.63790728382898</c:v>
                </c:pt>
                <c:pt idx="980">
                  <c:v>64.637979802562171</c:v>
                </c:pt>
                <c:pt idx="981">
                  <c:v>64.638052320326551</c:v>
                </c:pt>
                <c:pt idx="982">
                  <c:v>64.638124837122149</c:v>
                </c:pt>
                <c:pt idx="983">
                  <c:v>64.638197352949007</c:v>
                </c:pt>
                <c:pt idx="984">
                  <c:v>64.63826986780704</c:v>
                </c:pt>
                <c:pt idx="985">
                  <c:v>64.638342381696305</c:v>
                </c:pt>
                <c:pt idx="986">
                  <c:v>64.638414894616872</c:v>
                </c:pt>
                <c:pt idx="987">
                  <c:v>64.638487406568629</c:v>
                </c:pt>
                <c:pt idx="988">
                  <c:v>64.638559917551703</c:v>
                </c:pt>
                <c:pt idx="989">
                  <c:v>64.638632427565994</c:v>
                </c:pt>
                <c:pt idx="990">
                  <c:v>64.638704936611617</c:v>
                </c:pt>
                <c:pt idx="991">
                  <c:v>64.638777444688515</c:v>
                </c:pt>
                <c:pt idx="992">
                  <c:v>64.638849951796743</c:v>
                </c:pt>
                <c:pt idx="993">
                  <c:v>64.638922457936246</c:v>
                </c:pt>
                <c:pt idx="994">
                  <c:v>64.638994963107123</c:v>
                </c:pt>
                <c:pt idx="995">
                  <c:v>64.639067467309246</c:v>
                </c:pt>
                <c:pt idx="996">
                  <c:v>64.639139970542772</c:v>
                </c:pt>
                <c:pt idx="997">
                  <c:v>64.639212472807657</c:v>
                </c:pt>
                <c:pt idx="998">
                  <c:v>64.639284974103887</c:v>
                </c:pt>
                <c:pt idx="999">
                  <c:v>64.639357474431492</c:v>
                </c:pt>
                <c:pt idx="1000">
                  <c:v>64.639429973790456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4-48D6-934B-5D8E0316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00672"/>
        <c:axId val="149502592"/>
      </c:scatterChart>
      <c:valAx>
        <c:axId val="1495006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502592"/>
        <c:crosses val="autoZero"/>
        <c:crossBetween val="midCat"/>
      </c:valAx>
      <c:valAx>
        <c:axId val="14950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Forces [N]</a:t>
                </a:r>
              </a:p>
            </c:rich>
          </c:tx>
          <c:layout>
            <c:manualLayout>
              <c:xMode val="edge"/>
              <c:yMode val="edge"/>
              <c:x val="2.0047169811320761E-2"/>
              <c:y val="0.33333438320209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500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018929827167842"/>
          <c:y val="0.34444479440069992"/>
          <c:w val="0.13050326845936713"/>
          <c:h val="0.22888888888888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Courbes!$B$140</c:f>
          <c:strCache>
            <c:ptCount val="1"/>
            <c:pt idx="0">
              <c:v>Vitesse</c:v>
            </c:pt>
          </c:strCache>
        </c:strRef>
      </c:tx>
      <c:overlay val="1"/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495283018867926"/>
          <c:y val="9.4771544282144501E-2"/>
          <c:w val="0.87617924528302116"/>
          <c:h val="0.74183243282920064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Courbes!$B$140</c:f>
              <c:strCache>
                <c:ptCount val="1"/>
                <c:pt idx="0">
                  <c:v>Vitesse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5.0999999999999375</c:v>
                </c:pt>
                <c:pt idx="502">
                  <c:v>5.1999999999999371</c:v>
                </c:pt>
                <c:pt idx="503">
                  <c:v>5.2999999999999368</c:v>
                </c:pt>
                <c:pt idx="504">
                  <c:v>5.3999999999999364</c:v>
                </c:pt>
                <c:pt idx="505">
                  <c:v>5.4999999999999361</c:v>
                </c:pt>
                <c:pt idx="506">
                  <c:v>5.5999999999999357</c:v>
                </c:pt>
                <c:pt idx="507">
                  <c:v>5.6999999999999353</c:v>
                </c:pt>
                <c:pt idx="508">
                  <c:v>5.799999999999935</c:v>
                </c:pt>
                <c:pt idx="509">
                  <c:v>5.8999999999999346</c:v>
                </c:pt>
                <c:pt idx="510">
                  <c:v>5.9999999999999343</c:v>
                </c:pt>
                <c:pt idx="511">
                  <c:v>6.0999999999999339</c:v>
                </c:pt>
                <c:pt idx="512">
                  <c:v>6.1999999999999336</c:v>
                </c:pt>
                <c:pt idx="513">
                  <c:v>6.2999999999999332</c:v>
                </c:pt>
                <c:pt idx="514">
                  <c:v>6.3999999999999329</c:v>
                </c:pt>
                <c:pt idx="515">
                  <c:v>6.4999999999999325</c:v>
                </c:pt>
                <c:pt idx="516">
                  <c:v>6.5999999999999321</c:v>
                </c:pt>
                <c:pt idx="517">
                  <c:v>6.6999999999999318</c:v>
                </c:pt>
                <c:pt idx="518">
                  <c:v>6.7999999999999314</c:v>
                </c:pt>
                <c:pt idx="519">
                  <c:v>6.8999999999999311</c:v>
                </c:pt>
                <c:pt idx="520">
                  <c:v>6.9999999999999307</c:v>
                </c:pt>
                <c:pt idx="521">
                  <c:v>7.0999999999999304</c:v>
                </c:pt>
                <c:pt idx="522">
                  <c:v>7.19999999999993</c:v>
                </c:pt>
                <c:pt idx="523">
                  <c:v>7.2999999999999297</c:v>
                </c:pt>
                <c:pt idx="524">
                  <c:v>7.3999999999999293</c:v>
                </c:pt>
                <c:pt idx="525">
                  <c:v>7.4999999999999289</c:v>
                </c:pt>
                <c:pt idx="526">
                  <c:v>7.5999999999999286</c:v>
                </c:pt>
                <c:pt idx="527">
                  <c:v>7.6999999999999282</c:v>
                </c:pt>
                <c:pt idx="528">
                  <c:v>7.7999999999999279</c:v>
                </c:pt>
                <c:pt idx="529">
                  <c:v>7.8999999999999275</c:v>
                </c:pt>
                <c:pt idx="530">
                  <c:v>7.9999999999999272</c:v>
                </c:pt>
                <c:pt idx="531">
                  <c:v>8.0999999999999268</c:v>
                </c:pt>
                <c:pt idx="532">
                  <c:v>8.1999999999999265</c:v>
                </c:pt>
                <c:pt idx="533">
                  <c:v>8.2999999999999261</c:v>
                </c:pt>
                <c:pt idx="534">
                  <c:v>8.3999999999999257</c:v>
                </c:pt>
                <c:pt idx="535">
                  <c:v>8.4999999999999254</c:v>
                </c:pt>
                <c:pt idx="536">
                  <c:v>8.599999999999925</c:v>
                </c:pt>
                <c:pt idx="537">
                  <c:v>8.6999999999999247</c:v>
                </c:pt>
                <c:pt idx="538">
                  <c:v>8.7999999999999243</c:v>
                </c:pt>
                <c:pt idx="539">
                  <c:v>8.899999999999924</c:v>
                </c:pt>
                <c:pt idx="540">
                  <c:v>8.9999999999999236</c:v>
                </c:pt>
                <c:pt idx="541">
                  <c:v>9.0999999999999233</c:v>
                </c:pt>
                <c:pt idx="542">
                  <c:v>9.1999999999999229</c:v>
                </c:pt>
                <c:pt idx="543">
                  <c:v>9.2999999999999226</c:v>
                </c:pt>
                <c:pt idx="544">
                  <c:v>9.3999999999999222</c:v>
                </c:pt>
                <c:pt idx="545">
                  <c:v>9.4999999999999218</c:v>
                </c:pt>
                <c:pt idx="546">
                  <c:v>9.5999999999999215</c:v>
                </c:pt>
                <c:pt idx="547">
                  <c:v>9.6999999999999211</c:v>
                </c:pt>
                <c:pt idx="548">
                  <c:v>9.7999999999999208</c:v>
                </c:pt>
                <c:pt idx="549">
                  <c:v>9.8999999999999204</c:v>
                </c:pt>
                <c:pt idx="550">
                  <c:v>9.9999999999999201</c:v>
                </c:pt>
                <c:pt idx="551">
                  <c:v>10.09999999999992</c:v>
                </c:pt>
                <c:pt idx="552">
                  <c:v>10.199999999999919</c:v>
                </c:pt>
                <c:pt idx="553">
                  <c:v>10.299999999999919</c:v>
                </c:pt>
                <c:pt idx="554">
                  <c:v>10.399999999999919</c:v>
                </c:pt>
                <c:pt idx="555">
                  <c:v>10.499999999999918</c:v>
                </c:pt>
                <c:pt idx="556">
                  <c:v>10.599999999999918</c:v>
                </c:pt>
                <c:pt idx="557">
                  <c:v>10.699999999999918</c:v>
                </c:pt>
                <c:pt idx="558">
                  <c:v>10.799999999999917</c:v>
                </c:pt>
                <c:pt idx="559">
                  <c:v>10.899999999999917</c:v>
                </c:pt>
                <c:pt idx="560">
                  <c:v>10.999999999999917</c:v>
                </c:pt>
                <c:pt idx="561">
                  <c:v>11.099999999999916</c:v>
                </c:pt>
                <c:pt idx="562">
                  <c:v>11.199999999999916</c:v>
                </c:pt>
                <c:pt idx="563">
                  <c:v>11.299999999999915</c:v>
                </c:pt>
                <c:pt idx="564">
                  <c:v>11.399999999999915</c:v>
                </c:pt>
                <c:pt idx="565">
                  <c:v>11.499999999999915</c:v>
                </c:pt>
                <c:pt idx="566">
                  <c:v>11.599999999999914</c:v>
                </c:pt>
                <c:pt idx="567">
                  <c:v>11.699999999999914</c:v>
                </c:pt>
                <c:pt idx="568">
                  <c:v>11.799999999999914</c:v>
                </c:pt>
                <c:pt idx="569">
                  <c:v>11.899999999999913</c:v>
                </c:pt>
                <c:pt idx="570">
                  <c:v>11.999999999999913</c:v>
                </c:pt>
                <c:pt idx="571">
                  <c:v>12.099999999999913</c:v>
                </c:pt>
                <c:pt idx="572">
                  <c:v>12.199999999999912</c:v>
                </c:pt>
                <c:pt idx="573">
                  <c:v>12.299999999999912</c:v>
                </c:pt>
                <c:pt idx="574">
                  <c:v>12.399999999999912</c:v>
                </c:pt>
                <c:pt idx="575">
                  <c:v>12.499999999999911</c:v>
                </c:pt>
                <c:pt idx="576">
                  <c:v>12.599999999999911</c:v>
                </c:pt>
                <c:pt idx="577">
                  <c:v>12.69999999999991</c:v>
                </c:pt>
                <c:pt idx="578">
                  <c:v>12.79999999999991</c:v>
                </c:pt>
                <c:pt idx="579">
                  <c:v>12.89999999999991</c:v>
                </c:pt>
                <c:pt idx="580">
                  <c:v>12.999999999999909</c:v>
                </c:pt>
                <c:pt idx="581">
                  <c:v>13.099999999999909</c:v>
                </c:pt>
                <c:pt idx="582">
                  <c:v>13.199999999999909</c:v>
                </c:pt>
                <c:pt idx="583">
                  <c:v>13.299999999999908</c:v>
                </c:pt>
                <c:pt idx="584">
                  <c:v>13.399999999999908</c:v>
                </c:pt>
                <c:pt idx="585">
                  <c:v>13.499999999999908</c:v>
                </c:pt>
                <c:pt idx="586">
                  <c:v>13.599999999999907</c:v>
                </c:pt>
                <c:pt idx="587">
                  <c:v>13.699999999999907</c:v>
                </c:pt>
                <c:pt idx="588">
                  <c:v>13.799999999999907</c:v>
                </c:pt>
                <c:pt idx="589">
                  <c:v>13.899999999999906</c:v>
                </c:pt>
                <c:pt idx="590">
                  <c:v>13.999999999999906</c:v>
                </c:pt>
                <c:pt idx="591">
                  <c:v>14.099999999999905</c:v>
                </c:pt>
                <c:pt idx="592">
                  <c:v>14.199999999999905</c:v>
                </c:pt>
                <c:pt idx="593">
                  <c:v>14.299999999999905</c:v>
                </c:pt>
                <c:pt idx="594">
                  <c:v>14.399999999999904</c:v>
                </c:pt>
                <c:pt idx="595">
                  <c:v>14.499999999999904</c:v>
                </c:pt>
                <c:pt idx="596">
                  <c:v>14.599999999999904</c:v>
                </c:pt>
                <c:pt idx="597">
                  <c:v>14.699999999999903</c:v>
                </c:pt>
                <c:pt idx="598">
                  <c:v>14.799999999999903</c:v>
                </c:pt>
                <c:pt idx="599">
                  <c:v>14.899999999999903</c:v>
                </c:pt>
                <c:pt idx="600">
                  <c:v>14.999999999999902</c:v>
                </c:pt>
                <c:pt idx="601">
                  <c:v>15.099999999999902</c:v>
                </c:pt>
                <c:pt idx="602">
                  <c:v>15.199999999999902</c:v>
                </c:pt>
                <c:pt idx="603">
                  <c:v>15.299999999999901</c:v>
                </c:pt>
                <c:pt idx="604">
                  <c:v>15.399999999999901</c:v>
                </c:pt>
                <c:pt idx="605">
                  <c:v>15.499999999999901</c:v>
                </c:pt>
                <c:pt idx="606">
                  <c:v>15.5999999999999</c:v>
                </c:pt>
                <c:pt idx="607">
                  <c:v>15.6999999999999</c:v>
                </c:pt>
                <c:pt idx="608">
                  <c:v>15.799999999999899</c:v>
                </c:pt>
                <c:pt idx="609">
                  <c:v>15.899999999999899</c:v>
                </c:pt>
                <c:pt idx="610">
                  <c:v>15.999999999999899</c:v>
                </c:pt>
                <c:pt idx="611">
                  <c:v>16.099999999999898</c:v>
                </c:pt>
                <c:pt idx="612">
                  <c:v>16.1999999999999</c:v>
                </c:pt>
                <c:pt idx="613">
                  <c:v>16.299999999999901</c:v>
                </c:pt>
                <c:pt idx="614">
                  <c:v>16.399999999999903</c:v>
                </c:pt>
                <c:pt idx="615">
                  <c:v>16.499999999999904</c:v>
                </c:pt>
                <c:pt idx="616">
                  <c:v>16.599999999999905</c:v>
                </c:pt>
                <c:pt idx="617">
                  <c:v>16.699999999999907</c:v>
                </c:pt>
                <c:pt idx="618">
                  <c:v>16.799999999999908</c:v>
                </c:pt>
                <c:pt idx="619">
                  <c:v>16.89999999999991</c:v>
                </c:pt>
                <c:pt idx="620">
                  <c:v>16.999999999999911</c:v>
                </c:pt>
                <c:pt idx="621">
                  <c:v>17.099999999999913</c:v>
                </c:pt>
                <c:pt idx="622">
                  <c:v>17.199999999999914</c:v>
                </c:pt>
                <c:pt idx="623">
                  <c:v>17.299999999999915</c:v>
                </c:pt>
                <c:pt idx="624">
                  <c:v>17.399999999999917</c:v>
                </c:pt>
                <c:pt idx="625">
                  <c:v>17.499999999999918</c:v>
                </c:pt>
                <c:pt idx="626">
                  <c:v>17.59999999999992</c:v>
                </c:pt>
                <c:pt idx="627">
                  <c:v>17.699999999999921</c:v>
                </c:pt>
                <c:pt idx="628">
                  <c:v>17.799999999999923</c:v>
                </c:pt>
                <c:pt idx="629">
                  <c:v>17.899999999999924</c:v>
                </c:pt>
                <c:pt idx="630">
                  <c:v>17.999999999999925</c:v>
                </c:pt>
                <c:pt idx="631">
                  <c:v>18.099999999999927</c:v>
                </c:pt>
                <c:pt idx="632">
                  <c:v>18.199999999999928</c:v>
                </c:pt>
                <c:pt idx="633">
                  <c:v>18.29999999999993</c:v>
                </c:pt>
                <c:pt idx="634">
                  <c:v>18.399999999999931</c:v>
                </c:pt>
                <c:pt idx="635">
                  <c:v>18.499999999999932</c:v>
                </c:pt>
                <c:pt idx="636">
                  <c:v>18.599999999999934</c:v>
                </c:pt>
                <c:pt idx="637">
                  <c:v>18.699999999999935</c:v>
                </c:pt>
                <c:pt idx="638">
                  <c:v>18.799999999999937</c:v>
                </c:pt>
                <c:pt idx="639">
                  <c:v>18.899999999999938</c:v>
                </c:pt>
                <c:pt idx="640">
                  <c:v>18.99999999999994</c:v>
                </c:pt>
                <c:pt idx="641">
                  <c:v>19.099999999999941</c:v>
                </c:pt>
                <c:pt idx="642">
                  <c:v>19.199999999999942</c:v>
                </c:pt>
                <c:pt idx="643">
                  <c:v>19.299999999999944</c:v>
                </c:pt>
                <c:pt idx="644">
                  <c:v>19.399999999999945</c:v>
                </c:pt>
                <c:pt idx="645">
                  <c:v>19.499999999999947</c:v>
                </c:pt>
                <c:pt idx="646">
                  <c:v>19.599999999999948</c:v>
                </c:pt>
                <c:pt idx="647">
                  <c:v>19.69999999999995</c:v>
                </c:pt>
                <c:pt idx="648">
                  <c:v>19.799999999999951</c:v>
                </c:pt>
                <c:pt idx="649">
                  <c:v>19.899999999999952</c:v>
                </c:pt>
                <c:pt idx="650">
                  <c:v>19.999999999999954</c:v>
                </c:pt>
                <c:pt idx="651">
                  <c:v>20.099999999999955</c:v>
                </c:pt>
                <c:pt idx="652">
                  <c:v>20.199999999999957</c:v>
                </c:pt>
                <c:pt idx="653">
                  <c:v>20.299999999999958</c:v>
                </c:pt>
                <c:pt idx="654">
                  <c:v>20.399999999999959</c:v>
                </c:pt>
                <c:pt idx="655">
                  <c:v>20.499999999999961</c:v>
                </c:pt>
                <c:pt idx="656">
                  <c:v>20.599999999999962</c:v>
                </c:pt>
                <c:pt idx="657">
                  <c:v>20.699999999999964</c:v>
                </c:pt>
                <c:pt idx="658">
                  <c:v>20.799999999999965</c:v>
                </c:pt>
                <c:pt idx="659">
                  <c:v>20.899999999999967</c:v>
                </c:pt>
                <c:pt idx="660">
                  <c:v>20.999999999999968</c:v>
                </c:pt>
                <c:pt idx="661">
                  <c:v>21.099999999999969</c:v>
                </c:pt>
                <c:pt idx="662">
                  <c:v>21.199999999999971</c:v>
                </c:pt>
                <c:pt idx="663">
                  <c:v>21.299999999999972</c:v>
                </c:pt>
                <c:pt idx="664">
                  <c:v>21.399999999999974</c:v>
                </c:pt>
                <c:pt idx="665">
                  <c:v>21.499999999999975</c:v>
                </c:pt>
                <c:pt idx="666">
                  <c:v>21.599999999999977</c:v>
                </c:pt>
                <c:pt idx="667">
                  <c:v>21.699999999999978</c:v>
                </c:pt>
                <c:pt idx="668">
                  <c:v>21.799999999999979</c:v>
                </c:pt>
                <c:pt idx="669">
                  <c:v>21.899999999999981</c:v>
                </c:pt>
                <c:pt idx="670">
                  <c:v>21.999999999999982</c:v>
                </c:pt>
                <c:pt idx="671">
                  <c:v>22.099999999999984</c:v>
                </c:pt>
                <c:pt idx="672">
                  <c:v>22.199999999999985</c:v>
                </c:pt>
                <c:pt idx="673">
                  <c:v>22.299999999999986</c:v>
                </c:pt>
                <c:pt idx="674">
                  <c:v>22.399999999999988</c:v>
                </c:pt>
                <c:pt idx="675">
                  <c:v>22.499999999999989</c:v>
                </c:pt>
                <c:pt idx="676">
                  <c:v>22.599999999999991</c:v>
                </c:pt>
                <c:pt idx="677">
                  <c:v>22.699999999999992</c:v>
                </c:pt>
                <c:pt idx="678">
                  <c:v>22.799999999999994</c:v>
                </c:pt>
                <c:pt idx="679">
                  <c:v>22.899999999999995</c:v>
                </c:pt>
                <c:pt idx="680">
                  <c:v>22.999999999999996</c:v>
                </c:pt>
                <c:pt idx="681">
                  <c:v>23.099999999999998</c:v>
                </c:pt>
                <c:pt idx="682">
                  <c:v>23.2</c:v>
                </c:pt>
                <c:pt idx="683">
                  <c:v>23.3</c:v>
                </c:pt>
                <c:pt idx="684">
                  <c:v>23.400000000000002</c:v>
                </c:pt>
                <c:pt idx="685">
                  <c:v>23.500000000000004</c:v>
                </c:pt>
                <c:pt idx="686">
                  <c:v>23.600000000000005</c:v>
                </c:pt>
                <c:pt idx="687">
                  <c:v>23.700000000000006</c:v>
                </c:pt>
                <c:pt idx="688">
                  <c:v>23.800000000000008</c:v>
                </c:pt>
                <c:pt idx="689">
                  <c:v>23.900000000000009</c:v>
                </c:pt>
                <c:pt idx="690">
                  <c:v>24.000000000000011</c:v>
                </c:pt>
                <c:pt idx="691">
                  <c:v>24.100000000000012</c:v>
                </c:pt>
                <c:pt idx="692">
                  <c:v>24.200000000000014</c:v>
                </c:pt>
                <c:pt idx="693">
                  <c:v>24.300000000000015</c:v>
                </c:pt>
                <c:pt idx="694">
                  <c:v>24.400000000000016</c:v>
                </c:pt>
                <c:pt idx="695">
                  <c:v>24.500000000000018</c:v>
                </c:pt>
                <c:pt idx="696">
                  <c:v>24.600000000000019</c:v>
                </c:pt>
                <c:pt idx="697">
                  <c:v>24.700000000000021</c:v>
                </c:pt>
                <c:pt idx="698">
                  <c:v>24.800000000000022</c:v>
                </c:pt>
                <c:pt idx="699">
                  <c:v>24.900000000000023</c:v>
                </c:pt>
                <c:pt idx="700">
                  <c:v>25.000000000000025</c:v>
                </c:pt>
                <c:pt idx="701">
                  <c:v>25.100000000000026</c:v>
                </c:pt>
                <c:pt idx="702">
                  <c:v>25.200000000000028</c:v>
                </c:pt>
                <c:pt idx="703">
                  <c:v>25.300000000000029</c:v>
                </c:pt>
                <c:pt idx="704">
                  <c:v>25.400000000000031</c:v>
                </c:pt>
                <c:pt idx="705">
                  <c:v>25.500000000000032</c:v>
                </c:pt>
                <c:pt idx="706">
                  <c:v>25.600000000000033</c:v>
                </c:pt>
                <c:pt idx="707">
                  <c:v>25.700000000000035</c:v>
                </c:pt>
                <c:pt idx="708">
                  <c:v>25.800000000000036</c:v>
                </c:pt>
                <c:pt idx="709">
                  <c:v>25.900000000000038</c:v>
                </c:pt>
                <c:pt idx="710">
                  <c:v>26.000000000000039</c:v>
                </c:pt>
                <c:pt idx="711">
                  <c:v>26.100000000000041</c:v>
                </c:pt>
                <c:pt idx="712">
                  <c:v>26.200000000000042</c:v>
                </c:pt>
                <c:pt idx="713">
                  <c:v>26.300000000000043</c:v>
                </c:pt>
                <c:pt idx="714">
                  <c:v>26.400000000000045</c:v>
                </c:pt>
                <c:pt idx="715">
                  <c:v>26.500000000000046</c:v>
                </c:pt>
                <c:pt idx="716">
                  <c:v>26.600000000000048</c:v>
                </c:pt>
                <c:pt idx="717">
                  <c:v>26.700000000000049</c:v>
                </c:pt>
                <c:pt idx="718">
                  <c:v>26.80000000000005</c:v>
                </c:pt>
                <c:pt idx="719">
                  <c:v>26.900000000000052</c:v>
                </c:pt>
                <c:pt idx="720">
                  <c:v>27.000000000000053</c:v>
                </c:pt>
                <c:pt idx="721">
                  <c:v>27.100000000000055</c:v>
                </c:pt>
                <c:pt idx="722">
                  <c:v>27.200000000000056</c:v>
                </c:pt>
                <c:pt idx="723">
                  <c:v>27.300000000000058</c:v>
                </c:pt>
                <c:pt idx="724">
                  <c:v>27.400000000000059</c:v>
                </c:pt>
                <c:pt idx="725">
                  <c:v>27.50000000000006</c:v>
                </c:pt>
                <c:pt idx="726">
                  <c:v>27.600000000000062</c:v>
                </c:pt>
                <c:pt idx="727">
                  <c:v>27.700000000000063</c:v>
                </c:pt>
                <c:pt idx="728">
                  <c:v>27.800000000000065</c:v>
                </c:pt>
                <c:pt idx="729">
                  <c:v>27.900000000000066</c:v>
                </c:pt>
                <c:pt idx="730">
                  <c:v>28.000000000000068</c:v>
                </c:pt>
                <c:pt idx="731">
                  <c:v>28.100000000000069</c:v>
                </c:pt>
                <c:pt idx="732">
                  <c:v>28.20000000000007</c:v>
                </c:pt>
                <c:pt idx="733">
                  <c:v>28.300000000000072</c:v>
                </c:pt>
                <c:pt idx="734">
                  <c:v>28.400000000000073</c:v>
                </c:pt>
                <c:pt idx="735">
                  <c:v>28.500000000000075</c:v>
                </c:pt>
                <c:pt idx="736">
                  <c:v>28.600000000000076</c:v>
                </c:pt>
                <c:pt idx="737">
                  <c:v>28.700000000000077</c:v>
                </c:pt>
                <c:pt idx="738">
                  <c:v>28.800000000000079</c:v>
                </c:pt>
                <c:pt idx="739">
                  <c:v>28.90000000000008</c:v>
                </c:pt>
                <c:pt idx="740">
                  <c:v>29.000000000000082</c:v>
                </c:pt>
                <c:pt idx="741">
                  <c:v>29.100000000000083</c:v>
                </c:pt>
                <c:pt idx="742">
                  <c:v>29.200000000000085</c:v>
                </c:pt>
                <c:pt idx="743">
                  <c:v>29.300000000000086</c:v>
                </c:pt>
                <c:pt idx="744">
                  <c:v>29.400000000000087</c:v>
                </c:pt>
                <c:pt idx="745">
                  <c:v>29.500000000000089</c:v>
                </c:pt>
                <c:pt idx="746">
                  <c:v>29.60000000000009</c:v>
                </c:pt>
                <c:pt idx="747">
                  <c:v>29.700000000000092</c:v>
                </c:pt>
                <c:pt idx="748">
                  <c:v>29.800000000000093</c:v>
                </c:pt>
                <c:pt idx="749">
                  <c:v>29.900000000000095</c:v>
                </c:pt>
                <c:pt idx="750">
                  <c:v>30.000000000000096</c:v>
                </c:pt>
                <c:pt idx="751">
                  <c:v>30.100000000000097</c:v>
                </c:pt>
                <c:pt idx="752">
                  <c:v>30.200000000000099</c:v>
                </c:pt>
                <c:pt idx="753">
                  <c:v>30.3000000000001</c:v>
                </c:pt>
                <c:pt idx="754">
                  <c:v>30.400000000000102</c:v>
                </c:pt>
                <c:pt idx="755">
                  <c:v>30.500000000000103</c:v>
                </c:pt>
                <c:pt idx="756">
                  <c:v>30.600000000000104</c:v>
                </c:pt>
                <c:pt idx="757">
                  <c:v>30.700000000000106</c:v>
                </c:pt>
                <c:pt idx="758">
                  <c:v>30.800000000000107</c:v>
                </c:pt>
                <c:pt idx="759">
                  <c:v>30.900000000000109</c:v>
                </c:pt>
                <c:pt idx="760">
                  <c:v>31.00000000000011</c:v>
                </c:pt>
                <c:pt idx="761">
                  <c:v>31.100000000000112</c:v>
                </c:pt>
                <c:pt idx="762">
                  <c:v>31.200000000000113</c:v>
                </c:pt>
                <c:pt idx="763">
                  <c:v>31.300000000000114</c:v>
                </c:pt>
                <c:pt idx="764">
                  <c:v>31.400000000000116</c:v>
                </c:pt>
                <c:pt idx="765">
                  <c:v>31.500000000000117</c:v>
                </c:pt>
                <c:pt idx="766">
                  <c:v>31.600000000000119</c:v>
                </c:pt>
                <c:pt idx="767">
                  <c:v>31.70000000000012</c:v>
                </c:pt>
                <c:pt idx="768">
                  <c:v>31.800000000000122</c:v>
                </c:pt>
                <c:pt idx="769">
                  <c:v>31.900000000000123</c:v>
                </c:pt>
                <c:pt idx="770">
                  <c:v>32.000000000000121</c:v>
                </c:pt>
                <c:pt idx="771">
                  <c:v>32.100000000000122</c:v>
                </c:pt>
                <c:pt idx="772">
                  <c:v>32.200000000000124</c:v>
                </c:pt>
                <c:pt idx="773">
                  <c:v>32.300000000000125</c:v>
                </c:pt>
                <c:pt idx="774">
                  <c:v>32.400000000000126</c:v>
                </c:pt>
                <c:pt idx="775">
                  <c:v>32.500000000000128</c:v>
                </c:pt>
                <c:pt idx="776">
                  <c:v>32.600000000000129</c:v>
                </c:pt>
                <c:pt idx="777">
                  <c:v>32.700000000000131</c:v>
                </c:pt>
                <c:pt idx="778">
                  <c:v>32.800000000000132</c:v>
                </c:pt>
                <c:pt idx="779">
                  <c:v>32.900000000000134</c:v>
                </c:pt>
                <c:pt idx="780">
                  <c:v>33.000000000000135</c:v>
                </c:pt>
                <c:pt idx="781">
                  <c:v>33.100000000000136</c:v>
                </c:pt>
                <c:pt idx="782">
                  <c:v>33.200000000000138</c:v>
                </c:pt>
                <c:pt idx="783">
                  <c:v>33.300000000000139</c:v>
                </c:pt>
                <c:pt idx="784">
                  <c:v>33.400000000000141</c:v>
                </c:pt>
                <c:pt idx="785">
                  <c:v>33.500000000000142</c:v>
                </c:pt>
                <c:pt idx="786">
                  <c:v>33.600000000000144</c:v>
                </c:pt>
                <c:pt idx="787">
                  <c:v>33.700000000000145</c:v>
                </c:pt>
                <c:pt idx="788">
                  <c:v>33.800000000000146</c:v>
                </c:pt>
                <c:pt idx="789">
                  <c:v>33.900000000000148</c:v>
                </c:pt>
                <c:pt idx="790">
                  <c:v>34.000000000000149</c:v>
                </c:pt>
                <c:pt idx="791">
                  <c:v>34.100000000000151</c:v>
                </c:pt>
                <c:pt idx="792">
                  <c:v>34.200000000000152</c:v>
                </c:pt>
                <c:pt idx="793">
                  <c:v>34.300000000000153</c:v>
                </c:pt>
                <c:pt idx="794">
                  <c:v>34.400000000000155</c:v>
                </c:pt>
                <c:pt idx="795">
                  <c:v>34.500000000000156</c:v>
                </c:pt>
                <c:pt idx="796">
                  <c:v>34.600000000000158</c:v>
                </c:pt>
                <c:pt idx="797">
                  <c:v>34.700000000000159</c:v>
                </c:pt>
                <c:pt idx="798">
                  <c:v>34.800000000000161</c:v>
                </c:pt>
                <c:pt idx="799">
                  <c:v>34.900000000000162</c:v>
                </c:pt>
                <c:pt idx="800">
                  <c:v>35.000000000000163</c:v>
                </c:pt>
                <c:pt idx="801">
                  <c:v>35.100000000000165</c:v>
                </c:pt>
                <c:pt idx="802">
                  <c:v>35.200000000000166</c:v>
                </c:pt>
                <c:pt idx="803">
                  <c:v>35.300000000000168</c:v>
                </c:pt>
                <c:pt idx="804">
                  <c:v>35.400000000000169</c:v>
                </c:pt>
                <c:pt idx="805">
                  <c:v>35.500000000000171</c:v>
                </c:pt>
                <c:pt idx="806">
                  <c:v>35.600000000000172</c:v>
                </c:pt>
                <c:pt idx="807">
                  <c:v>35.700000000000173</c:v>
                </c:pt>
                <c:pt idx="808">
                  <c:v>35.800000000000175</c:v>
                </c:pt>
                <c:pt idx="809">
                  <c:v>35.900000000000176</c:v>
                </c:pt>
                <c:pt idx="810">
                  <c:v>36.000000000000178</c:v>
                </c:pt>
                <c:pt idx="811">
                  <c:v>36.100000000000179</c:v>
                </c:pt>
                <c:pt idx="812">
                  <c:v>36.20000000000018</c:v>
                </c:pt>
                <c:pt idx="813">
                  <c:v>36.300000000000182</c:v>
                </c:pt>
                <c:pt idx="814">
                  <c:v>36.400000000000183</c:v>
                </c:pt>
                <c:pt idx="815">
                  <c:v>36.500000000000185</c:v>
                </c:pt>
                <c:pt idx="816">
                  <c:v>36.600000000000186</c:v>
                </c:pt>
                <c:pt idx="817">
                  <c:v>36.700000000000188</c:v>
                </c:pt>
                <c:pt idx="818">
                  <c:v>36.800000000000189</c:v>
                </c:pt>
                <c:pt idx="819">
                  <c:v>36.90000000000019</c:v>
                </c:pt>
                <c:pt idx="820">
                  <c:v>37.000000000000192</c:v>
                </c:pt>
                <c:pt idx="821">
                  <c:v>37.100000000000193</c:v>
                </c:pt>
                <c:pt idx="822">
                  <c:v>37.200000000000195</c:v>
                </c:pt>
                <c:pt idx="823">
                  <c:v>37.300000000000196</c:v>
                </c:pt>
                <c:pt idx="824">
                  <c:v>37.400000000000198</c:v>
                </c:pt>
                <c:pt idx="825">
                  <c:v>37.500000000000199</c:v>
                </c:pt>
                <c:pt idx="826">
                  <c:v>37.6000000000002</c:v>
                </c:pt>
                <c:pt idx="827">
                  <c:v>37.700000000000202</c:v>
                </c:pt>
                <c:pt idx="828">
                  <c:v>37.800000000000203</c:v>
                </c:pt>
                <c:pt idx="829">
                  <c:v>37.900000000000205</c:v>
                </c:pt>
                <c:pt idx="830">
                  <c:v>38.000000000000206</c:v>
                </c:pt>
                <c:pt idx="831">
                  <c:v>38.100000000000207</c:v>
                </c:pt>
                <c:pt idx="832">
                  <c:v>38.200000000000209</c:v>
                </c:pt>
                <c:pt idx="833">
                  <c:v>38.30000000000021</c:v>
                </c:pt>
                <c:pt idx="834">
                  <c:v>38.400000000000212</c:v>
                </c:pt>
                <c:pt idx="835">
                  <c:v>38.500000000000213</c:v>
                </c:pt>
                <c:pt idx="836">
                  <c:v>38.600000000000215</c:v>
                </c:pt>
                <c:pt idx="837">
                  <c:v>38.700000000000216</c:v>
                </c:pt>
                <c:pt idx="838">
                  <c:v>38.800000000000217</c:v>
                </c:pt>
                <c:pt idx="839">
                  <c:v>38.900000000000219</c:v>
                </c:pt>
                <c:pt idx="840">
                  <c:v>39.00000000000022</c:v>
                </c:pt>
                <c:pt idx="841">
                  <c:v>39.100000000000222</c:v>
                </c:pt>
                <c:pt idx="842">
                  <c:v>39.200000000000223</c:v>
                </c:pt>
                <c:pt idx="843">
                  <c:v>39.300000000000225</c:v>
                </c:pt>
                <c:pt idx="844">
                  <c:v>39.400000000000226</c:v>
                </c:pt>
                <c:pt idx="845">
                  <c:v>39.500000000000227</c:v>
                </c:pt>
                <c:pt idx="846">
                  <c:v>39.600000000000229</c:v>
                </c:pt>
                <c:pt idx="847">
                  <c:v>39.70000000000023</c:v>
                </c:pt>
                <c:pt idx="848">
                  <c:v>39.800000000000232</c:v>
                </c:pt>
                <c:pt idx="849">
                  <c:v>39.900000000000233</c:v>
                </c:pt>
                <c:pt idx="850">
                  <c:v>40.000000000000234</c:v>
                </c:pt>
                <c:pt idx="851">
                  <c:v>40.100000000000236</c:v>
                </c:pt>
                <c:pt idx="852">
                  <c:v>40.200000000000237</c:v>
                </c:pt>
                <c:pt idx="853">
                  <c:v>40.300000000000239</c:v>
                </c:pt>
                <c:pt idx="854">
                  <c:v>40.40000000000024</c:v>
                </c:pt>
                <c:pt idx="855">
                  <c:v>40.500000000000242</c:v>
                </c:pt>
                <c:pt idx="856">
                  <c:v>40.600000000000243</c:v>
                </c:pt>
                <c:pt idx="857">
                  <c:v>40.700000000000244</c:v>
                </c:pt>
                <c:pt idx="858">
                  <c:v>40.800000000000246</c:v>
                </c:pt>
                <c:pt idx="859">
                  <c:v>40.900000000000247</c:v>
                </c:pt>
                <c:pt idx="860">
                  <c:v>41.000000000000249</c:v>
                </c:pt>
                <c:pt idx="861">
                  <c:v>41.10000000000025</c:v>
                </c:pt>
                <c:pt idx="862">
                  <c:v>41.200000000000252</c:v>
                </c:pt>
                <c:pt idx="863">
                  <c:v>41.300000000000253</c:v>
                </c:pt>
                <c:pt idx="864">
                  <c:v>41.400000000000254</c:v>
                </c:pt>
                <c:pt idx="865">
                  <c:v>41.500000000000256</c:v>
                </c:pt>
                <c:pt idx="866">
                  <c:v>41.600000000000257</c:v>
                </c:pt>
                <c:pt idx="867">
                  <c:v>41.700000000000259</c:v>
                </c:pt>
                <c:pt idx="868">
                  <c:v>41.80000000000026</c:v>
                </c:pt>
                <c:pt idx="869">
                  <c:v>41.900000000000261</c:v>
                </c:pt>
                <c:pt idx="870">
                  <c:v>42.000000000000263</c:v>
                </c:pt>
                <c:pt idx="871">
                  <c:v>42.100000000000264</c:v>
                </c:pt>
                <c:pt idx="872">
                  <c:v>42.200000000000266</c:v>
                </c:pt>
                <c:pt idx="873">
                  <c:v>42.300000000000267</c:v>
                </c:pt>
                <c:pt idx="874">
                  <c:v>42.400000000000269</c:v>
                </c:pt>
                <c:pt idx="875">
                  <c:v>42.50000000000027</c:v>
                </c:pt>
                <c:pt idx="876">
                  <c:v>42.600000000000271</c:v>
                </c:pt>
                <c:pt idx="877">
                  <c:v>42.700000000000273</c:v>
                </c:pt>
                <c:pt idx="878">
                  <c:v>42.800000000000274</c:v>
                </c:pt>
                <c:pt idx="879">
                  <c:v>42.900000000000276</c:v>
                </c:pt>
                <c:pt idx="880">
                  <c:v>43.000000000000277</c:v>
                </c:pt>
                <c:pt idx="881">
                  <c:v>43.100000000000279</c:v>
                </c:pt>
                <c:pt idx="882">
                  <c:v>43.20000000000028</c:v>
                </c:pt>
                <c:pt idx="883">
                  <c:v>43.300000000000281</c:v>
                </c:pt>
                <c:pt idx="884">
                  <c:v>43.400000000000283</c:v>
                </c:pt>
                <c:pt idx="885">
                  <c:v>43.500000000000284</c:v>
                </c:pt>
                <c:pt idx="886">
                  <c:v>43.600000000000286</c:v>
                </c:pt>
                <c:pt idx="887">
                  <c:v>43.700000000000287</c:v>
                </c:pt>
                <c:pt idx="888">
                  <c:v>43.800000000000288</c:v>
                </c:pt>
                <c:pt idx="889">
                  <c:v>43.90000000000029</c:v>
                </c:pt>
                <c:pt idx="890">
                  <c:v>44.000000000000291</c:v>
                </c:pt>
                <c:pt idx="891">
                  <c:v>44.100000000000293</c:v>
                </c:pt>
                <c:pt idx="892">
                  <c:v>44.200000000000294</c:v>
                </c:pt>
                <c:pt idx="893">
                  <c:v>44.300000000000296</c:v>
                </c:pt>
                <c:pt idx="894">
                  <c:v>44.400000000000297</c:v>
                </c:pt>
                <c:pt idx="895">
                  <c:v>44.500000000000298</c:v>
                </c:pt>
                <c:pt idx="896">
                  <c:v>44.6000000000003</c:v>
                </c:pt>
                <c:pt idx="897">
                  <c:v>44.700000000000301</c:v>
                </c:pt>
                <c:pt idx="898">
                  <c:v>44.800000000000303</c:v>
                </c:pt>
                <c:pt idx="899">
                  <c:v>44.900000000000304</c:v>
                </c:pt>
                <c:pt idx="900">
                  <c:v>45.000000000000306</c:v>
                </c:pt>
                <c:pt idx="901">
                  <c:v>45.100000000000307</c:v>
                </c:pt>
                <c:pt idx="902">
                  <c:v>45.200000000000308</c:v>
                </c:pt>
                <c:pt idx="903">
                  <c:v>45.30000000000031</c:v>
                </c:pt>
                <c:pt idx="904">
                  <c:v>45.400000000000311</c:v>
                </c:pt>
                <c:pt idx="905">
                  <c:v>45.500000000000313</c:v>
                </c:pt>
                <c:pt idx="906">
                  <c:v>45.600000000000314</c:v>
                </c:pt>
                <c:pt idx="907">
                  <c:v>45.700000000000315</c:v>
                </c:pt>
                <c:pt idx="908">
                  <c:v>45.800000000000317</c:v>
                </c:pt>
                <c:pt idx="909">
                  <c:v>45.900000000000318</c:v>
                </c:pt>
                <c:pt idx="910">
                  <c:v>46.00000000000032</c:v>
                </c:pt>
                <c:pt idx="911">
                  <c:v>46.100000000000321</c:v>
                </c:pt>
                <c:pt idx="912">
                  <c:v>46.200000000000323</c:v>
                </c:pt>
                <c:pt idx="913">
                  <c:v>46.300000000000324</c:v>
                </c:pt>
                <c:pt idx="914">
                  <c:v>46.400000000000325</c:v>
                </c:pt>
                <c:pt idx="915">
                  <c:v>46.500000000000327</c:v>
                </c:pt>
                <c:pt idx="916">
                  <c:v>46.600000000000328</c:v>
                </c:pt>
                <c:pt idx="917">
                  <c:v>46.70000000000033</c:v>
                </c:pt>
                <c:pt idx="918">
                  <c:v>46.800000000000331</c:v>
                </c:pt>
                <c:pt idx="919">
                  <c:v>46.900000000000333</c:v>
                </c:pt>
                <c:pt idx="920">
                  <c:v>47.000000000000334</c:v>
                </c:pt>
                <c:pt idx="921">
                  <c:v>47.100000000000335</c:v>
                </c:pt>
                <c:pt idx="922">
                  <c:v>47.200000000000337</c:v>
                </c:pt>
                <c:pt idx="923">
                  <c:v>47.300000000000338</c:v>
                </c:pt>
                <c:pt idx="924">
                  <c:v>47.40000000000034</c:v>
                </c:pt>
                <c:pt idx="925">
                  <c:v>47.500000000000341</c:v>
                </c:pt>
                <c:pt idx="926">
                  <c:v>47.600000000000342</c:v>
                </c:pt>
                <c:pt idx="927">
                  <c:v>47.700000000000344</c:v>
                </c:pt>
                <c:pt idx="928">
                  <c:v>47.800000000000345</c:v>
                </c:pt>
                <c:pt idx="929">
                  <c:v>47.900000000000347</c:v>
                </c:pt>
                <c:pt idx="930">
                  <c:v>48.000000000000348</c:v>
                </c:pt>
                <c:pt idx="931">
                  <c:v>48.10000000000035</c:v>
                </c:pt>
                <c:pt idx="932">
                  <c:v>48.200000000000351</c:v>
                </c:pt>
                <c:pt idx="933">
                  <c:v>48.300000000000352</c:v>
                </c:pt>
                <c:pt idx="934">
                  <c:v>48.400000000000354</c:v>
                </c:pt>
                <c:pt idx="935">
                  <c:v>48.500000000000355</c:v>
                </c:pt>
                <c:pt idx="936">
                  <c:v>48.600000000000357</c:v>
                </c:pt>
                <c:pt idx="937">
                  <c:v>48.700000000000358</c:v>
                </c:pt>
                <c:pt idx="938">
                  <c:v>48.80000000000036</c:v>
                </c:pt>
                <c:pt idx="939">
                  <c:v>48.900000000000361</c:v>
                </c:pt>
                <c:pt idx="940">
                  <c:v>49.000000000000362</c:v>
                </c:pt>
                <c:pt idx="941">
                  <c:v>49.100000000000364</c:v>
                </c:pt>
                <c:pt idx="942">
                  <c:v>49.200000000000365</c:v>
                </c:pt>
                <c:pt idx="943">
                  <c:v>49.300000000000367</c:v>
                </c:pt>
                <c:pt idx="944">
                  <c:v>49.400000000000368</c:v>
                </c:pt>
                <c:pt idx="945">
                  <c:v>49.500000000000369</c:v>
                </c:pt>
                <c:pt idx="946">
                  <c:v>49.600000000000371</c:v>
                </c:pt>
                <c:pt idx="947">
                  <c:v>49.700000000000372</c:v>
                </c:pt>
                <c:pt idx="948">
                  <c:v>49.800000000000374</c:v>
                </c:pt>
                <c:pt idx="949">
                  <c:v>49.900000000000375</c:v>
                </c:pt>
                <c:pt idx="950">
                  <c:v>50.000000000000377</c:v>
                </c:pt>
                <c:pt idx="951">
                  <c:v>50.100000000000378</c:v>
                </c:pt>
                <c:pt idx="952">
                  <c:v>50.200000000000379</c:v>
                </c:pt>
                <c:pt idx="953">
                  <c:v>50.300000000000381</c:v>
                </c:pt>
                <c:pt idx="954">
                  <c:v>50.400000000000382</c:v>
                </c:pt>
                <c:pt idx="955">
                  <c:v>50.500000000000384</c:v>
                </c:pt>
                <c:pt idx="956">
                  <c:v>50.600000000000385</c:v>
                </c:pt>
                <c:pt idx="957">
                  <c:v>50.700000000000387</c:v>
                </c:pt>
                <c:pt idx="958">
                  <c:v>50.800000000000388</c:v>
                </c:pt>
                <c:pt idx="959">
                  <c:v>50.900000000000389</c:v>
                </c:pt>
                <c:pt idx="960">
                  <c:v>51.000000000000391</c:v>
                </c:pt>
                <c:pt idx="961">
                  <c:v>51.100000000000392</c:v>
                </c:pt>
                <c:pt idx="962">
                  <c:v>51.200000000000394</c:v>
                </c:pt>
                <c:pt idx="963">
                  <c:v>51.300000000000395</c:v>
                </c:pt>
                <c:pt idx="964">
                  <c:v>51.400000000000396</c:v>
                </c:pt>
                <c:pt idx="965">
                  <c:v>51.500000000000398</c:v>
                </c:pt>
                <c:pt idx="966">
                  <c:v>51.600000000000399</c:v>
                </c:pt>
                <c:pt idx="967">
                  <c:v>51.700000000000401</c:v>
                </c:pt>
                <c:pt idx="968">
                  <c:v>51.800000000000402</c:v>
                </c:pt>
                <c:pt idx="969">
                  <c:v>51.900000000000404</c:v>
                </c:pt>
                <c:pt idx="970">
                  <c:v>52.000000000000405</c:v>
                </c:pt>
                <c:pt idx="971">
                  <c:v>52.100000000000406</c:v>
                </c:pt>
                <c:pt idx="972">
                  <c:v>52.200000000000408</c:v>
                </c:pt>
                <c:pt idx="973">
                  <c:v>52.300000000000409</c:v>
                </c:pt>
                <c:pt idx="974">
                  <c:v>52.400000000000411</c:v>
                </c:pt>
                <c:pt idx="975">
                  <c:v>52.500000000000412</c:v>
                </c:pt>
                <c:pt idx="976">
                  <c:v>52.600000000000414</c:v>
                </c:pt>
                <c:pt idx="977">
                  <c:v>52.700000000000415</c:v>
                </c:pt>
                <c:pt idx="978">
                  <c:v>52.800000000000416</c:v>
                </c:pt>
                <c:pt idx="979">
                  <c:v>52.80010000000042</c:v>
                </c:pt>
                <c:pt idx="980">
                  <c:v>52.800200000000423</c:v>
                </c:pt>
                <c:pt idx="981">
                  <c:v>52.800300000000426</c:v>
                </c:pt>
                <c:pt idx="982">
                  <c:v>52.80040000000043</c:v>
                </c:pt>
                <c:pt idx="983">
                  <c:v>52.800500000000433</c:v>
                </c:pt>
                <c:pt idx="984">
                  <c:v>52.800600000000436</c:v>
                </c:pt>
                <c:pt idx="985">
                  <c:v>52.80070000000044</c:v>
                </c:pt>
                <c:pt idx="986">
                  <c:v>52.800800000000443</c:v>
                </c:pt>
                <c:pt idx="987">
                  <c:v>52.800900000000446</c:v>
                </c:pt>
                <c:pt idx="988">
                  <c:v>52.80100000000045</c:v>
                </c:pt>
                <c:pt idx="989">
                  <c:v>52.801100000000453</c:v>
                </c:pt>
                <c:pt idx="990">
                  <c:v>52.801200000000456</c:v>
                </c:pt>
                <c:pt idx="991">
                  <c:v>52.80130000000046</c:v>
                </c:pt>
                <c:pt idx="992">
                  <c:v>52.801400000000463</c:v>
                </c:pt>
                <c:pt idx="993">
                  <c:v>52.801500000000466</c:v>
                </c:pt>
                <c:pt idx="994">
                  <c:v>52.801600000000469</c:v>
                </c:pt>
                <c:pt idx="995">
                  <c:v>52.801700000000473</c:v>
                </c:pt>
                <c:pt idx="996">
                  <c:v>52.801800000000476</c:v>
                </c:pt>
                <c:pt idx="997">
                  <c:v>52.801900000000479</c:v>
                </c:pt>
                <c:pt idx="998">
                  <c:v>52.802000000000483</c:v>
                </c:pt>
                <c:pt idx="999">
                  <c:v>52.802100000000486</c:v>
                </c:pt>
                <c:pt idx="1000">
                  <c:v>52.802200000000489</c:v>
                </c:pt>
              </c:numCache>
            </c:numRef>
          </c:xVal>
          <c:yVal>
            <c:numRef>
              <c:f>Calculs!$I$4:$I$1004</c:f>
              <c:numCache>
                <c:formatCode>0.00</c:formatCode>
                <c:ptCount val="1001"/>
                <c:pt idx="0">
                  <c:v>0</c:v>
                </c:pt>
                <c:pt idx="1">
                  <c:v>0.15970968343630534</c:v>
                </c:pt>
                <c:pt idx="2">
                  <c:v>0.60348821371749717</c:v>
                </c:pt>
                <c:pt idx="3">
                  <c:v>1.1652353316859252</c:v>
                </c:pt>
                <c:pt idx="4">
                  <c:v>1.8450722786565747</c:v>
                </c:pt>
                <c:pt idx="5">
                  <c:v>2.6431397642122074</c:v>
                </c:pt>
                <c:pt idx="6">
                  <c:v>3.5595977105538861</c:v>
                </c:pt>
                <c:pt idx="7">
                  <c:v>4.5946250058001734</c:v>
                </c:pt>
                <c:pt idx="8">
                  <c:v>5.748419265783979</c:v>
                </c:pt>
                <c:pt idx="9">
                  <c:v>7.0211966039101616</c:v>
                </c:pt>
                <c:pt idx="10">
                  <c:v>8.4131914086502455</c:v>
                </c:pt>
                <c:pt idx="11">
                  <c:v>9.8566860455165486</c:v>
                </c:pt>
                <c:pt idx="12">
                  <c:v>11.283759256946032</c:v>
                </c:pt>
                <c:pt idx="13">
                  <c:v>12.693839604079123</c:v>
                </c:pt>
                <c:pt idx="14">
                  <c:v>14.086355052132875</c:v>
                </c:pt>
                <c:pt idx="15">
                  <c:v>15.461251607674262</c:v>
                </c:pt>
                <c:pt idx="16">
                  <c:v>16.818476249977405</c:v>
                </c:pt>
                <c:pt idx="17">
                  <c:v>18.157976931669481</c:v>
                </c:pt>
                <c:pt idx="18">
                  <c:v>19.479702579148313</c:v>
                </c:pt>
                <c:pt idx="19">
                  <c:v>20.783603092772836</c:v>
                </c:pt>
                <c:pt idx="20">
                  <c:v>22.069629346827526</c:v>
                </c:pt>
                <c:pt idx="21">
                  <c:v>23.337733189262227</c:v>
                </c:pt>
                <c:pt idx="22">
                  <c:v>24.587867441208651</c:v>
                </c:pt>
                <c:pt idx="23">
                  <c:v>25.819985896275043</c:v>
                </c:pt>
                <c:pt idx="24">
                  <c:v>27.034043319620547</c:v>
                </c:pt>
                <c:pt idx="25">
                  <c:v>28.229995446810872</c:v>
                </c:pt>
                <c:pt idx="26">
                  <c:v>29.407798982456956</c:v>
                </c:pt>
                <c:pt idx="27">
                  <c:v>30.576574549349424</c:v>
                </c:pt>
                <c:pt idx="28">
                  <c:v>31.745464386856288</c:v>
                </c:pt>
                <c:pt idx="29">
                  <c:v>32.914458324730134</c:v>
                </c:pt>
                <c:pt idx="30">
                  <c:v>34.083546220933989</c:v>
                </c:pt>
                <c:pt idx="31">
                  <c:v>35.252716731843101</c:v>
                </c:pt>
                <c:pt idx="32">
                  <c:v>36.421958498722603</c:v>
                </c:pt>
                <c:pt idx="33">
                  <c:v>37.591260147864752</c:v>
                </c:pt>
                <c:pt idx="34">
                  <c:v>38.760610290780541</c:v>
                </c:pt>
                <c:pt idx="35">
                  <c:v>39.929997524426547</c:v>
                </c:pt>
                <c:pt idx="36">
                  <c:v>41.099410431462566</c:v>
                </c:pt>
                <c:pt idx="37">
                  <c:v>42.268837580535966</c:v>
                </c:pt>
                <c:pt idx="38">
                  <c:v>43.438267526589605</c:v>
                </c:pt>
                <c:pt idx="39">
                  <c:v>44.607688811190414</c:v>
                </c:pt>
                <c:pt idx="40">
                  <c:v>45.777089962876317</c:v>
                </c:pt>
                <c:pt idx="41">
                  <c:v>46.946459497519392</c:v>
                </c:pt>
                <c:pt idx="42">
                  <c:v>48.115785918703665</c:v>
                </c:pt>
                <c:pt idx="43">
                  <c:v>49.285057718115851</c:v>
                </c:pt>
                <c:pt idx="44">
                  <c:v>50.454263375947882</c:v>
                </c:pt>
                <c:pt idx="45">
                  <c:v>51.62339136130992</c:v>
                </c:pt>
                <c:pt idx="46">
                  <c:v>52.792430132653102</c:v>
                </c:pt>
                <c:pt idx="47">
                  <c:v>53.96136813820079</c:v>
                </c:pt>
                <c:pt idx="48">
                  <c:v>55.130193816387944</c:v>
                </c:pt>
                <c:pt idx="49">
                  <c:v>56.298895596307631</c:v>
                </c:pt>
                <c:pt idx="50">
                  <c:v>57.467461898164174</c:v>
                </c:pt>
                <c:pt idx="51">
                  <c:v>58.635881133732447</c:v>
                </c:pt>
                <c:pt idx="52">
                  <c:v>59.804141706822719</c:v>
                </c:pt>
                <c:pt idx="53">
                  <c:v>60.972232013750755</c:v>
                </c:pt>
                <c:pt idx="54">
                  <c:v>62.140140443812577</c:v>
                </c:pt>
                <c:pt idx="55">
                  <c:v>63.307855379763758</c:v>
                </c:pt>
                <c:pt idx="56">
                  <c:v>64.475365198302711</c:v>
                </c:pt>
                <c:pt idx="57">
                  <c:v>65.642658270557916</c:v>
                </c:pt>
                <c:pt idx="58">
                  <c:v>66.809722962578505</c:v>
                </c:pt>
                <c:pt idx="59">
                  <c:v>67.976547635828325</c:v>
                </c:pt>
                <c:pt idx="60">
                  <c:v>69.143120647682821</c:v>
                </c:pt>
                <c:pt idx="61">
                  <c:v>70.309430351929052</c:v>
                </c:pt>
                <c:pt idx="62">
                  <c:v>71.475465099268078</c:v>
                </c:pt>
                <c:pt idx="63">
                  <c:v>72.64121323781994</c:v>
                </c:pt>
                <c:pt idx="64">
                  <c:v>73.806663113631004</c:v>
                </c:pt>
                <c:pt idx="65">
                  <c:v>74.971803071183302</c:v>
                </c:pt>
                <c:pt idx="66">
                  <c:v>76.13662145390596</c:v>
                </c:pt>
                <c:pt idx="67">
                  <c:v>77.301106604688314</c:v>
                </c:pt>
                <c:pt idx="68">
                  <c:v>78.46524686639502</c:v>
                </c:pt>
                <c:pt idx="69">
                  <c:v>79.62903058238247</c:v>
                </c:pt>
                <c:pt idx="70">
                  <c:v>80.792446097016764</c:v>
                </c:pt>
                <c:pt idx="71">
                  <c:v>81.955481756193137</c:v>
                </c:pt>
                <c:pt idx="72">
                  <c:v>83.118020184040731</c:v>
                </c:pt>
                <c:pt idx="73">
                  <c:v>84.279943809297023</c:v>
                </c:pt>
                <c:pt idx="74">
                  <c:v>85.441240730131923</c:v>
                </c:pt>
                <c:pt idx="75">
                  <c:v>86.601899054486168</c:v>
                </c:pt>
                <c:pt idx="76">
                  <c:v>87.761906900615301</c:v>
                </c:pt>
                <c:pt idx="77">
                  <c:v>88.921252397633751</c:v>
                </c:pt>
                <c:pt idx="78">
                  <c:v>90.079923686059161</c:v>
                </c:pt>
                <c:pt idx="79">
                  <c:v>91.237908918356396</c:v>
                </c:pt>
                <c:pt idx="80">
                  <c:v>92.395196259481793</c:v>
                </c:pt>
                <c:pt idx="81">
                  <c:v>93.551773887426975</c:v>
                </c:pt>
                <c:pt idx="82">
                  <c:v>94.707629993762509</c:v>
                </c:pt>
                <c:pt idx="83">
                  <c:v>95.862752784181239</c:v>
                </c:pt>
                <c:pt idx="84">
                  <c:v>97.017130479041185</c:v>
                </c:pt>
                <c:pt idx="85">
                  <c:v>98.170751313907815</c:v>
                </c:pt>
                <c:pt idx="86">
                  <c:v>99.323603540095945</c:v>
                </c:pt>
                <c:pt idx="87">
                  <c:v>100.47567542521085</c:v>
                </c:pt>
                <c:pt idx="88">
                  <c:v>101.62695525368873</c:v>
                </c:pt>
                <c:pt idx="89">
                  <c:v>102.77743132733627</c:v>
                </c:pt>
                <c:pt idx="90">
                  <c:v>103.92709196586948</c:v>
                </c:pt>
                <c:pt idx="91">
                  <c:v>105.07592550745144</c:v>
                </c:pt>
                <c:pt idx="92">
                  <c:v>106.22392030922931</c:v>
                </c:pt>
                <c:pt idx="93">
                  <c:v>107.37106474786985</c:v>
                </c:pt>
                <c:pt idx="94">
                  <c:v>108.51734722009431</c:v>
                </c:pt>
                <c:pt idx="95">
                  <c:v>109.66275614321164</c:v>
                </c:pt>
                <c:pt idx="96">
                  <c:v>110.80727995565086</c:v>
                </c:pt>
                <c:pt idx="97">
                  <c:v>111.95090711749168</c:v>
                </c:pt>
                <c:pt idx="98">
                  <c:v>113.09362611099421</c:v>
                </c:pt>
                <c:pt idx="99">
                  <c:v>114.23542544112672</c:v>
                </c:pt>
                <c:pt idx="100">
                  <c:v>115.37629363609227</c:v>
                </c:pt>
                <c:pt idx="101">
                  <c:v>116.51621924785361</c:v>
                </c:pt>
                <c:pt idx="102">
                  <c:v>117.65519085265645</c:v>
                </c:pt>
                <c:pt idx="103">
                  <c:v>118.79319705155096</c:v>
                </c:pt>
                <c:pt idx="104">
                  <c:v>119.93022647091179</c:v>
                </c:pt>
                <c:pt idx="105">
                  <c:v>121.06626776295596</c:v>
                </c:pt>
                <c:pt idx="106">
                  <c:v>122.20130960625907</c:v>
                </c:pt>
                <c:pt idx="107">
                  <c:v>123.33534070626952</c:v>
                </c:pt>
                <c:pt idx="108">
                  <c:v>124.46834979582079</c:v>
                </c:pt>
                <c:pt idx="109">
                  <c:v>125.60032563564165</c:v>
                </c:pt>
                <c:pt idx="110">
                  <c:v>126.73125701486434</c:v>
                </c:pt>
                <c:pt idx="111">
                  <c:v>127.86113275153048</c:v>
                </c:pt>
                <c:pt idx="112">
                  <c:v>128.98994169309498</c:v>
                </c:pt>
                <c:pt idx="113">
                  <c:v>130.11767271692742</c:v>
                </c:pt>
                <c:pt idx="114">
                  <c:v>131.24431473081148</c:v>
                </c:pt>
                <c:pt idx="115">
                  <c:v>132.36985667344172</c:v>
                </c:pt>
                <c:pt idx="116">
                  <c:v>133.49428751491794</c:v>
                </c:pt>
                <c:pt idx="117">
                  <c:v>134.61759625723747</c:v>
                </c:pt>
                <c:pt idx="118">
                  <c:v>135.73977193478447</c:v>
                </c:pt>
                <c:pt idx="119">
                  <c:v>136.86080361481683</c:v>
                </c:pt>
                <c:pt idx="120">
                  <c:v>137.98068039795072</c:v>
                </c:pt>
                <c:pt idx="121">
                  <c:v>139.09939141864206</c:v>
                </c:pt>
                <c:pt idx="122">
                  <c:v>140.2169258456656</c:v>
                </c:pt>
                <c:pt idx="123">
                  <c:v>141.33327288259107</c:v>
                </c:pt>
                <c:pt idx="124">
                  <c:v>142.44842176825665</c:v>
                </c:pt>
                <c:pt idx="125">
                  <c:v>143.56236177723946</c:v>
                </c:pt>
                <c:pt idx="126">
                  <c:v>144.67508222032328</c:v>
                </c:pt>
                <c:pt idx="127">
                  <c:v>145.78657244496316</c:v>
                </c:pt>
                <c:pt idx="128">
                  <c:v>146.89682183574735</c:v>
                </c:pt>
                <c:pt idx="129">
                  <c:v>148.00532611067783</c:v>
                </c:pt>
                <c:pt idx="130">
                  <c:v>149.11158039466312</c:v>
                </c:pt>
                <c:pt idx="131">
                  <c:v>150.21557358694642</c:v>
                </c:pt>
                <c:pt idx="132">
                  <c:v>151.3172946572453</c:v>
                </c:pt>
                <c:pt idx="133">
                  <c:v>152.41673264617262</c:v>
                </c:pt>
                <c:pt idx="134">
                  <c:v>153.51387666565103</c:v>
                </c:pt>
                <c:pt idx="135">
                  <c:v>154.60871589932063</c:v>
                </c:pt>
                <c:pt idx="136">
                  <c:v>155.70123960294038</c:v>
                </c:pt>
                <c:pt idx="137">
                  <c:v>156.79143710478266</c:v>
                </c:pt>
                <c:pt idx="138">
                  <c:v>157.87929780602119</c:v>
                </c:pt>
                <c:pt idx="139">
                  <c:v>158.96481118111245</c:v>
                </c:pt>
                <c:pt idx="140">
                  <c:v>160.04796677817041</c:v>
                </c:pt>
                <c:pt idx="141">
                  <c:v>161.12875421933413</c:v>
                </c:pt>
                <c:pt idx="142">
                  <c:v>162.20716320112925</c:v>
                </c:pt>
                <c:pt idx="143">
                  <c:v>163.28318349482217</c:v>
                </c:pt>
                <c:pt idx="144">
                  <c:v>164.35680494676774</c:v>
                </c:pt>
                <c:pt idx="145">
                  <c:v>165.42801747875021</c:v>
                </c:pt>
                <c:pt idx="146">
                  <c:v>166.49681108831689</c:v>
                </c:pt>
                <c:pt idx="147">
                  <c:v>167.56317584910568</c:v>
                </c:pt>
                <c:pt idx="148">
                  <c:v>168.62710191116506</c:v>
                </c:pt>
                <c:pt idx="149">
                  <c:v>169.6885795012677</c:v>
                </c:pt>
                <c:pt idx="150">
                  <c:v>170.74759892321686</c:v>
                </c:pt>
                <c:pt idx="151">
                  <c:v>171.80415055814615</c:v>
                </c:pt>
                <c:pt idx="152">
                  <c:v>172.85822486481212</c:v>
                </c:pt>
                <c:pt idx="153">
                  <c:v>173.90981237988018</c:v>
                </c:pt>
                <c:pt idx="154">
                  <c:v>174.95890371820337</c:v>
                </c:pt>
                <c:pt idx="155">
                  <c:v>176.00548957309445</c:v>
                </c:pt>
                <c:pt idx="156">
                  <c:v>177.04956071659052</c:v>
                </c:pt>
                <c:pt idx="157">
                  <c:v>178.09110799971157</c:v>
                </c:pt>
                <c:pt idx="158">
                  <c:v>179.13012235271106</c:v>
                </c:pt>
                <c:pt idx="159">
                  <c:v>180.16659478532031</c:v>
                </c:pt>
                <c:pt idx="160">
                  <c:v>181.20051638698561</c:v>
                </c:pt>
                <c:pt idx="161">
                  <c:v>182.2318783270982</c:v>
                </c:pt>
                <c:pt idx="162">
                  <c:v>183.26067185521768</c:v>
                </c:pt>
                <c:pt idx="163">
                  <c:v>184.28688830128814</c:v>
                </c:pt>
                <c:pt idx="164">
                  <c:v>185.31051907584745</c:v>
                </c:pt>
                <c:pt idx="165">
                  <c:v>186.33155567022951</c:v>
                </c:pt>
                <c:pt idx="166">
                  <c:v>187.34998965675962</c:v>
                </c:pt>
                <c:pt idx="167">
                  <c:v>188.36581268894278</c:v>
                </c:pt>
                <c:pt idx="168">
                  <c:v>189.37901650164517</c:v>
                </c:pt>
                <c:pt idx="169">
                  <c:v>190.38959291126869</c:v>
                </c:pt>
                <c:pt idx="170">
                  <c:v>191.39753381591828</c:v>
                </c:pt>
                <c:pt idx="171">
                  <c:v>192.4028311955627</c:v>
                </c:pt>
                <c:pt idx="172">
                  <c:v>193.40547711218804</c:v>
                </c:pt>
                <c:pt idx="173">
                  <c:v>194.40546370994468</c:v>
                </c:pt>
                <c:pt idx="174">
                  <c:v>195.402783215287</c:v>
                </c:pt>
                <c:pt idx="175">
                  <c:v>196.39742793710633</c:v>
                </c:pt>
                <c:pt idx="176">
                  <c:v>197.38939026685705</c:v>
                </c:pt>
                <c:pt idx="177">
                  <c:v>198.37866267867599</c:v>
                </c:pt>
                <c:pt idx="178">
                  <c:v>199.36523772949462</c:v>
                </c:pt>
                <c:pt idx="179">
                  <c:v>200.34910805914461</c:v>
                </c:pt>
                <c:pt idx="180">
                  <c:v>201.33026639045664</c:v>
                </c:pt>
                <c:pt idx="181">
                  <c:v>202.30870552935238</c:v>
                </c:pt>
                <c:pt idx="182">
                  <c:v>203.28441836492951</c:v>
                </c:pt>
                <c:pt idx="183">
                  <c:v>204.25739786954023</c:v>
                </c:pt>
                <c:pt idx="184">
                  <c:v>205.22763709886289</c:v>
                </c:pt>
                <c:pt idx="185">
                  <c:v>206.195129191967</c:v>
                </c:pt>
                <c:pt idx="186">
                  <c:v>207.1598673713714</c:v>
                </c:pt>
                <c:pt idx="187">
                  <c:v>208.12184494309599</c:v>
                </c:pt>
                <c:pt idx="188">
                  <c:v>209.08105529670652</c:v>
                </c:pt>
                <c:pt idx="189">
                  <c:v>210.03749190535294</c:v>
                </c:pt>
                <c:pt idx="190">
                  <c:v>210.99114832580128</c:v>
                </c:pt>
                <c:pt idx="191">
                  <c:v>211.94201819845867</c:v>
                </c:pt>
                <c:pt idx="192">
                  <c:v>212.89009524739203</c:v>
                </c:pt>
                <c:pt idx="193">
                  <c:v>213.83537328034015</c:v>
                </c:pt>
                <c:pt idx="194">
                  <c:v>214.77784618871922</c:v>
                </c:pt>
                <c:pt idx="195">
                  <c:v>215.71750794762238</c:v>
                </c:pt>
                <c:pt idx="196">
                  <c:v>216.65435261581194</c:v>
                </c:pt>
                <c:pt idx="197">
                  <c:v>217.58837433570616</c:v>
                </c:pt>
                <c:pt idx="198">
                  <c:v>218.51956733335908</c:v>
                </c:pt>
                <c:pt idx="199">
                  <c:v>219.44792591843418</c:v>
                </c:pt>
                <c:pt idx="200">
                  <c:v>220.3734444841719</c:v>
                </c:pt>
                <c:pt idx="201">
                  <c:v>221.2961175073506</c:v>
                </c:pt>
                <c:pt idx="202">
                  <c:v>222.21593954824161</c:v>
                </c:pt>
                <c:pt idx="203">
                  <c:v>223.13290525055788</c:v>
                </c:pt>
                <c:pt idx="204">
                  <c:v>224.04700934139655</c:v>
                </c:pt>
                <c:pt idx="205">
                  <c:v>224.95824663117537</c:v>
                </c:pt>
                <c:pt idx="206">
                  <c:v>225.86648950314762</c:v>
                </c:pt>
                <c:pt idx="207">
                  <c:v>226.77161038284427</c:v>
                </c:pt>
                <c:pt idx="208">
                  <c:v>227.67360440412065</c:v>
                </c:pt>
                <c:pt idx="209">
                  <c:v>228.57246679112896</c:v>
                </c:pt>
                <c:pt idx="210">
                  <c:v>229.46819285817924</c:v>
                </c:pt>
                <c:pt idx="211">
                  <c:v>230.36077800959433</c:v>
                </c:pt>
                <c:pt idx="212">
                  <c:v>231.25021773955808</c:v>
                </c:pt>
                <c:pt idx="213">
                  <c:v>232.13650763195756</c:v>
                </c:pt>
                <c:pt idx="214">
                  <c:v>233.01964336021874</c:v>
                </c:pt>
                <c:pt idx="215">
                  <c:v>233.89962068713606</c:v>
                </c:pt>
                <c:pt idx="216">
                  <c:v>234.77643546469594</c:v>
                </c:pt>
                <c:pt idx="217">
                  <c:v>235.65008363389376</c:v>
                </c:pt>
                <c:pt idx="218">
                  <c:v>236.5205612245453</c:v>
                </c:pt>
                <c:pt idx="219">
                  <c:v>237.38786435509189</c:v>
                </c:pt>
                <c:pt idx="220">
                  <c:v>238.25198923239975</c:v>
                </c:pt>
                <c:pt idx="221">
                  <c:v>239.11293215155317</c:v>
                </c:pt>
                <c:pt idx="222">
                  <c:v>239.97068949564212</c:v>
                </c:pt>
                <c:pt idx="223">
                  <c:v>240.82525773554408</c:v>
                </c:pt>
                <c:pt idx="224">
                  <c:v>241.67663342970008</c:v>
                </c:pt>
                <c:pt idx="225">
                  <c:v>242.52481322388493</c:v>
                </c:pt>
                <c:pt idx="226">
                  <c:v>243.36979385097212</c:v>
                </c:pt>
                <c:pt idx="227">
                  <c:v>244.21157213069307</c:v>
                </c:pt>
                <c:pt idx="228">
                  <c:v>245.05014496939083</c:v>
                </c:pt>
                <c:pt idx="229">
                  <c:v>245.88550935976843</c:v>
                </c:pt>
                <c:pt idx="230">
                  <c:v>246.71766238063191</c:v>
                </c:pt>
                <c:pt idx="231">
                  <c:v>247.54660119662785</c:v>
                </c:pt>
                <c:pt idx="232">
                  <c:v>248.37232305797599</c:v>
                </c:pt>
                <c:pt idx="233">
                  <c:v>249.19482530019641</c:v>
                </c:pt>
                <c:pt idx="234">
                  <c:v>250.01410534383169</c:v>
                </c:pt>
                <c:pt idx="235">
                  <c:v>250.83016069416399</c:v>
                </c:pt>
                <c:pt idx="236">
                  <c:v>251.64298894092715</c:v>
                </c:pt>
                <c:pt idx="237">
                  <c:v>252.45258775801395</c:v>
                </c:pt>
                <c:pt idx="238">
                  <c:v>253.25895490317825</c:v>
                </c:pt>
                <c:pt idx="239">
                  <c:v>254.06208821773274</c:v>
                </c:pt>
                <c:pt idx="240">
                  <c:v>254.86198562624156</c:v>
                </c:pt>
                <c:pt idx="241">
                  <c:v>255.65864513620849</c:v>
                </c:pt>
                <c:pt idx="242">
                  <c:v>256.45163775228377</c:v>
                </c:pt>
                <c:pt idx="243">
                  <c:v>257.24053460296437</c:v>
                </c:pt>
                <c:pt idx="244">
                  <c:v>258.02533454790102</c:v>
                </c:pt>
                <c:pt idx="245">
                  <c:v>258.80603655227083</c:v>
                </c:pt>
                <c:pt idx="246">
                  <c:v>259.5826396862231</c:v>
                </c:pt>
                <c:pt idx="247">
                  <c:v>260.35514312432014</c:v>
                </c:pt>
                <c:pt idx="248">
                  <c:v>261.12354614497247</c:v>
                </c:pt>
                <c:pt idx="249">
                  <c:v>261.88784812986853</c:v>
                </c:pt>
                <c:pt idx="250">
                  <c:v>262.6480485633993</c:v>
                </c:pt>
                <c:pt idx="251">
                  <c:v>263.40414703207796</c:v>
                </c:pt>
                <c:pt idx="252">
                  <c:v>264.1561432239547</c:v>
                </c:pt>
                <c:pt idx="253">
                  <c:v>264.9040369280263</c:v>
                </c:pt>
                <c:pt idx="254">
                  <c:v>265.64782803364096</c:v>
                </c:pt>
                <c:pt idx="255">
                  <c:v>266.38751652989902</c:v>
                </c:pt>
                <c:pt idx="256">
                  <c:v>267.12310250504845</c:v>
                </c:pt>
                <c:pt idx="257">
                  <c:v>267.85458614587651</c:v>
                </c:pt>
                <c:pt idx="258">
                  <c:v>268.58196773709636</c:v>
                </c:pt>
                <c:pt idx="259">
                  <c:v>269.30524766073034</c:v>
                </c:pt>
                <c:pt idx="260">
                  <c:v>270.02442639548855</c:v>
                </c:pt>
                <c:pt idx="261">
                  <c:v>270.7395045161432</c:v>
                </c:pt>
                <c:pt idx="262">
                  <c:v>271.45048269289993</c:v>
                </c:pt>
                <c:pt idx="263">
                  <c:v>272.15736169076433</c:v>
                </c:pt>
                <c:pt idx="264">
                  <c:v>272.8601423689056</c:v>
                </c:pt>
                <c:pt idx="265">
                  <c:v>273.55882568001584</c:v>
                </c:pt>
                <c:pt idx="266">
                  <c:v>274.25341266966689</c:v>
                </c:pt>
                <c:pt idx="267">
                  <c:v>274.94390447566241</c:v>
                </c:pt>
                <c:pt idx="268">
                  <c:v>275.63030232738816</c:v>
                </c:pt>
                <c:pt idx="269">
                  <c:v>276.31260754515779</c:v>
                </c:pt>
                <c:pt idx="270">
                  <c:v>276.99082153955646</c:v>
                </c:pt>
                <c:pt idx="271">
                  <c:v>277.66494581078132</c:v>
                </c:pt>
                <c:pt idx="272">
                  <c:v>278.33498194797846</c:v>
                </c:pt>
                <c:pt idx="273">
                  <c:v>279.0009316285782</c:v>
                </c:pt>
                <c:pt idx="274">
                  <c:v>279.66279661762678</c:v>
                </c:pt>
                <c:pt idx="275">
                  <c:v>280.32057876711588</c:v>
                </c:pt>
                <c:pt idx="276">
                  <c:v>280.97428001530966</c:v>
                </c:pt>
                <c:pt idx="277">
                  <c:v>281.6239023860694</c:v>
                </c:pt>
                <c:pt idx="278">
                  <c:v>282.26944798817584</c:v>
                </c:pt>
                <c:pt idx="279">
                  <c:v>282.91091901464921</c:v>
                </c:pt>
                <c:pt idx="280">
                  <c:v>283.5483177420677</c:v>
                </c:pt>
                <c:pt idx="281">
                  <c:v>284.18164652988321</c:v>
                </c:pt>
                <c:pt idx="282">
                  <c:v>284.81090781973586</c:v>
                </c:pt>
                <c:pt idx="283">
                  <c:v>285.4361041347662</c:v>
                </c:pt>
                <c:pt idx="284">
                  <c:v>286.05774420391282</c:v>
                </c:pt>
                <c:pt idx="285">
                  <c:v>286.6763365198758</c:v>
                </c:pt>
                <c:pt idx="286">
                  <c:v>287.29188264621433</c:v>
                </c:pt>
                <c:pt idx="287">
                  <c:v>287.90438420297102</c:v>
                </c:pt>
                <c:pt idx="288">
                  <c:v>288.51384286625711</c:v>
                </c:pt>
                <c:pt idx="289">
                  <c:v>289.12026036783612</c:v>
                </c:pt>
                <c:pt idx="290">
                  <c:v>289.72363849470679</c:v>
                </c:pt>
                <c:pt idx="291">
                  <c:v>290.32397908868501</c:v>
                </c:pt>
                <c:pt idx="292">
                  <c:v>290.92128404598435</c:v>
                </c:pt>
                <c:pt idx="293">
                  <c:v>291.51555531679622</c:v>
                </c:pt>
                <c:pt idx="294">
                  <c:v>292.10679490486882</c:v>
                </c:pt>
                <c:pt idx="295">
                  <c:v>292.69500486708517</c:v>
                </c:pt>
                <c:pt idx="296">
                  <c:v>293.2801873130411</c:v>
                </c:pt>
                <c:pt idx="297">
                  <c:v>293.86234440462113</c:v>
                </c:pt>
                <c:pt idx="298">
                  <c:v>294.44147835557516</c:v>
                </c:pt>
                <c:pt idx="299">
                  <c:v>295.01759143109348</c:v>
                </c:pt>
                <c:pt idx="300">
                  <c:v>295.59068594738176</c:v>
                </c:pt>
                <c:pt idx="301">
                  <c:v>296.160764271235</c:v>
                </c:pt>
                <c:pt idx="302">
                  <c:v>296.72782881961172</c:v>
                </c:pt>
                <c:pt idx="303">
                  <c:v>297.29188205920678</c:v>
                </c:pt>
                <c:pt idx="304">
                  <c:v>297.8529265060244</c:v>
                </c:pt>
                <c:pt idx="305">
                  <c:v>298.41096472495093</c:v>
                </c:pt>
                <c:pt idx="306">
                  <c:v>298.96599932932645</c:v>
                </c:pt>
                <c:pt idx="307">
                  <c:v>299.51803298051732</c:v>
                </c:pt>
                <c:pt idx="308">
                  <c:v>300.06706838748755</c:v>
                </c:pt>
                <c:pt idx="309">
                  <c:v>300.61310830637001</c:v>
                </c:pt>
                <c:pt idx="310">
                  <c:v>301.15615554003818</c:v>
                </c:pt>
                <c:pt idx="311">
                  <c:v>301.69621293767727</c:v>
                </c:pt>
                <c:pt idx="312">
                  <c:v>302.23328339435511</c:v>
                </c:pt>
                <c:pt idx="313">
                  <c:v>302.76736985059364</c:v>
                </c:pt>
                <c:pt idx="314">
                  <c:v>303.29847529193978</c:v>
                </c:pt>
                <c:pt idx="315">
                  <c:v>303.8266027485368</c:v>
                </c:pt>
                <c:pt idx="316">
                  <c:v>304.35175529469547</c:v>
                </c:pt>
                <c:pt idx="317">
                  <c:v>304.87393604846557</c:v>
                </c:pt>
                <c:pt idx="318">
                  <c:v>305.39314817120749</c:v>
                </c:pt>
                <c:pt idx="319">
                  <c:v>305.90939486716428</c:v>
                </c:pt>
                <c:pt idx="320">
                  <c:v>306.42267938303326</c:v>
                </c:pt>
                <c:pt idx="321">
                  <c:v>306.93300500753867</c:v>
                </c:pt>
                <c:pt idx="322">
                  <c:v>307.44037507100444</c:v>
                </c:pt>
                <c:pt idx="323">
                  <c:v>307.94479294492714</c:v>
                </c:pt>
                <c:pt idx="324">
                  <c:v>308.44626204154946</c:v>
                </c:pt>
                <c:pt idx="325">
                  <c:v>308.94478581343418</c:v>
                </c:pt>
                <c:pt idx="326">
                  <c:v>309.44039911841662</c:v>
                </c:pt>
                <c:pt idx="327">
                  <c:v>309.93313682198169</c:v>
                </c:pt>
                <c:pt idx="328">
                  <c:v>310.42300239834105</c:v>
                </c:pt>
                <c:pt idx="329">
                  <c:v>310.90999935934508</c:v>
                </c:pt>
                <c:pt idx="330">
                  <c:v>311.39413125407503</c:v>
                </c:pt>
                <c:pt idx="331">
                  <c:v>311.87540166843536</c:v>
                </c:pt>
                <c:pt idx="332">
                  <c:v>312.35381422474688</c:v>
                </c:pt>
                <c:pt idx="333">
                  <c:v>312.82937258134081</c:v>
                </c:pt>
                <c:pt idx="334">
                  <c:v>313.30208043215322</c:v>
                </c:pt>
                <c:pt idx="335">
                  <c:v>313.7719415063201</c:v>
                </c:pt>
                <c:pt idx="336">
                  <c:v>314.23895956777363</c:v>
                </c:pt>
                <c:pt idx="337">
                  <c:v>314.70313841483915</c:v>
                </c:pt>
                <c:pt idx="338">
                  <c:v>315.16448187983241</c:v>
                </c:pt>
                <c:pt idx="339">
                  <c:v>315.62299382865859</c:v>
                </c:pt>
                <c:pt idx="340">
                  <c:v>316.07867816041124</c:v>
                </c:pt>
                <c:pt idx="341">
                  <c:v>316.53153880697289</c:v>
                </c:pt>
                <c:pt idx="342">
                  <c:v>316.98157973261635</c:v>
                </c:pt>
                <c:pt idx="343">
                  <c:v>317.42880493360667</c:v>
                </c:pt>
                <c:pt idx="344">
                  <c:v>317.87321843780467</c:v>
                </c:pt>
                <c:pt idx="345">
                  <c:v>318.31482430427087</c:v>
                </c:pt>
                <c:pt idx="346">
                  <c:v>318.75362662287125</c:v>
                </c:pt>
                <c:pt idx="347">
                  <c:v>319.18962951388295</c:v>
                </c:pt>
                <c:pt idx="348">
                  <c:v>319.62283712760251</c:v>
                </c:pt>
                <c:pt idx="349">
                  <c:v>320.05325364395389</c:v>
                </c:pt>
                <c:pt idx="350">
                  <c:v>320.48088327209854</c:v>
                </c:pt>
                <c:pt idx="351">
                  <c:v>320.90573025004608</c:v>
                </c:pt>
                <c:pt idx="352">
                  <c:v>321.32779884426657</c:v>
                </c:pt>
                <c:pt idx="353">
                  <c:v>321.74709334930395</c:v>
                </c:pt>
                <c:pt idx="354">
                  <c:v>322.16361808739049</c:v>
                </c:pt>
                <c:pt idx="355">
                  <c:v>322.57737740806266</c:v>
                </c:pt>
                <c:pt idx="356">
                  <c:v>322.98837568777822</c:v>
                </c:pt>
                <c:pt idx="357">
                  <c:v>323.39661732953488</c:v>
                </c:pt>
                <c:pt idx="358">
                  <c:v>323.8021067624901</c:v>
                </c:pt>
                <c:pt idx="359">
                  <c:v>324.20484844158193</c:v>
                </c:pt>
                <c:pt idx="360">
                  <c:v>324.60484684715192</c:v>
                </c:pt>
                <c:pt idx="361">
                  <c:v>325.0021064845688</c:v>
                </c:pt>
                <c:pt idx="362">
                  <c:v>325.39663188385407</c:v>
                </c:pt>
                <c:pt idx="363">
                  <c:v>325.78842759930848</c:v>
                </c:pt>
                <c:pt idx="364">
                  <c:v>326.17749820914048</c:v>
                </c:pt>
                <c:pt idx="365">
                  <c:v>326.5638483150961</c:v>
                </c:pt>
                <c:pt idx="366">
                  <c:v>326.94828400142922</c:v>
                </c:pt>
                <c:pt idx="367">
                  <c:v>327.3316103045488</c:v>
                </c:pt>
                <c:pt idx="368">
                  <c:v>327.7138289580846</c:v>
                </c:pt>
                <c:pt idx="369">
                  <c:v>328.09494170367753</c:v>
                </c:pt>
                <c:pt idx="370">
                  <c:v>328.4749502908935</c:v>
                </c:pt>
                <c:pt idx="371">
                  <c:v>328.85385647713656</c:v>
                </c:pt>
                <c:pt idx="372">
                  <c:v>329.23166202756346</c:v>
                </c:pt>
                <c:pt idx="373">
                  <c:v>329.60836871499731</c:v>
                </c:pt>
                <c:pt idx="374">
                  <c:v>329.98397831984249</c:v>
                </c:pt>
                <c:pt idx="375">
                  <c:v>330.35849262999903</c:v>
                </c:pt>
                <c:pt idx="376">
                  <c:v>330.73191344077782</c:v>
                </c:pt>
                <c:pt idx="377">
                  <c:v>331.1042425548157</c:v>
                </c:pt>
                <c:pt idx="378">
                  <c:v>331.47548178199105</c:v>
                </c:pt>
                <c:pt idx="379">
                  <c:v>331.84563293933951</c:v>
                </c:pt>
                <c:pt idx="380">
                  <c:v>332.21469785096997</c:v>
                </c:pt>
                <c:pt idx="381">
                  <c:v>332.5818108025091</c:v>
                </c:pt>
                <c:pt idx="382">
                  <c:v>332.94610730204221</c:v>
                </c:pt>
                <c:pt idx="383">
                  <c:v>333.30759248745125</c:v>
                </c:pt>
                <c:pt idx="384">
                  <c:v>333.6662715175035</c:v>
                </c:pt>
                <c:pt idx="385">
                  <c:v>334.02214957146657</c:v>
                </c:pt>
                <c:pt idx="386">
                  <c:v>334.37523184872521</c:v>
                </c:pt>
                <c:pt idx="387">
                  <c:v>334.72552356840009</c:v>
                </c:pt>
                <c:pt idx="388">
                  <c:v>335.07302996896829</c:v>
                </c:pt>
                <c:pt idx="389">
                  <c:v>335.41775630788607</c:v>
                </c:pt>
                <c:pt idx="390">
                  <c:v>335.75970786121303</c:v>
                </c:pt>
                <c:pt idx="391">
                  <c:v>336.09888992323914</c:v>
                </c:pt>
                <c:pt idx="392">
                  <c:v>336.43530780611269</c:v>
                </c:pt>
                <c:pt idx="393">
                  <c:v>336.76896683947126</c:v>
                </c:pt>
                <c:pt idx="394">
                  <c:v>337.09987237007374</c:v>
                </c:pt>
                <c:pt idx="395">
                  <c:v>337.4280297614352</c:v>
                </c:pt>
                <c:pt idx="396">
                  <c:v>337.75344439346321</c:v>
                </c:pt>
                <c:pt idx="397">
                  <c:v>338.07612166209657</c:v>
                </c:pt>
                <c:pt idx="398">
                  <c:v>338.3960669789459</c:v>
                </c:pt>
                <c:pt idx="399">
                  <c:v>338.71328577093624</c:v>
                </c:pt>
                <c:pt idx="400">
                  <c:v>339.02778347995212</c:v>
                </c:pt>
                <c:pt idx="401">
                  <c:v>339.33888203939938</c:v>
                </c:pt>
                <c:pt idx="402">
                  <c:v>339.64590446101278</c:v>
                </c:pt>
                <c:pt idx="403">
                  <c:v>339.94885901465369</c:v>
                </c:pt>
                <c:pt idx="404">
                  <c:v>340.24775399792793</c:v>
                </c:pt>
                <c:pt idx="405">
                  <c:v>340.54259773546909</c:v>
                </c:pt>
                <c:pt idx="406">
                  <c:v>340.83339857822614</c:v>
                </c:pt>
                <c:pt idx="407">
                  <c:v>341.12016490275596</c:v>
                </c:pt>
                <c:pt idx="408">
                  <c:v>341.40290511052018</c:v>
                </c:pt>
                <c:pt idx="409">
                  <c:v>341.68162762718703</c:v>
                </c:pt>
                <c:pt idx="410">
                  <c:v>341.95634090193732</c:v>
                </c:pt>
                <c:pt idx="411">
                  <c:v>342.22327403266087</c:v>
                </c:pt>
                <c:pt idx="412">
                  <c:v>342.47866246461325</c:v>
                </c:pt>
                <c:pt idx="413">
                  <c:v>342.72253090685268</c:v>
                </c:pt>
                <c:pt idx="414">
                  <c:v>342.95490425311226</c:v>
                </c:pt>
                <c:pt idx="415">
                  <c:v>343.17580757669668</c:v>
                </c:pt>
                <c:pt idx="416">
                  <c:v>343.38526612541108</c:v>
                </c:pt>
                <c:pt idx="417">
                  <c:v>343.58330531652257</c:v>
                </c:pt>
                <c:pt idx="418">
                  <c:v>343.76995073175533</c:v>
                </c:pt>
                <c:pt idx="419">
                  <c:v>343.94522811231974</c:v>
                </c:pt>
                <c:pt idx="420">
                  <c:v>344.10701241567273</c:v>
                </c:pt>
                <c:pt idx="421">
                  <c:v>344.25318287063675</c:v>
                </c:pt>
                <c:pt idx="422">
                  <c:v>344.38377573384429</c:v>
                </c:pt>
                <c:pt idx="423">
                  <c:v>344.49882755207182</c:v>
                </c:pt>
                <c:pt idx="424">
                  <c:v>344.59837515311978</c:v>
                </c:pt>
                <c:pt idx="425">
                  <c:v>344.68245563675595</c:v>
                </c:pt>
                <c:pt idx="426">
                  <c:v>344.7511063657235</c:v>
                </c:pt>
                <c:pt idx="427">
                  <c:v>344.80436495681511</c:v>
                </c:pt>
                <c:pt idx="428">
                  <c:v>344.84226927201433</c:v>
                </c:pt>
                <c:pt idx="429">
                  <c:v>344.86485740970511</c:v>
                </c:pt>
                <c:pt idx="430">
                  <c:v>344.87216769595085</c:v>
                </c:pt>
                <c:pt idx="431">
                  <c:v>344.86423867584432</c:v>
                </c:pt>
                <c:pt idx="432">
                  <c:v>344.83764157027144</c:v>
                </c:pt>
                <c:pt idx="433">
                  <c:v>344.78895582601689</c:v>
                </c:pt>
                <c:pt idx="434">
                  <c:v>344.71823895510329</c:v>
                </c:pt>
                <c:pt idx="435">
                  <c:v>344.6255489600224</c:v>
                </c:pt>
                <c:pt idx="436">
                  <c:v>344.5109443157279</c:v>
                </c:pt>
                <c:pt idx="437">
                  <c:v>344.37448395177057</c:v>
                </c:pt>
                <c:pt idx="438">
                  <c:v>344.21622723457813</c:v>
                </c:pt>
                <c:pt idx="439">
                  <c:v>344.03623394988404</c:v>
                </c:pt>
                <c:pt idx="440">
                  <c:v>343.8345642853069</c:v>
                </c:pt>
                <c:pt idx="441">
                  <c:v>343.61127881308477</c:v>
                </c:pt>
                <c:pt idx="442">
                  <c:v>343.36854471931929</c:v>
                </c:pt>
                <c:pt idx="443">
                  <c:v>343.10852375620021</c:v>
                </c:pt>
                <c:pt idx="444">
                  <c:v>342.83126506143378</c:v>
                </c:pt>
                <c:pt idx="445">
                  <c:v>342.53681792387846</c:v>
                </c:pt>
                <c:pt idx="446">
                  <c:v>342.22523177323063</c:v>
                </c:pt>
                <c:pt idx="447">
                  <c:v>341.89655616982458</c:v>
                </c:pt>
                <c:pt idx="448">
                  <c:v>341.55084079454741</c:v>
                </c:pt>
                <c:pt idx="449">
                  <c:v>341.18813543886984</c:v>
                </c:pt>
                <c:pt idx="450">
                  <c:v>340.80848999499267</c:v>
                </c:pt>
                <c:pt idx="451">
                  <c:v>340.4119544461106</c:v>
                </c:pt>
                <c:pt idx="452">
                  <c:v>339.99857885679182</c:v>
                </c:pt>
                <c:pt idx="453">
                  <c:v>339.57142934595629</c:v>
                </c:pt>
                <c:pt idx="454">
                  <c:v>339.13356282251209</c:v>
                </c:pt>
                <c:pt idx="455">
                  <c:v>338.68501034255951</c:v>
                </c:pt>
                <c:pt idx="456">
                  <c:v>338.22580290164615</c:v>
                </c:pt>
                <c:pt idx="457">
                  <c:v>337.75597143160968</c:v>
                </c:pt>
                <c:pt idx="458">
                  <c:v>337.27554679746947</c:v>
                </c:pt>
                <c:pt idx="459">
                  <c:v>336.78455979436501</c:v>
                </c:pt>
                <c:pt idx="460">
                  <c:v>336.28304114454215</c:v>
                </c:pt>
                <c:pt idx="461">
                  <c:v>335.7737354435007</c:v>
                </c:pt>
                <c:pt idx="462">
                  <c:v>335.25937853569326</c:v>
                </c:pt>
                <c:pt idx="463">
                  <c:v>334.73998328326257</c:v>
                </c:pt>
                <c:pt idx="464">
                  <c:v>334.21556247632583</c:v>
                </c:pt>
                <c:pt idx="465">
                  <c:v>333.68612883270038</c:v>
                </c:pt>
                <c:pt idx="466">
                  <c:v>333.14941515211672</c:v>
                </c:pt>
                <c:pt idx="467">
                  <c:v>332.60316152106151</c:v>
                </c:pt>
                <c:pt idx="468">
                  <c:v>332.02200689177425</c:v>
                </c:pt>
                <c:pt idx="469">
                  <c:v>331.41174363843885</c:v>
                </c:pt>
                <c:pt idx="470">
                  <c:v>330.80353286228359</c:v>
                </c:pt>
                <c:pt idx="471">
                  <c:v>330.19736318266621</c:v>
                </c:pt>
                <c:pt idx="472">
                  <c:v>329.59322330369935</c:v>
                </c:pt>
                <c:pt idx="473">
                  <c:v>328.99110201345741</c:v>
                </c:pt>
                <c:pt idx="474">
                  <c:v>328.39098818319178</c:v>
                </c:pt>
                <c:pt idx="475">
                  <c:v>327.7928707665555</c:v>
                </c:pt>
                <c:pt idx="476">
                  <c:v>327.19673879883607</c:v>
                </c:pt>
                <c:pt idx="477">
                  <c:v>326.60258139619731</c:v>
                </c:pt>
                <c:pt idx="478">
                  <c:v>326.01038775492924</c:v>
                </c:pt>
                <c:pt idx="479">
                  <c:v>325.42014715070684</c:v>
                </c:pt>
                <c:pt idx="480">
                  <c:v>324.83184893785665</c:v>
                </c:pt>
                <c:pt idx="481">
                  <c:v>324.24548254863163</c:v>
                </c:pt>
                <c:pt idx="482">
                  <c:v>323.6610374924943</c:v>
                </c:pt>
                <c:pt idx="483">
                  <c:v>323.07850335540735</c:v>
                </c:pt>
                <c:pt idx="484">
                  <c:v>322.49786979913267</c:v>
                </c:pt>
                <c:pt idx="485">
                  <c:v>321.91912656053739</c:v>
                </c:pt>
                <c:pt idx="486">
                  <c:v>321.34226345090855</c:v>
                </c:pt>
                <c:pt idx="487">
                  <c:v>320.76727035527409</c:v>
                </c:pt>
                <c:pt idx="488">
                  <c:v>320.19413723173244</c:v>
                </c:pt>
                <c:pt idx="489">
                  <c:v>319.62285411078864</c:v>
                </c:pt>
                <c:pt idx="490">
                  <c:v>319.05341109469805</c:v>
                </c:pt>
                <c:pt idx="491">
                  <c:v>318.48579835681727</c:v>
                </c:pt>
                <c:pt idx="492">
                  <c:v>317.92000614096202</c:v>
                </c:pt>
                <c:pt idx="493">
                  <c:v>317.35602476077196</c:v>
                </c:pt>
                <c:pt idx="494">
                  <c:v>316.79384459908238</c:v>
                </c:pt>
                <c:pt idx="495">
                  <c:v>316.23345610730297</c:v>
                </c:pt>
                <c:pt idx="496">
                  <c:v>315.67484980480288</c:v>
                </c:pt>
                <c:pt idx="497">
                  <c:v>315.11801627830272</c:v>
                </c:pt>
                <c:pt idx="498">
                  <c:v>314.56294618127316</c:v>
                </c:pt>
                <c:pt idx="499">
                  <c:v>314.00963023333958</c:v>
                </c:pt>
                <c:pt idx="500">
                  <c:v>313.45805921969355</c:v>
                </c:pt>
                <c:pt idx="501">
                  <c:v>307.95972505456911</c:v>
                </c:pt>
                <c:pt idx="502">
                  <c:v>302.63224157695055</c:v>
                </c:pt>
                <c:pt idx="503">
                  <c:v>297.46687545142936</c:v>
                </c:pt>
                <c:pt idx="504">
                  <c:v>292.4554850603281</c:v>
                </c:pt>
                <c:pt idx="505">
                  <c:v>287.59047075044055</c:v>
                </c:pt>
                <c:pt idx="506">
                  <c:v>282.8647300476091</c:v>
                </c:pt>
                <c:pt idx="507">
                  <c:v>278.27161726727485</c:v>
                </c:pt>
                <c:pt idx="508">
                  <c:v>273.80490702341541</c:v>
                </c:pt>
                <c:pt idx="509">
                  <c:v>269.45876120186017</c:v>
                </c:pt>
                <c:pt idx="510">
                  <c:v>265.22769901852052</c:v>
                </c:pt>
                <c:pt idx="511">
                  <c:v>261.10656983001064</c:v>
                </c:pt>
                <c:pt idx="512">
                  <c:v>257.09052840461766</c:v>
                </c:pt>
                <c:pt idx="513">
                  <c:v>253.17501239658904</c:v>
                </c:pt>
                <c:pt idx="514">
                  <c:v>249.35572179704837</c:v>
                </c:pt>
                <c:pt idx="515">
                  <c:v>245.6286001612105</c:v>
                </c:pt>
                <c:pt idx="516">
                  <c:v>241.98981743452089</c:v>
                </c:pt>
                <c:pt idx="517">
                  <c:v>238.4357542203696</c:v>
                </c:pt>
                <c:pt idx="518">
                  <c:v>234.96298734954453</c:v>
                </c:pt>
                <c:pt idx="519">
                  <c:v>231.56827662692993</c:v>
                </c:pt>
                <c:pt idx="520">
                  <c:v>228.24855264442789</c:v>
                </c:pt>
                <c:pt idx="521">
                  <c:v>225.00090556092769</c:v>
                </c:pt>
                <c:pt idx="522">
                  <c:v>221.82257476058825</c:v>
                </c:pt>
                <c:pt idx="523">
                  <c:v>218.71093930991609</c:v>
                </c:pt>
                <c:pt idx="524">
                  <c:v>215.66350914227147</c:v>
                </c:pt>
                <c:pt idx="525">
                  <c:v>212.67791690565576</c:v>
                </c:pt>
                <c:pt idx="526">
                  <c:v>209.75191041604046</c:v>
                </c:pt>
                <c:pt idx="527">
                  <c:v>206.88334566419019</c:v>
                </c:pt>
                <c:pt idx="528">
                  <c:v>204.07018032900223</c:v>
                </c:pt>
                <c:pt idx="529">
                  <c:v>201.31046775490239</c:v>
                </c:pt>
                <c:pt idx="530">
                  <c:v>198.60235135487071</c:v>
                </c:pt>
                <c:pt idx="531">
                  <c:v>195.94405940427828</c:v>
                </c:pt>
                <c:pt idx="532">
                  <c:v>193.33390019394486</c:v>
                </c:pt>
                <c:pt idx="533">
                  <c:v>190.77025751372312</c:v>
                </c:pt>
                <c:pt idx="534">
                  <c:v>188.2515864405147</c:v>
                </c:pt>
                <c:pt idx="535">
                  <c:v>185.77640940696043</c:v>
                </c:pt>
                <c:pt idx="536">
                  <c:v>183.34331252915052</c:v>
                </c:pt>
                <c:pt idx="537">
                  <c:v>180.95094217359653</c:v>
                </c:pt>
                <c:pt idx="538">
                  <c:v>178.59800174541775</c:v>
                </c:pt>
                <c:pt idx="539">
                  <c:v>176.28324868124028</c:v>
                </c:pt>
                <c:pt idx="540">
                  <c:v>174.00549163170484</c:v>
                </c:pt>
                <c:pt idx="541">
                  <c:v>171.76358781974548</c:v>
                </c:pt>
                <c:pt idx="542">
                  <c:v>169.55644056194893</c:v>
                </c:pt>
                <c:pt idx="543">
                  <c:v>167.3829969413454</c:v>
                </c:pt>
                <c:pt idx="544">
                  <c:v>165.24224562092868</c:v>
                </c:pt>
                <c:pt idx="545">
                  <c:v>163.13321478806259</c:v>
                </c:pt>
                <c:pt idx="546">
                  <c:v>161.05497022071543</c:v>
                </c:pt>
                <c:pt idx="547">
                  <c:v>159.00661346717703</c:v>
                </c:pt>
                <c:pt idx="548">
                  <c:v>156.98728013156494</c:v>
                </c:pt>
                <c:pt idx="549">
                  <c:v>154.99613825801998</c:v>
                </c:pt>
                <c:pt idx="550">
                  <c:v>153.03238680703581</c:v>
                </c:pt>
                <c:pt idx="551">
                  <c:v>151.09525421786364</c:v>
                </c:pt>
                <c:pt idx="552">
                  <c:v>149.18399705138845</c:v>
                </c:pt>
                <c:pt idx="553">
                  <c:v>147.29789870829055</c:v>
                </c:pt>
                <c:pt idx="554">
                  <c:v>145.43626821768888</c:v>
                </c:pt>
                <c:pt idx="555">
                  <c:v>143.59843909181362</c:v>
                </c:pt>
                <c:pt idx="556">
                  <c:v>141.78376824257887</c:v>
                </c:pt>
                <c:pt idx="557">
                  <c:v>139.99163495622304</c:v>
                </c:pt>
                <c:pt idx="558">
                  <c:v>138.22143992245728</c:v>
                </c:pt>
                <c:pt idx="559">
                  <c:v>136.47260431481564</c:v>
                </c:pt>
                <c:pt idx="560">
                  <c:v>134.74456891913132</c:v>
                </c:pt>
                <c:pt idx="561">
                  <c:v>133.03679330727826</c:v>
                </c:pt>
                <c:pt idx="562">
                  <c:v>131.34875505351599</c:v>
                </c:pt>
                <c:pt idx="563">
                  <c:v>129.67994899095734</c:v>
                </c:pt>
                <c:pt idx="564">
                  <c:v>128.02988650584948</c:v>
                </c:pt>
                <c:pt idx="565">
                  <c:v>126.39809486751409</c:v>
                </c:pt>
                <c:pt idx="566">
                  <c:v>124.78411659193922</c:v>
                </c:pt>
                <c:pt idx="567">
                  <c:v>123.18750883714966</c:v>
                </c:pt>
                <c:pt idx="568">
                  <c:v>121.6078428286077</c:v>
                </c:pt>
                <c:pt idx="569">
                  <c:v>120.04470331301361</c:v>
                </c:pt>
                <c:pt idx="570">
                  <c:v>118.49768803898263</c:v>
                </c:pt>
                <c:pt idx="571">
                  <c:v>116.96640726317685</c:v>
                </c:pt>
                <c:pt idx="572">
                  <c:v>115.45048328056463</c:v>
                </c:pt>
                <c:pt idx="573">
                  <c:v>113.949549977568</c:v>
                </c:pt>
                <c:pt idx="574">
                  <c:v>112.46325240694128</c:v>
                </c:pt>
                <c:pt idx="575">
                  <c:v>110.99124638330075</c:v>
                </c:pt>
                <c:pt idx="576">
                  <c:v>109.5331980982981</c:v>
                </c:pt>
                <c:pt idx="577">
                  <c:v>108.08878375449831</c:v>
                </c:pt>
                <c:pt idx="578">
                  <c:v>106.65768921708657</c:v>
                </c:pt>
                <c:pt idx="579">
                  <c:v>105.2396096825894</c:v>
                </c:pt>
                <c:pt idx="580">
                  <c:v>103.83424936385256</c:v>
                </c:pt>
                <c:pt idx="581">
                  <c:v>102.44132119057224</c:v>
                </c:pt>
                <c:pt idx="582">
                  <c:v>101.06054652472794</c:v>
                </c:pt>
                <c:pt idx="583">
                  <c:v>99.691654890314823</c:v>
                </c:pt>
                <c:pt idx="584">
                  <c:v>98.334383716819758</c:v>
                </c:pt>
                <c:pt idx="585">
                  <c:v>96.98847809593201</c:v>
                </c:pt>
                <c:pt idx="586">
                  <c:v>95.653690551021697</c:v>
                </c:pt>
                <c:pt idx="587">
                  <c:v>94.329780818962945</c:v>
                </c:pt>
                <c:pt idx="588">
                  <c:v>93.016515643919163</c:v>
                </c:pt>
                <c:pt idx="589">
                  <c:v>91.713668582749236</c:v>
                </c:pt>
                <c:pt idx="590">
                  <c:v>90.421019821732571</c:v>
                </c:pt>
                <c:pt idx="591">
                  <c:v>89.138356004351522</c:v>
                </c:pt>
                <c:pt idx="592">
                  <c:v>87.865470069908653</c:v>
                </c:pt>
                <c:pt idx="593">
                  <c:v>86.602161102796657</c:v>
                </c:pt>
                <c:pt idx="594">
                  <c:v>85.348234192278781</c:v>
                </c:pt>
                <c:pt idx="595">
                  <c:v>84.103500302679208</c:v>
                </c:pt>
                <c:pt idx="596">
                  <c:v>82.86777615392441</c:v>
                </c:pt>
                <c:pt idx="597">
                  <c:v>81.64088411242129</c:v>
                </c:pt>
                <c:pt idx="598">
                  <c:v>80.422652092302513</c:v>
                </c:pt>
                <c:pt idx="599">
                  <c:v>79.212913467118156</c:v>
                </c:pt>
                <c:pt idx="600">
                  <c:v>78.011506992102596</c:v>
                </c:pt>
                <c:pt idx="601">
                  <c:v>76.818276737200236</c:v>
                </c:pt>
                <c:pt idx="602">
                  <c:v>75.633072031090308</c:v>
                </c:pt>
                <c:pt idx="603">
                  <c:v>74.455747416513447</c:v>
                </c:pt>
                <c:pt idx="604">
                  <c:v>73.286162617269483</c:v>
                </c:pt>
                <c:pt idx="605">
                  <c:v>72.12418251732872</c:v>
                </c:pt>
                <c:pt idx="606">
                  <c:v>70.969677152578356</c:v>
                </c:pt>
                <c:pt idx="607">
                  <c:v>69.822521715812812</c:v>
                </c:pt>
                <c:pt idx="608">
                  <c:v>68.682596575672633</c:v>
                </c:pt>
                <c:pt idx="609">
                  <c:v>67.549787310342836</c:v>
                </c:pt>
                <c:pt idx="610">
                  <c:v>66.423984756938296</c:v>
                </c:pt>
                <c:pt idx="611">
                  <c:v>65.305085077635169</c:v>
                </c:pt>
                <c:pt idx="612">
                  <c:v>64.192989843751931</c:v>
                </c:pt>
                <c:pt idx="613">
                  <c:v>63.087606139146864</c:v>
                </c:pt>
                <c:pt idx="614">
                  <c:v>61.988846684480293</c:v>
                </c:pt>
                <c:pt idx="615">
                  <c:v>60.896629984094652</c:v>
                </c:pt>
                <c:pt idx="616">
                  <c:v>59.810880497494985</c:v>
                </c:pt>
                <c:pt idx="617">
                  <c:v>58.731528837671526</c:v>
                </c:pt>
                <c:pt idx="618">
                  <c:v>57.658511998798197</c:v>
                </c:pt>
                <c:pt idx="619">
                  <c:v>56.591773616171295</c:v>
                </c:pt>
                <c:pt idx="620">
                  <c:v>55.531264261626696</c:v>
                </c:pt>
                <c:pt idx="621">
                  <c:v>54.476941778097668</c:v>
                </c:pt>
                <c:pt idx="622">
                  <c:v>53.428771657457034</c:v>
                </c:pt>
                <c:pt idx="623">
                  <c:v>52.386727466334094</c:v>
                </c:pt>
                <c:pt idx="624">
                  <c:v>51.350791325218836</c:v>
                </c:pt>
                <c:pt idx="625">
                  <c:v>50.320954446874381</c:v>
                </c:pt>
                <c:pt idx="626">
                  <c:v>49.297217740885209</c:v>
                </c:pt>
                <c:pt idx="627">
                  <c:v>48.279592492089002</c:v>
                </c:pt>
                <c:pt idx="628">
                  <c:v>47.268101121688417</c:v>
                </c:pt>
                <c:pt idx="629">
                  <c:v>46.262778041035759</c:v>
                </c:pt>
                <c:pt idx="630">
                  <c:v>45.263670609447701</c:v>
                </c:pt>
                <c:pt idx="631">
                  <c:v>44.270840208962284</c:v>
                </c:pt>
                <c:pt idx="632">
                  <c:v>43.28436345072182</c:v>
                </c:pt>
                <c:pt idx="633">
                  <c:v>42.304333529679965</c:v>
                </c:pt>
                <c:pt idx="634">
                  <c:v>41.330861746619107</c:v>
                </c:pt>
                <c:pt idx="635">
                  <c:v>40.364079219054972</c:v>
                </c:pt>
                <c:pt idx="636">
                  <c:v>39.404138805529584</c:v>
                </c:pt>
                <c:pt idx="637">
                  <c:v>38.451217271079315</c:v>
                </c:pt>
                <c:pt idx="638">
                  <c:v>37.505517725333263</c:v>
                </c:pt>
                <c:pt idx="639">
                  <c:v>36.567272368761671</c:v>
                </c:pt>
                <c:pt idx="640">
                  <c:v>35.636745587047848</c:v>
                </c:pt>
                <c:pt idx="641">
                  <c:v>34.714237438367071</c:v>
                </c:pt>
                <c:pt idx="642">
                  <c:v>33.800087583445816</c:v>
                </c:pt>
                <c:pt idx="643">
                  <c:v>32.894679713503841</c:v>
                </c:pt>
                <c:pt idx="644">
                  <c:v>31.998446536316752</c:v>
                </c:pt>
                <c:pt idx="645">
                  <c:v>31.111875385309936</c:v>
                </c:pt>
                <c:pt idx="646">
                  <c:v>30.235514520248753</c:v>
                </c:pt>
                <c:pt idx="647">
                  <c:v>29.369980189902975</c:v>
                </c:pt>
                <c:pt idx="648">
                  <c:v>28.51596452585115</c:v>
                </c:pt>
                <c:pt idx="649">
                  <c:v>27.674244330677556</c:v>
                </c:pt>
                <c:pt idx="650">
                  <c:v>26.845690810877127</c:v>
                </c:pt>
                <c:pt idx="651">
                  <c:v>26.031280281658024</c:v>
                </c:pt>
                <c:pt idx="652">
                  <c:v>25.232105833301901</c:v>
                </c:pt>
                <c:pt idx="653">
                  <c:v>24.449389891331634</c:v>
                </c:pt>
                <c:pt idx="654">
                  <c:v>23.684497518553787</c:v>
                </c:pt>
                <c:pt idx="655">
                  <c:v>22.938950187784403</c:v>
                </c:pt>
                <c:pt idx="656">
                  <c:v>22.214439590336106</c:v>
                </c:pt>
                <c:pt idx="657">
                  <c:v>21.512840827561213</c:v>
                </c:pt>
                <c:pt idx="658">
                  <c:v>20.836224053006021</c:v>
                </c:pt>
                <c:pt idx="659">
                  <c:v>20.186863288111887</c:v>
                </c:pt>
                <c:pt idx="660">
                  <c:v>19.567240732205413</c:v>
                </c:pt>
                <c:pt idx="661">
                  <c:v>18.980044452797213</c:v>
                </c:pt>
                <c:pt idx="662">
                  <c:v>18.428156927193211</c:v>
                </c:pt>
                <c:pt idx="663">
                  <c:v>17.914631600263796</c:v>
                </c:pt>
                <c:pt idx="664">
                  <c:v>17.442654558036725</c:v>
                </c:pt>
                <c:pt idx="665">
                  <c:v>17.015488763178094</c:v>
                </c:pt>
                <c:pt idx="666">
                  <c:v>16.63639924110436</c:v>
                </c:pt>
                <c:pt idx="667">
                  <c:v>16.308559290384416</c:v>
                </c:pt>
                <c:pt idx="668">
                  <c:v>16.03494024328851</c:v>
                </c:pt>
                <c:pt idx="669">
                  <c:v>15.818190331223468</c:v>
                </c:pt>
                <c:pt idx="670">
                  <c:v>15.660511343123083</c:v>
                </c:pt>
                <c:pt idx="671">
                  <c:v>15.563544270701611</c:v>
                </c:pt>
                <c:pt idx="672">
                  <c:v>15.528276179002509</c:v>
                </c:pt>
                <c:pt idx="673">
                  <c:v>15.554979472611262</c:v>
                </c:pt>
                <c:pt idx="674">
                  <c:v>15.643191391640849</c:v>
                </c:pt>
                <c:pt idx="675">
                  <c:v>15.791736486751484</c:v>
                </c:pt>
                <c:pt idx="676">
                  <c:v>15.998789095105627</c:v>
                </c:pt>
                <c:pt idx="677">
                  <c:v>16.261967802667321</c:v>
                </c:pt>
                <c:pt idx="678">
                  <c:v>16.578450622829436</c:v>
                </c:pt>
                <c:pt idx="679">
                  <c:v>16.945098642178966</c:v>
                </c:pt>
                <c:pt idx="680">
                  <c:v>17.35857700291357</c:v>
                </c:pt>
                <c:pt idx="681">
                  <c:v>17.815464643210525</c:v>
                </c:pt>
                <c:pt idx="682">
                  <c:v>18.312347365642587</c:v>
                </c:pt>
                <c:pt idx="683">
                  <c:v>18.845891823809332</c:v>
                </c:pt>
                <c:pt idx="684">
                  <c:v>19.412900446343645</c:v>
                </c:pt>
                <c:pt idx="685">
                  <c:v>20.010348974166142</c:v>
                </c:pt>
                <c:pt idx="686">
                  <c:v>20.635409203024732</c:v>
                </c:pt>
                <c:pt idx="687">
                  <c:v>21.285459848463386</c:v>
                </c:pt>
                <c:pt idx="688">
                  <c:v>21.95808837012904</c:v>
                </c:pt>
                <c:pt idx="689">
                  <c:v>22.651086276815395</c:v>
                </c:pt>
                <c:pt idx="690">
                  <c:v>23.362440013752334</c:v>
                </c:pt>
                <c:pt idx="691">
                  <c:v>24.090319097184729</c:v>
                </c:pt>
                <c:pt idx="692">
                  <c:v>24.833062759312423</c:v>
                </c:pt>
                <c:pt idx="693">
                  <c:v>25.589166023344553</c:v>
                </c:pt>
                <c:pt idx="694">
                  <c:v>26.357265850456788</c:v>
                </c:pt>
                <c:pt idx="695">
                  <c:v>27.136127784529396</c:v>
                </c:pt>
                <c:pt idx="696">
                  <c:v>27.92463335857197</c:v>
                </c:pt>
                <c:pt idx="697">
                  <c:v>28.721768409026517</c:v>
                </c:pt>
                <c:pt idx="698">
                  <c:v>29.526612361256021</c:v>
                </c:pt>
                <c:pt idx="699">
                  <c:v>30.338328493172497</c:v>
                </c:pt>
                <c:pt idx="700">
                  <c:v>31.1561551472704</c:v>
                </c:pt>
                <c:pt idx="701">
                  <c:v>31.979397838863086</c:v>
                </c:pt>
                <c:pt idx="702">
                  <c:v>32.807422195889188</c:v>
                </c:pt>
                <c:pt idx="703">
                  <c:v>33.639647660127942</c:v>
                </c:pt>
                <c:pt idx="704">
                  <c:v>34.475541878739762</c:v>
                </c:pt>
                <c:pt idx="705">
                  <c:v>35.314615717076684</c:v>
                </c:pt>
                <c:pt idx="706">
                  <c:v>36.156418827519957</c:v>
                </c:pt>
                <c:pt idx="707">
                  <c:v>37.000535713889953</c:v>
                </c:pt>
                <c:pt idx="708">
                  <c:v>37.846582236191431</c:v>
                </c:pt>
                <c:pt idx="709">
                  <c:v>38.694202505743675</c:v>
                </c:pt>
                <c:pt idx="710">
                  <c:v>39.543066125874994</c:v>
                </c:pt>
                <c:pt idx="711">
                  <c:v>40.39286573819674</c:v>
                </c:pt>
                <c:pt idx="712">
                  <c:v>41.243314838942361</c:v>
                </c:pt>
                <c:pt idx="713">
                  <c:v>42.094145833930298</c:v>
                </c:pt>
                <c:pt idx="714">
                  <c:v>42.945108304382202</c:v>
                </c:pt>
                <c:pt idx="715">
                  <c:v>43.795967459113569</c:v>
                </c:pt>
                <c:pt idx="716">
                  <c:v>44.646502751535884</c:v>
                </c:pt>
                <c:pt idx="717">
                  <c:v>45.496506642496144</c:v>
                </c:pt>
                <c:pt idx="718">
                  <c:v>46.345783492262029</c:v>
                </c:pt>
                <c:pt idx="719">
                  <c:v>47.194148566969766</c:v>
                </c:pt>
                <c:pt idx="720">
                  <c:v>48.041427146616464</c:v>
                </c:pt>
                <c:pt idx="721">
                  <c:v>48.887453723227168</c:v>
                </c:pt>
                <c:pt idx="722">
                  <c:v>49.73207127918419</c:v>
                </c:pt>
                <c:pt idx="723">
                  <c:v>50.575130636895665</c:v>
                </c:pt>
                <c:pt idx="724">
                  <c:v>51.416489872022595</c:v>
                </c:pt>
                <c:pt idx="725">
                  <c:v>52.256013783396277</c:v>
                </c:pt>
                <c:pt idx="726">
                  <c:v>53.093573413558637</c:v>
                </c:pt>
                <c:pt idx="727">
                  <c:v>53.929045614559101</c:v>
                </c:pt>
                <c:pt idx="728">
                  <c:v>54.762312654257585</c:v>
                </c:pt>
                <c:pt idx="729">
                  <c:v>55.593261858923064</c:v>
                </c:pt>
                <c:pt idx="730">
                  <c:v>56.421785288392329</c:v>
                </c:pt>
                <c:pt idx="731">
                  <c:v>57.247779440470538</c:v>
                </c:pt>
                <c:pt idx="732">
                  <c:v>58.071144981623014</c:v>
                </c:pt>
                <c:pt idx="733">
                  <c:v>58.891786501331048</c:v>
                </c:pt>
                <c:pt idx="734">
                  <c:v>59.709612287770099</c:v>
                </c:pt>
                <c:pt idx="735">
                  <c:v>60.524534122720908</c:v>
                </c:pt>
                <c:pt idx="736">
                  <c:v>61.336467093846387</c:v>
                </c:pt>
                <c:pt idx="737">
                  <c:v>62.145329422664645</c:v>
                </c:pt>
                <c:pt idx="738">
                  <c:v>62.951042306722698</c:v>
                </c:pt>
                <c:pt idx="739">
                  <c:v>63.753529774630422</c:v>
                </c:pt>
                <c:pt idx="740">
                  <c:v>64.552718552751529</c:v>
                </c:pt>
                <c:pt idx="741">
                  <c:v>65.348537942470628</c:v>
                </c:pt>
                <c:pt idx="742">
                  <c:v>66.140919707063759</c:v>
                </c:pt>
                <c:pt idx="743">
                  <c:v>66.929797967297276</c:v>
                </c:pt>
                <c:pt idx="744">
                  <c:v>67.715109104965208</c:v>
                </c:pt>
                <c:pt idx="745">
                  <c:v>68.496791673653391</c:v>
                </c:pt>
                <c:pt idx="746">
                  <c:v>69.274786316086832</c:v>
                </c:pt>
                <c:pt idx="747">
                  <c:v>70.049035687478494</c:v>
                </c:pt>
                <c:pt idx="748">
                  <c:v>70.819484384353288</c:v>
                </c:pt>
                <c:pt idx="749">
                  <c:v>71.586078878370159</c:v>
                </c:pt>
                <c:pt idx="750">
                  <c:v>72.348767454709801</c:v>
                </c:pt>
                <c:pt idx="751">
                  <c:v>73.107500154635304</c:v>
                </c:pt>
                <c:pt idx="752">
                  <c:v>73.862228721869499</c:v>
                </c:pt>
                <c:pt idx="753">
                  <c:v>74.61290655246431</c:v>
                </c:pt>
                <c:pt idx="754">
                  <c:v>75.359488647867394</c:v>
                </c:pt>
                <c:pt idx="755">
                  <c:v>76.101931570917387</c:v>
                </c:pt>
                <c:pt idx="756">
                  <c:v>76.840193404522552</c:v>
                </c:pt>
                <c:pt idx="757">
                  <c:v>77.574233712799852</c:v>
                </c:pt>
                <c:pt idx="758">
                  <c:v>78.304013504470333</c:v>
                </c:pt>
                <c:pt idx="759">
                  <c:v>79.029495198324582</c:v>
                </c:pt>
                <c:pt idx="760">
                  <c:v>79.750642590588271</c:v>
                </c:pt>
                <c:pt idx="761">
                  <c:v>80.467420824031734</c:v>
                </c:pt>
                <c:pt idx="762">
                  <c:v>81.179796358681614</c:v>
                </c:pt>
                <c:pt idx="763">
                  <c:v>81.887736944003549</c:v>
                </c:pt>
                <c:pt idx="764">
                  <c:v>82.591211592436991</c:v>
                </c:pt>
                <c:pt idx="765">
                  <c:v>83.290190554172057</c:v>
                </c:pt>
                <c:pt idx="766">
                  <c:v>83.984645293068397</c:v>
                </c:pt>
                <c:pt idx="767">
                  <c:v>84.67454846362368</c:v>
                </c:pt>
                <c:pt idx="768">
                  <c:v>85.359873888907103</c:v>
                </c:pt>
                <c:pt idx="769">
                  <c:v>86.040596539380473</c:v>
                </c:pt>
                <c:pt idx="770">
                  <c:v>86.716692512535261</c:v>
                </c:pt>
                <c:pt idx="771">
                  <c:v>87.388139013280423</c:v>
                </c:pt>
                <c:pt idx="772">
                  <c:v>88.054914335020442</c:v>
                </c:pt>
                <c:pt idx="773">
                  <c:v>88.716997841368567</c:v>
                </c:pt>
                <c:pt idx="774">
                  <c:v>89.374369948444297</c:v>
                </c:pt>
                <c:pt idx="775">
                  <c:v>90.027012107708302</c:v>
                </c:pt>
                <c:pt idx="776">
                  <c:v>90.674906789291882</c:v>
                </c:pt>
                <c:pt idx="777">
                  <c:v>91.318037465781586</c:v>
                </c:pt>
                <c:pt idx="778">
                  <c:v>91.956388596422343</c:v>
                </c:pt>
                <c:pt idx="779">
                  <c:v>92.589945611706213</c:v>
                </c:pt>
                <c:pt idx="780">
                  <c:v>93.218694898315832</c:v>
                </c:pt>
                <c:pt idx="781">
                  <c:v>93.842623784394362</c:v>
                </c:pt>
                <c:pt idx="782">
                  <c:v>94.461720525116291</c:v>
                </c:pt>
                <c:pt idx="783">
                  <c:v>95.075974288535249</c:v>
                </c:pt>
                <c:pt idx="784">
                  <c:v>95.685375141687061</c:v>
                </c:pt>
                <c:pt idx="785">
                  <c:v>96.28991403692811</c:v>
                </c:pt>
                <c:pt idx="786">
                  <c:v>96.889582798490906</c:v>
                </c:pt>
                <c:pt idx="787">
                  <c:v>97.484374109239766</c:v>
                </c:pt>
                <c:pt idx="788">
                  <c:v>98.074281497611594</c:v>
                </c:pt>
                <c:pt idx="789">
                  <c:v>98.659299324727783</c:v>
                </c:pt>
                <c:pt idx="790">
                  <c:v>99.239422771664294</c:v>
                </c:pt>
                <c:pt idx="791">
                  <c:v>99.81464782686848</c:v>
                </c:pt>
                <c:pt idx="792">
                  <c:v>100.38497127371197</c:v>
                </c:pt>
                <c:pt idx="793">
                  <c:v>100.95039067816994</c:v>
                </c:pt>
                <c:pt idx="794">
                  <c:v>101.51090437661844</c:v>
                </c:pt>
                <c:pt idx="795">
                  <c:v>102.06651146374131</c:v>
                </c:pt>
                <c:pt idx="796">
                  <c:v>102.61721178054005</c:v>
                </c:pt>
                <c:pt idx="797">
                  <c:v>103.16300590244008</c:v>
                </c:pt>
                <c:pt idx="798">
                  <c:v>103.70389512748757</c:v>
                </c:pt>
                <c:pt idx="799">
                  <c:v>104.23988146463194</c:v>
                </c:pt>
                <c:pt idx="800">
                  <c:v>104.77096762208912</c:v>
                </c:pt>
                <c:pt idx="801">
                  <c:v>105.29715699578193</c:v>
                </c:pt>
                <c:pt idx="802">
                  <c:v>105.81845365785374</c:v>
                </c:pt>
                <c:pt idx="803">
                  <c:v>106.33486234525223</c:v>
                </c:pt>
                <c:pt idx="804">
                  <c:v>106.84638844838102</c:v>
                </c:pt>
                <c:pt idx="805">
                  <c:v>107.35303799981615</c:v>
                </c:pt>
                <c:pt idx="806">
                  <c:v>107.85481766308604</c:v>
                </c:pt>
                <c:pt idx="807">
                  <c:v>108.35173472151301</c:v>
                </c:pt>
                <c:pt idx="808">
                  <c:v>108.84379706711498</c:v>
                </c:pt>
                <c:pt idx="809">
                  <c:v>109.33101318956629</c:v>
                </c:pt>
                <c:pt idx="810">
                  <c:v>109.8133921652171</c:v>
                </c:pt>
                <c:pt idx="811">
                  <c:v>110.29094364617023</c:v>
                </c:pt>
                <c:pt idx="812">
                  <c:v>110.76367784941554</c:v>
                </c:pt>
                <c:pt idx="813">
                  <c:v>111.23160554602148</c:v>
                </c:pt>
                <c:pt idx="814">
                  <c:v>111.69473805038361</c:v>
                </c:pt>
                <c:pt idx="815">
                  <c:v>112.1530872095307</c:v>
                </c:pt>
                <c:pt idx="816">
                  <c:v>112.60666539248814</c:v>
                </c:pt>
                <c:pt idx="817">
                  <c:v>113.05548547969953</c:v>
                </c:pt>
                <c:pt idx="818">
                  <c:v>113.49956085250678</c:v>
                </c:pt>
                <c:pt idx="819">
                  <c:v>113.93890538268928</c:v>
                </c:pt>
                <c:pt idx="820">
                  <c:v>114.37353342206333</c:v>
                </c:pt>
                <c:pt idx="821">
                  <c:v>114.80345979214188</c:v>
                </c:pt>
                <c:pt idx="822">
                  <c:v>115.22869977385632</c:v>
                </c:pt>
                <c:pt idx="823">
                  <c:v>115.64926909734075</c:v>
                </c:pt>
                <c:pt idx="824">
                  <c:v>116.06518393177997</c:v>
                </c:pt>
                <c:pt idx="825">
                  <c:v>116.47646087532208</c:v>
                </c:pt>
                <c:pt idx="826">
                  <c:v>116.88311694505718</c:v>
                </c:pt>
                <c:pt idx="827">
                  <c:v>117.28516956706284</c:v>
                </c:pt>
                <c:pt idx="828">
                  <c:v>117.6826365665179</c:v>
                </c:pt>
                <c:pt idx="829">
                  <c:v>118.07553615788568</c:v>
                </c:pt>
                <c:pt idx="830">
                  <c:v>118.46388693516774</c:v>
                </c:pt>
                <c:pt idx="831">
                  <c:v>118.84770786222943</c:v>
                </c:pt>
                <c:pt idx="832">
                  <c:v>119.22701826319879</c:v>
                </c:pt>
                <c:pt idx="833">
                  <c:v>119.60183781293944</c:v>
                </c:pt>
                <c:pt idx="834">
                  <c:v>119.97218652759929</c:v>
                </c:pt>
                <c:pt idx="835">
                  <c:v>120.33808475523584</c:v>
                </c:pt>
                <c:pt idx="836">
                  <c:v>120.69955316651972</c:v>
                </c:pt>
                <c:pt idx="837">
                  <c:v>121.05661274551719</c:v>
                </c:pt>
                <c:pt idx="838">
                  <c:v>121.40928478055328</c:v>
                </c:pt>
                <c:pt idx="839">
                  <c:v>121.75759085515639</c:v>
                </c:pt>
                <c:pt idx="840">
                  <c:v>122.10155283908554</c:v>
                </c:pt>
                <c:pt idx="841">
                  <c:v>122.4411928794417</c:v>
                </c:pt>
                <c:pt idx="842">
                  <c:v>122.77653339186384</c:v>
                </c:pt>
                <c:pt idx="843">
                  <c:v>123.10759705181113</c:v>
                </c:pt>
                <c:pt idx="844">
                  <c:v>123.43440678593211</c:v>
                </c:pt>
                <c:pt idx="845">
                  <c:v>123.75698576352194</c:v>
                </c:pt>
                <c:pt idx="846">
                  <c:v>124.07535738806871</c:v>
                </c:pt>
                <c:pt idx="847">
                  <c:v>124.38954528888969</c:v>
                </c:pt>
                <c:pt idx="848">
                  <c:v>124.69957331285842</c:v>
                </c:pt>
                <c:pt idx="849">
                  <c:v>125.0054655162235</c:v>
                </c:pt>
                <c:pt idx="850">
                  <c:v>125.30724615651999</c:v>
                </c:pt>
                <c:pt idx="851">
                  <c:v>125.60493968457409</c:v>
                </c:pt>
                <c:pt idx="852">
                  <c:v>125.89857073660187</c:v>
                </c:pt>
                <c:pt idx="853">
                  <c:v>126.18816412640282</c:v>
                </c:pt>
                <c:pt idx="854">
                  <c:v>126.47374483764879</c:v>
                </c:pt>
                <c:pt idx="855">
                  <c:v>126.75533801626899</c:v>
                </c:pt>
                <c:pt idx="856">
                  <c:v>127.03296896293159</c:v>
                </c:pt>
                <c:pt idx="857">
                  <c:v>127.30666312562255</c:v>
                </c:pt>
                <c:pt idx="858">
                  <c:v>127.57644609232206</c:v>
                </c:pt>
                <c:pt idx="859">
                  <c:v>127.84234358377904</c:v>
                </c:pt>
                <c:pt idx="860">
                  <c:v>128.10438144638422</c:v>
                </c:pt>
                <c:pt idx="861">
                  <c:v>128.36258564514208</c:v>
                </c:pt>
                <c:pt idx="862">
                  <c:v>128.61698225674201</c:v>
                </c:pt>
                <c:pt idx="863">
                  <c:v>128.8675974627289</c:v>
                </c:pt>
                <c:pt idx="864">
                  <c:v>129.11445754277341</c:v>
                </c:pt>
                <c:pt idx="865">
                  <c:v>129.3575888680424</c:v>
                </c:pt>
                <c:pt idx="866">
                  <c:v>129.59701789466925</c:v>
                </c:pt>
                <c:pt idx="867">
                  <c:v>129.8327711573242</c:v>
                </c:pt>
                <c:pt idx="868">
                  <c:v>130.06487526288552</c:v>
                </c:pt>
                <c:pt idx="869">
                  <c:v>130.29335688421028</c:v>
                </c:pt>
                <c:pt idx="870">
                  <c:v>130.51824275400617</c:v>
                </c:pt>
                <c:pt idx="871">
                  <c:v>130.73955965880293</c:v>
                </c:pt>
                <c:pt idx="872">
                  <c:v>130.95733443302444</c:v>
                </c:pt>
                <c:pt idx="873">
                  <c:v>131.17159395316079</c:v>
                </c:pt>
                <c:pt idx="874">
                  <c:v>131.38236513203995</c:v>
                </c:pt>
                <c:pt idx="875">
                  <c:v>131.5896749131999</c:v>
                </c:pt>
                <c:pt idx="876">
                  <c:v>131.79355026535936</c:v>
                </c:pt>
                <c:pt idx="877">
                  <c:v>131.99401817698865</c:v>
                </c:pt>
                <c:pt idx="878">
                  <c:v>132.19110565097901</c:v>
                </c:pt>
                <c:pt idx="879">
                  <c:v>132.38483969941069</c:v>
                </c:pt>
                <c:pt idx="880">
                  <c:v>132.57524733841944</c:v>
                </c:pt>
                <c:pt idx="881">
                  <c:v>132.76235558316085</c:v>
                </c:pt>
                <c:pt idx="882">
                  <c:v>132.94619144287208</c:v>
                </c:pt>
                <c:pt idx="883">
                  <c:v>133.12678191603092</c:v>
                </c:pt>
                <c:pt idx="884">
                  <c:v>133.30415398561112</c:v>
                </c:pt>
                <c:pt idx="885">
                  <c:v>133.478334614434</c:v>
                </c:pt>
                <c:pt idx="886">
                  <c:v>133.64935074061546</c:v>
                </c:pt>
                <c:pt idx="887">
                  <c:v>133.8172292731081</c:v>
                </c:pt>
                <c:pt idx="888">
                  <c:v>133.98199708733773</c:v>
                </c:pt>
                <c:pt idx="889">
                  <c:v>134.14368102093351</c:v>
                </c:pt>
                <c:pt idx="890">
                  <c:v>134.30230786955158</c:v>
                </c:pt>
                <c:pt idx="891">
                  <c:v>134.45790438279076</c:v>
                </c:pt>
                <c:pt idx="892">
                  <c:v>134.61049726020056</c:v>
                </c:pt>
                <c:pt idx="893">
                  <c:v>134.76011314737991</c:v>
                </c:pt>
                <c:pt idx="894">
                  <c:v>134.90677863216658</c:v>
                </c:pt>
                <c:pt idx="895">
                  <c:v>135.05052024091623</c:v>
                </c:pt>
                <c:pt idx="896">
                  <c:v>135.19136443487022</c:v>
                </c:pt>
                <c:pt idx="897">
                  <c:v>135.32933760661183</c:v>
                </c:pt>
                <c:pt idx="898">
                  <c:v>135.46446607660965</c:v>
                </c:pt>
                <c:pt idx="899">
                  <c:v>135.59677608984751</c:v>
                </c:pt>
                <c:pt idx="900">
                  <c:v>135.72629381254029</c:v>
                </c:pt>
                <c:pt idx="901">
                  <c:v>135.85304532893437</c:v>
                </c:pt>
                <c:pt idx="902">
                  <c:v>135.97705663819247</c:v>
                </c:pt>
                <c:pt idx="903">
                  <c:v>136.09835365136121</c:v>
                </c:pt>
                <c:pt idx="904">
                  <c:v>136.21696218842126</c:v>
                </c:pt>
                <c:pt idx="905">
                  <c:v>136.33290797541895</c:v>
                </c:pt>
                <c:pt idx="906">
                  <c:v>136.44621664167792</c:v>
                </c:pt>
                <c:pt idx="907">
                  <c:v>136.55691371709094</c:v>
                </c:pt>
                <c:pt idx="908">
                  <c:v>136.66502462948989</c:v>
                </c:pt>
                <c:pt idx="909">
                  <c:v>136.7705747020938</c:v>
                </c:pt>
                <c:pt idx="910">
                  <c:v>136.87358915103346</c:v>
                </c:pt>
                <c:pt idx="911">
                  <c:v>136.97409308295195</c:v>
                </c:pt>
                <c:pt idx="912">
                  <c:v>137.07211149268005</c:v>
                </c:pt>
                <c:pt idx="913">
                  <c:v>137.16766926098563</c:v>
                </c:pt>
                <c:pt idx="914">
                  <c:v>137.26079115239583</c:v>
                </c:pt>
                <c:pt idx="915">
                  <c:v>137.35150181309137</c:v>
                </c:pt>
                <c:pt idx="916">
                  <c:v>137.4398257688718</c:v>
                </c:pt>
                <c:pt idx="917">
                  <c:v>137.52578742319085</c:v>
                </c:pt>
                <c:pt idx="918">
                  <c:v>137.60941105526069</c:v>
                </c:pt>
                <c:pt idx="919">
                  <c:v>137.69072081822441</c:v>
                </c:pt>
                <c:pt idx="920">
                  <c:v>137.7697407373953</c:v>
                </c:pt>
                <c:pt idx="921">
                  <c:v>137.84649470856269</c:v>
                </c:pt>
                <c:pt idx="922">
                  <c:v>137.92100649636231</c:v>
                </c:pt>
                <c:pt idx="923">
                  <c:v>137.99329973271119</c:v>
                </c:pt>
                <c:pt idx="924">
                  <c:v>138.06339791530547</c:v>
                </c:pt>
                <c:pt idx="925">
                  <c:v>138.1313244061802</c:v>
                </c:pt>
                <c:pt idx="926">
                  <c:v>138.19710243033063</c:v>
                </c:pt>
                <c:pt idx="927">
                  <c:v>138.26075507439324</c:v>
                </c:pt>
                <c:pt idx="928">
                  <c:v>138.32230528538628</c:v>
                </c:pt>
                <c:pt idx="929">
                  <c:v>138.38177586950809</c:v>
                </c:pt>
                <c:pt idx="930">
                  <c:v>138.43918949099299</c:v>
                </c:pt>
                <c:pt idx="931">
                  <c:v>138.49456867102299</c:v>
                </c:pt>
                <c:pt idx="932">
                  <c:v>138.54793578669506</c:v>
                </c:pt>
                <c:pt idx="933">
                  <c:v>138.59931307004248</c:v>
                </c:pt>
                <c:pt idx="934">
                  <c:v>138.64872260710948</c:v>
                </c:pt>
                <c:pt idx="935">
                  <c:v>138.6961863370781</c:v>
                </c:pt>
                <c:pt idx="936">
                  <c:v>138.74172605144676</c:v>
                </c:pt>
                <c:pt idx="937">
                  <c:v>138.7853633932589</c:v>
                </c:pt>
                <c:pt idx="938">
                  <c:v>138.82711985638107</c:v>
                </c:pt>
                <c:pt idx="939">
                  <c:v>138.86701678482984</c:v>
                </c:pt>
                <c:pt idx="940">
                  <c:v>138.90507537214589</c:v>
                </c:pt>
                <c:pt idx="941">
                  <c:v>138.94131666081515</c:v>
                </c:pt>
                <c:pt idx="942">
                  <c:v>138.97576154173527</c:v>
                </c:pt>
                <c:pt idx="943">
                  <c:v>139.00843075372723</c:v>
                </c:pt>
                <c:pt idx="944">
                  <c:v>139.03934488309059</c:v>
                </c:pt>
                <c:pt idx="945">
                  <c:v>139.06852436320193</c:v>
                </c:pt>
                <c:pt idx="946">
                  <c:v>139.09598947415523</c:v>
                </c:pt>
                <c:pt idx="947">
                  <c:v>139.12176034244348</c:v>
                </c:pt>
                <c:pt idx="948">
                  <c:v>139.1458569406808</c:v>
                </c:pt>
                <c:pt idx="949">
                  <c:v>139.16829908736372</c:v>
                </c:pt>
                <c:pt idx="950">
                  <c:v>139.18910644667127</c:v>
                </c:pt>
                <c:pt idx="951">
                  <c:v>139.20829852830269</c:v>
                </c:pt>
                <c:pt idx="952">
                  <c:v>139.22589468735214</c:v>
                </c:pt>
                <c:pt idx="953">
                  <c:v>139.24191412421922</c:v>
                </c:pt>
                <c:pt idx="954">
                  <c:v>139.25637588455513</c:v>
                </c:pt>
                <c:pt idx="955">
                  <c:v>139.26929885924278</c:v>
                </c:pt>
                <c:pt idx="956">
                  <c:v>139.28070178441072</c:v>
                </c:pt>
                <c:pt idx="957">
                  <c:v>139.2906032414798</c:v>
                </c:pt>
                <c:pt idx="958">
                  <c:v>139.29902165724189</c:v>
                </c:pt>
                <c:pt idx="959">
                  <c:v>139.30597530396966</c:v>
                </c:pt>
                <c:pt idx="960">
                  <c:v>139.31148229955696</c:v>
                </c:pt>
                <c:pt idx="961">
                  <c:v>139.31556060768872</c:v>
                </c:pt>
                <c:pt idx="962">
                  <c:v>139.31822803803988</c:v>
                </c:pt>
                <c:pt idx="963">
                  <c:v>139.31950224650231</c:v>
                </c:pt>
                <c:pt idx="964">
                  <c:v>139.31940073543947</c:v>
                </c:pt>
                <c:pt idx="965">
                  <c:v>139.31794085396734</c:v>
                </c:pt>
                <c:pt idx="966">
                  <c:v>139.31513979826178</c:v>
                </c:pt>
                <c:pt idx="967">
                  <c:v>139.31101461189087</c:v>
                </c:pt>
                <c:pt idx="968">
                  <c:v>139.30558218617188</c:v>
                </c:pt>
                <c:pt idx="969">
                  <c:v>139.29885926055226</c:v>
                </c:pt>
                <c:pt idx="970">
                  <c:v>139.29086242301372</c:v>
                </c:pt>
                <c:pt idx="971">
                  <c:v>139.28160811049887</c:v>
                </c:pt>
                <c:pt idx="972">
                  <c:v>139.27111260935988</c:v>
                </c:pt>
                <c:pt idx="973">
                  <c:v>139.25939205582816</c:v>
                </c:pt>
                <c:pt idx="974">
                  <c:v>139.2464624365048</c:v>
                </c:pt>
                <c:pt idx="975">
                  <c:v>139.23233958887104</c:v>
                </c:pt>
                <c:pt idx="976">
                  <c:v>139.21703920181801</c:v>
                </c:pt>
                <c:pt idx="977">
                  <c:v>139.20057681619511</c:v>
                </c:pt>
                <c:pt idx="978">
                  <c:v>139.18296782537681</c:v>
                </c:pt>
                <c:pt idx="979">
                  <c:v>139.18294908224587</c:v>
                </c:pt>
                <c:pt idx="980">
                  <c:v>139.18293033799932</c:v>
                </c:pt>
                <c:pt idx="981">
                  <c:v>139.18291159263717</c:v>
                </c:pt>
                <c:pt idx="982">
                  <c:v>139.18289284615938</c:v>
                </c:pt>
                <c:pt idx="983">
                  <c:v>139.18287409856603</c:v>
                </c:pt>
                <c:pt idx="984">
                  <c:v>139.18285534985708</c:v>
                </c:pt>
                <c:pt idx="985">
                  <c:v>139.18283660003254</c:v>
                </c:pt>
                <c:pt idx="986">
                  <c:v>139.18281784909249</c:v>
                </c:pt>
                <c:pt idx="987">
                  <c:v>139.18279909703688</c:v>
                </c:pt>
                <c:pt idx="988">
                  <c:v>139.18278034386577</c:v>
                </c:pt>
                <c:pt idx="989">
                  <c:v>139.18276158957912</c:v>
                </c:pt>
                <c:pt idx="990">
                  <c:v>139.18274283417699</c:v>
                </c:pt>
                <c:pt idx="991">
                  <c:v>139.18272407765937</c:v>
                </c:pt>
                <c:pt idx="992">
                  <c:v>139.18270532002634</c:v>
                </c:pt>
                <c:pt idx="993">
                  <c:v>139.18268656127782</c:v>
                </c:pt>
                <c:pt idx="994">
                  <c:v>139.18266780141388</c:v>
                </c:pt>
                <c:pt idx="995">
                  <c:v>139.18264904043451</c:v>
                </c:pt>
                <c:pt idx="996">
                  <c:v>139.18263027833976</c:v>
                </c:pt>
                <c:pt idx="997">
                  <c:v>139.18261151512962</c:v>
                </c:pt>
                <c:pt idx="998">
                  <c:v>139.1825927508041</c:v>
                </c:pt>
                <c:pt idx="999">
                  <c:v>139.18257398536323</c:v>
                </c:pt>
                <c:pt idx="1000">
                  <c:v>139.18255521880701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D-4013-AEEF-2FD179FAB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25760"/>
        <c:axId val="149132032"/>
      </c:scatterChart>
      <c:valAx>
        <c:axId val="149125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132032"/>
        <c:crosses val="autoZero"/>
        <c:crossBetween val="midCat"/>
      </c:valAx>
      <c:valAx>
        <c:axId val="14913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Courbes!$B$141</c:f>
              <c:strCache>
                <c:ptCount val="1"/>
                <c:pt idx="0">
                  <c:v>Vitesse [m/s]</c:v>
                </c:pt>
              </c:strCache>
            </c:strRef>
          </c:tx>
          <c:layout>
            <c:manualLayout>
              <c:xMode val="edge"/>
              <c:yMode val="edge"/>
              <c:x val="2.5943396226415099E-2"/>
              <c:y val="0.2287587051618547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1257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9684544148961"/>
          <c:y val="0.46444479440069991"/>
          <c:w val="0.13207559550339221"/>
          <c:h val="7.77777777777777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Accélérations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4339622641509524E-2"/>
          <c:y val="9.4771241830065356E-2"/>
          <c:w val="0.88679245283019104"/>
          <c:h val="0.81699346405228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Courbes!$B$137</c:f>
              <c:strCache>
                <c:ptCount val="1"/>
                <c:pt idx="0">
                  <c:v>Accélération longitudinale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5.0999999999999375</c:v>
                </c:pt>
                <c:pt idx="502">
                  <c:v>5.1999999999999371</c:v>
                </c:pt>
                <c:pt idx="503">
                  <c:v>5.2999999999999368</c:v>
                </c:pt>
                <c:pt idx="504">
                  <c:v>5.3999999999999364</c:v>
                </c:pt>
                <c:pt idx="505">
                  <c:v>5.4999999999999361</c:v>
                </c:pt>
                <c:pt idx="506">
                  <c:v>5.5999999999999357</c:v>
                </c:pt>
                <c:pt idx="507">
                  <c:v>5.6999999999999353</c:v>
                </c:pt>
                <c:pt idx="508">
                  <c:v>5.799999999999935</c:v>
                </c:pt>
                <c:pt idx="509">
                  <c:v>5.8999999999999346</c:v>
                </c:pt>
                <c:pt idx="510">
                  <c:v>5.9999999999999343</c:v>
                </c:pt>
                <c:pt idx="511">
                  <c:v>6.0999999999999339</c:v>
                </c:pt>
                <c:pt idx="512">
                  <c:v>6.1999999999999336</c:v>
                </c:pt>
                <c:pt idx="513">
                  <c:v>6.2999999999999332</c:v>
                </c:pt>
                <c:pt idx="514">
                  <c:v>6.3999999999999329</c:v>
                </c:pt>
                <c:pt idx="515">
                  <c:v>6.4999999999999325</c:v>
                </c:pt>
                <c:pt idx="516">
                  <c:v>6.5999999999999321</c:v>
                </c:pt>
                <c:pt idx="517">
                  <c:v>6.6999999999999318</c:v>
                </c:pt>
                <c:pt idx="518">
                  <c:v>6.7999999999999314</c:v>
                </c:pt>
                <c:pt idx="519">
                  <c:v>6.8999999999999311</c:v>
                </c:pt>
                <c:pt idx="520">
                  <c:v>6.9999999999999307</c:v>
                </c:pt>
                <c:pt idx="521">
                  <c:v>7.0999999999999304</c:v>
                </c:pt>
                <c:pt idx="522">
                  <c:v>7.19999999999993</c:v>
                </c:pt>
                <c:pt idx="523">
                  <c:v>7.2999999999999297</c:v>
                </c:pt>
                <c:pt idx="524">
                  <c:v>7.3999999999999293</c:v>
                </c:pt>
                <c:pt idx="525">
                  <c:v>7.4999999999999289</c:v>
                </c:pt>
                <c:pt idx="526">
                  <c:v>7.5999999999999286</c:v>
                </c:pt>
                <c:pt idx="527">
                  <c:v>7.6999999999999282</c:v>
                </c:pt>
                <c:pt idx="528">
                  <c:v>7.7999999999999279</c:v>
                </c:pt>
                <c:pt idx="529">
                  <c:v>7.8999999999999275</c:v>
                </c:pt>
                <c:pt idx="530">
                  <c:v>7.9999999999999272</c:v>
                </c:pt>
                <c:pt idx="531">
                  <c:v>8.0999999999999268</c:v>
                </c:pt>
                <c:pt idx="532">
                  <c:v>8.1999999999999265</c:v>
                </c:pt>
                <c:pt idx="533">
                  <c:v>8.2999999999999261</c:v>
                </c:pt>
                <c:pt idx="534">
                  <c:v>8.3999999999999257</c:v>
                </c:pt>
                <c:pt idx="535">
                  <c:v>8.4999999999999254</c:v>
                </c:pt>
                <c:pt idx="536">
                  <c:v>8.599999999999925</c:v>
                </c:pt>
                <c:pt idx="537">
                  <c:v>8.6999999999999247</c:v>
                </c:pt>
                <c:pt idx="538">
                  <c:v>8.7999999999999243</c:v>
                </c:pt>
                <c:pt idx="539">
                  <c:v>8.899999999999924</c:v>
                </c:pt>
                <c:pt idx="540">
                  <c:v>8.9999999999999236</c:v>
                </c:pt>
                <c:pt idx="541">
                  <c:v>9.0999999999999233</c:v>
                </c:pt>
                <c:pt idx="542">
                  <c:v>9.1999999999999229</c:v>
                </c:pt>
                <c:pt idx="543">
                  <c:v>9.2999999999999226</c:v>
                </c:pt>
                <c:pt idx="544">
                  <c:v>9.3999999999999222</c:v>
                </c:pt>
                <c:pt idx="545">
                  <c:v>9.4999999999999218</c:v>
                </c:pt>
                <c:pt idx="546">
                  <c:v>9.5999999999999215</c:v>
                </c:pt>
                <c:pt idx="547">
                  <c:v>9.6999999999999211</c:v>
                </c:pt>
                <c:pt idx="548">
                  <c:v>9.7999999999999208</c:v>
                </c:pt>
                <c:pt idx="549">
                  <c:v>9.8999999999999204</c:v>
                </c:pt>
                <c:pt idx="550">
                  <c:v>9.9999999999999201</c:v>
                </c:pt>
                <c:pt idx="551">
                  <c:v>10.09999999999992</c:v>
                </c:pt>
                <c:pt idx="552">
                  <c:v>10.199999999999919</c:v>
                </c:pt>
                <c:pt idx="553">
                  <c:v>10.299999999999919</c:v>
                </c:pt>
                <c:pt idx="554">
                  <c:v>10.399999999999919</c:v>
                </c:pt>
                <c:pt idx="555">
                  <c:v>10.499999999999918</c:v>
                </c:pt>
                <c:pt idx="556">
                  <c:v>10.599999999999918</c:v>
                </c:pt>
                <c:pt idx="557">
                  <c:v>10.699999999999918</c:v>
                </c:pt>
                <c:pt idx="558">
                  <c:v>10.799999999999917</c:v>
                </c:pt>
                <c:pt idx="559">
                  <c:v>10.899999999999917</c:v>
                </c:pt>
                <c:pt idx="560">
                  <c:v>10.999999999999917</c:v>
                </c:pt>
                <c:pt idx="561">
                  <c:v>11.099999999999916</c:v>
                </c:pt>
                <c:pt idx="562">
                  <c:v>11.199999999999916</c:v>
                </c:pt>
                <c:pt idx="563">
                  <c:v>11.299999999999915</c:v>
                </c:pt>
                <c:pt idx="564">
                  <c:v>11.399999999999915</c:v>
                </c:pt>
                <c:pt idx="565">
                  <c:v>11.499999999999915</c:v>
                </c:pt>
                <c:pt idx="566">
                  <c:v>11.599999999999914</c:v>
                </c:pt>
                <c:pt idx="567">
                  <c:v>11.699999999999914</c:v>
                </c:pt>
                <c:pt idx="568">
                  <c:v>11.799999999999914</c:v>
                </c:pt>
                <c:pt idx="569">
                  <c:v>11.899999999999913</c:v>
                </c:pt>
                <c:pt idx="570">
                  <c:v>11.999999999999913</c:v>
                </c:pt>
                <c:pt idx="571">
                  <c:v>12.099999999999913</c:v>
                </c:pt>
                <c:pt idx="572">
                  <c:v>12.199999999999912</c:v>
                </c:pt>
                <c:pt idx="573">
                  <c:v>12.299999999999912</c:v>
                </c:pt>
                <c:pt idx="574">
                  <c:v>12.399999999999912</c:v>
                </c:pt>
                <c:pt idx="575">
                  <c:v>12.499999999999911</c:v>
                </c:pt>
                <c:pt idx="576">
                  <c:v>12.599999999999911</c:v>
                </c:pt>
                <c:pt idx="577">
                  <c:v>12.69999999999991</c:v>
                </c:pt>
                <c:pt idx="578">
                  <c:v>12.79999999999991</c:v>
                </c:pt>
                <c:pt idx="579">
                  <c:v>12.89999999999991</c:v>
                </c:pt>
                <c:pt idx="580">
                  <c:v>12.999999999999909</c:v>
                </c:pt>
                <c:pt idx="581">
                  <c:v>13.099999999999909</c:v>
                </c:pt>
                <c:pt idx="582">
                  <c:v>13.199999999999909</c:v>
                </c:pt>
                <c:pt idx="583">
                  <c:v>13.299999999999908</c:v>
                </c:pt>
                <c:pt idx="584">
                  <c:v>13.399999999999908</c:v>
                </c:pt>
                <c:pt idx="585">
                  <c:v>13.499999999999908</c:v>
                </c:pt>
                <c:pt idx="586">
                  <c:v>13.599999999999907</c:v>
                </c:pt>
                <c:pt idx="587">
                  <c:v>13.699999999999907</c:v>
                </c:pt>
                <c:pt idx="588">
                  <c:v>13.799999999999907</c:v>
                </c:pt>
                <c:pt idx="589">
                  <c:v>13.899999999999906</c:v>
                </c:pt>
                <c:pt idx="590">
                  <c:v>13.999999999999906</c:v>
                </c:pt>
                <c:pt idx="591">
                  <c:v>14.099999999999905</c:v>
                </c:pt>
                <c:pt idx="592">
                  <c:v>14.199999999999905</c:v>
                </c:pt>
                <c:pt idx="593">
                  <c:v>14.299999999999905</c:v>
                </c:pt>
                <c:pt idx="594">
                  <c:v>14.399999999999904</c:v>
                </c:pt>
                <c:pt idx="595">
                  <c:v>14.499999999999904</c:v>
                </c:pt>
                <c:pt idx="596">
                  <c:v>14.599999999999904</c:v>
                </c:pt>
                <c:pt idx="597">
                  <c:v>14.699999999999903</c:v>
                </c:pt>
                <c:pt idx="598">
                  <c:v>14.799999999999903</c:v>
                </c:pt>
                <c:pt idx="599">
                  <c:v>14.899999999999903</c:v>
                </c:pt>
                <c:pt idx="600">
                  <c:v>14.999999999999902</c:v>
                </c:pt>
                <c:pt idx="601">
                  <c:v>15.099999999999902</c:v>
                </c:pt>
                <c:pt idx="602">
                  <c:v>15.199999999999902</c:v>
                </c:pt>
                <c:pt idx="603">
                  <c:v>15.299999999999901</c:v>
                </c:pt>
                <c:pt idx="604">
                  <c:v>15.399999999999901</c:v>
                </c:pt>
                <c:pt idx="605">
                  <c:v>15.499999999999901</c:v>
                </c:pt>
                <c:pt idx="606">
                  <c:v>15.5999999999999</c:v>
                </c:pt>
                <c:pt idx="607">
                  <c:v>15.6999999999999</c:v>
                </c:pt>
                <c:pt idx="608">
                  <c:v>15.799999999999899</c:v>
                </c:pt>
                <c:pt idx="609">
                  <c:v>15.899999999999899</c:v>
                </c:pt>
                <c:pt idx="610">
                  <c:v>15.999999999999899</c:v>
                </c:pt>
                <c:pt idx="611">
                  <c:v>16.099999999999898</c:v>
                </c:pt>
                <c:pt idx="612">
                  <c:v>16.1999999999999</c:v>
                </c:pt>
                <c:pt idx="613">
                  <c:v>16.299999999999901</c:v>
                </c:pt>
                <c:pt idx="614">
                  <c:v>16.399999999999903</c:v>
                </c:pt>
                <c:pt idx="615">
                  <c:v>16.499999999999904</c:v>
                </c:pt>
                <c:pt idx="616">
                  <c:v>16.599999999999905</c:v>
                </c:pt>
                <c:pt idx="617">
                  <c:v>16.699999999999907</c:v>
                </c:pt>
                <c:pt idx="618">
                  <c:v>16.799999999999908</c:v>
                </c:pt>
                <c:pt idx="619">
                  <c:v>16.89999999999991</c:v>
                </c:pt>
                <c:pt idx="620">
                  <c:v>16.999999999999911</c:v>
                </c:pt>
                <c:pt idx="621">
                  <c:v>17.099999999999913</c:v>
                </c:pt>
                <c:pt idx="622">
                  <c:v>17.199999999999914</c:v>
                </c:pt>
                <c:pt idx="623">
                  <c:v>17.299999999999915</c:v>
                </c:pt>
                <c:pt idx="624">
                  <c:v>17.399999999999917</c:v>
                </c:pt>
                <c:pt idx="625">
                  <c:v>17.499999999999918</c:v>
                </c:pt>
                <c:pt idx="626">
                  <c:v>17.59999999999992</c:v>
                </c:pt>
                <c:pt idx="627">
                  <c:v>17.699999999999921</c:v>
                </c:pt>
                <c:pt idx="628">
                  <c:v>17.799999999999923</c:v>
                </c:pt>
                <c:pt idx="629">
                  <c:v>17.899999999999924</c:v>
                </c:pt>
                <c:pt idx="630">
                  <c:v>17.999999999999925</c:v>
                </c:pt>
                <c:pt idx="631">
                  <c:v>18.099999999999927</c:v>
                </c:pt>
                <c:pt idx="632">
                  <c:v>18.199999999999928</c:v>
                </c:pt>
                <c:pt idx="633">
                  <c:v>18.29999999999993</c:v>
                </c:pt>
                <c:pt idx="634">
                  <c:v>18.399999999999931</c:v>
                </c:pt>
                <c:pt idx="635">
                  <c:v>18.499999999999932</c:v>
                </c:pt>
                <c:pt idx="636">
                  <c:v>18.599999999999934</c:v>
                </c:pt>
                <c:pt idx="637">
                  <c:v>18.699999999999935</c:v>
                </c:pt>
                <c:pt idx="638">
                  <c:v>18.799999999999937</c:v>
                </c:pt>
                <c:pt idx="639">
                  <c:v>18.899999999999938</c:v>
                </c:pt>
                <c:pt idx="640">
                  <c:v>18.99999999999994</c:v>
                </c:pt>
                <c:pt idx="641">
                  <c:v>19.099999999999941</c:v>
                </c:pt>
                <c:pt idx="642">
                  <c:v>19.199999999999942</c:v>
                </c:pt>
                <c:pt idx="643">
                  <c:v>19.299999999999944</c:v>
                </c:pt>
                <c:pt idx="644">
                  <c:v>19.399999999999945</c:v>
                </c:pt>
                <c:pt idx="645">
                  <c:v>19.499999999999947</c:v>
                </c:pt>
                <c:pt idx="646">
                  <c:v>19.599999999999948</c:v>
                </c:pt>
                <c:pt idx="647">
                  <c:v>19.69999999999995</c:v>
                </c:pt>
                <c:pt idx="648">
                  <c:v>19.799999999999951</c:v>
                </c:pt>
                <c:pt idx="649">
                  <c:v>19.899999999999952</c:v>
                </c:pt>
                <c:pt idx="650">
                  <c:v>19.999999999999954</c:v>
                </c:pt>
                <c:pt idx="651">
                  <c:v>20.099999999999955</c:v>
                </c:pt>
                <c:pt idx="652">
                  <c:v>20.199999999999957</c:v>
                </c:pt>
                <c:pt idx="653">
                  <c:v>20.299999999999958</c:v>
                </c:pt>
                <c:pt idx="654">
                  <c:v>20.399999999999959</c:v>
                </c:pt>
                <c:pt idx="655">
                  <c:v>20.499999999999961</c:v>
                </c:pt>
                <c:pt idx="656">
                  <c:v>20.599999999999962</c:v>
                </c:pt>
                <c:pt idx="657">
                  <c:v>20.699999999999964</c:v>
                </c:pt>
                <c:pt idx="658">
                  <c:v>20.799999999999965</c:v>
                </c:pt>
                <c:pt idx="659">
                  <c:v>20.899999999999967</c:v>
                </c:pt>
                <c:pt idx="660">
                  <c:v>20.999999999999968</c:v>
                </c:pt>
                <c:pt idx="661">
                  <c:v>21.099999999999969</c:v>
                </c:pt>
                <c:pt idx="662">
                  <c:v>21.199999999999971</c:v>
                </c:pt>
                <c:pt idx="663">
                  <c:v>21.299999999999972</c:v>
                </c:pt>
                <c:pt idx="664">
                  <c:v>21.399999999999974</c:v>
                </c:pt>
                <c:pt idx="665">
                  <c:v>21.499999999999975</c:v>
                </c:pt>
                <c:pt idx="666">
                  <c:v>21.599999999999977</c:v>
                </c:pt>
                <c:pt idx="667">
                  <c:v>21.699999999999978</c:v>
                </c:pt>
                <c:pt idx="668">
                  <c:v>21.799999999999979</c:v>
                </c:pt>
                <c:pt idx="669">
                  <c:v>21.899999999999981</c:v>
                </c:pt>
                <c:pt idx="670">
                  <c:v>21.999999999999982</c:v>
                </c:pt>
                <c:pt idx="671">
                  <c:v>22.099999999999984</c:v>
                </c:pt>
                <c:pt idx="672">
                  <c:v>22.199999999999985</c:v>
                </c:pt>
                <c:pt idx="673">
                  <c:v>22.299999999999986</c:v>
                </c:pt>
                <c:pt idx="674">
                  <c:v>22.399999999999988</c:v>
                </c:pt>
                <c:pt idx="675">
                  <c:v>22.499999999999989</c:v>
                </c:pt>
                <c:pt idx="676">
                  <c:v>22.599999999999991</c:v>
                </c:pt>
                <c:pt idx="677">
                  <c:v>22.699999999999992</c:v>
                </c:pt>
                <c:pt idx="678">
                  <c:v>22.799999999999994</c:v>
                </c:pt>
                <c:pt idx="679">
                  <c:v>22.899999999999995</c:v>
                </c:pt>
                <c:pt idx="680">
                  <c:v>22.999999999999996</c:v>
                </c:pt>
                <c:pt idx="681">
                  <c:v>23.099999999999998</c:v>
                </c:pt>
                <c:pt idx="682">
                  <c:v>23.2</c:v>
                </c:pt>
                <c:pt idx="683">
                  <c:v>23.3</c:v>
                </c:pt>
                <c:pt idx="684">
                  <c:v>23.400000000000002</c:v>
                </c:pt>
                <c:pt idx="685">
                  <c:v>23.500000000000004</c:v>
                </c:pt>
                <c:pt idx="686">
                  <c:v>23.600000000000005</c:v>
                </c:pt>
                <c:pt idx="687">
                  <c:v>23.700000000000006</c:v>
                </c:pt>
                <c:pt idx="688">
                  <c:v>23.800000000000008</c:v>
                </c:pt>
                <c:pt idx="689">
                  <c:v>23.900000000000009</c:v>
                </c:pt>
                <c:pt idx="690">
                  <c:v>24.000000000000011</c:v>
                </c:pt>
                <c:pt idx="691">
                  <c:v>24.100000000000012</c:v>
                </c:pt>
                <c:pt idx="692">
                  <c:v>24.200000000000014</c:v>
                </c:pt>
                <c:pt idx="693">
                  <c:v>24.300000000000015</c:v>
                </c:pt>
                <c:pt idx="694">
                  <c:v>24.400000000000016</c:v>
                </c:pt>
                <c:pt idx="695">
                  <c:v>24.500000000000018</c:v>
                </c:pt>
                <c:pt idx="696">
                  <c:v>24.600000000000019</c:v>
                </c:pt>
                <c:pt idx="697">
                  <c:v>24.700000000000021</c:v>
                </c:pt>
                <c:pt idx="698">
                  <c:v>24.800000000000022</c:v>
                </c:pt>
                <c:pt idx="699">
                  <c:v>24.900000000000023</c:v>
                </c:pt>
                <c:pt idx="700">
                  <c:v>25.000000000000025</c:v>
                </c:pt>
                <c:pt idx="701">
                  <c:v>25.100000000000026</c:v>
                </c:pt>
                <c:pt idx="702">
                  <c:v>25.200000000000028</c:v>
                </c:pt>
                <c:pt idx="703">
                  <c:v>25.300000000000029</c:v>
                </c:pt>
                <c:pt idx="704">
                  <c:v>25.400000000000031</c:v>
                </c:pt>
                <c:pt idx="705">
                  <c:v>25.500000000000032</c:v>
                </c:pt>
                <c:pt idx="706">
                  <c:v>25.600000000000033</c:v>
                </c:pt>
                <c:pt idx="707">
                  <c:v>25.700000000000035</c:v>
                </c:pt>
                <c:pt idx="708">
                  <c:v>25.800000000000036</c:v>
                </c:pt>
                <c:pt idx="709">
                  <c:v>25.900000000000038</c:v>
                </c:pt>
                <c:pt idx="710">
                  <c:v>26.000000000000039</c:v>
                </c:pt>
                <c:pt idx="711">
                  <c:v>26.100000000000041</c:v>
                </c:pt>
                <c:pt idx="712">
                  <c:v>26.200000000000042</c:v>
                </c:pt>
                <c:pt idx="713">
                  <c:v>26.300000000000043</c:v>
                </c:pt>
                <c:pt idx="714">
                  <c:v>26.400000000000045</c:v>
                </c:pt>
                <c:pt idx="715">
                  <c:v>26.500000000000046</c:v>
                </c:pt>
                <c:pt idx="716">
                  <c:v>26.600000000000048</c:v>
                </c:pt>
                <c:pt idx="717">
                  <c:v>26.700000000000049</c:v>
                </c:pt>
                <c:pt idx="718">
                  <c:v>26.80000000000005</c:v>
                </c:pt>
                <c:pt idx="719">
                  <c:v>26.900000000000052</c:v>
                </c:pt>
                <c:pt idx="720">
                  <c:v>27.000000000000053</c:v>
                </c:pt>
                <c:pt idx="721">
                  <c:v>27.100000000000055</c:v>
                </c:pt>
                <c:pt idx="722">
                  <c:v>27.200000000000056</c:v>
                </c:pt>
                <c:pt idx="723">
                  <c:v>27.300000000000058</c:v>
                </c:pt>
                <c:pt idx="724">
                  <c:v>27.400000000000059</c:v>
                </c:pt>
                <c:pt idx="725">
                  <c:v>27.50000000000006</c:v>
                </c:pt>
                <c:pt idx="726">
                  <c:v>27.600000000000062</c:v>
                </c:pt>
                <c:pt idx="727">
                  <c:v>27.700000000000063</c:v>
                </c:pt>
                <c:pt idx="728">
                  <c:v>27.800000000000065</c:v>
                </c:pt>
                <c:pt idx="729">
                  <c:v>27.900000000000066</c:v>
                </c:pt>
                <c:pt idx="730">
                  <c:v>28.000000000000068</c:v>
                </c:pt>
                <c:pt idx="731">
                  <c:v>28.100000000000069</c:v>
                </c:pt>
                <c:pt idx="732">
                  <c:v>28.20000000000007</c:v>
                </c:pt>
                <c:pt idx="733">
                  <c:v>28.300000000000072</c:v>
                </c:pt>
                <c:pt idx="734">
                  <c:v>28.400000000000073</c:v>
                </c:pt>
                <c:pt idx="735">
                  <c:v>28.500000000000075</c:v>
                </c:pt>
                <c:pt idx="736">
                  <c:v>28.600000000000076</c:v>
                </c:pt>
                <c:pt idx="737">
                  <c:v>28.700000000000077</c:v>
                </c:pt>
                <c:pt idx="738">
                  <c:v>28.800000000000079</c:v>
                </c:pt>
                <c:pt idx="739">
                  <c:v>28.90000000000008</c:v>
                </c:pt>
                <c:pt idx="740">
                  <c:v>29.000000000000082</c:v>
                </c:pt>
                <c:pt idx="741">
                  <c:v>29.100000000000083</c:v>
                </c:pt>
                <c:pt idx="742">
                  <c:v>29.200000000000085</c:v>
                </c:pt>
                <c:pt idx="743">
                  <c:v>29.300000000000086</c:v>
                </c:pt>
                <c:pt idx="744">
                  <c:v>29.400000000000087</c:v>
                </c:pt>
                <c:pt idx="745">
                  <c:v>29.500000000000089</c:v>
                </c:pt>
                <c:pt idx="746">
                  <c:v>29.60000000000009</c:v>
                </c:pt>
                <c:pt idx="747">
                  <c:v>29.700000000000092</c:v>
                </c:pt>
                <c:pt idx="748">
                  <c:v>29.800000000000093</c:v>
                </c:pt>
                <c:pt idx="749">
                  <c:v>29.900000000000095</c:v>
                </c:pt>
                <c:pt idx="750">
                  <c:v>30.000000000000096</c:v>
                </c:pt>
                <c:pt idx="751">
                  <c:v>30.100000000000097</c:v>
                </c:pt>
                <c:pt idx="752">
                  <c:v>30.200000000000099</c:v>
                </c:pt>
                <c:pt idx="753">
                  <c:v>30.3000000000001</c:v>
                </c:pt>
                <c:pt idx="754">
                  <c:v>30.400000000000102</c:v>
                </c:pt>
                <c:pt idx="755">
                  <c:v>30.500000000000103</c:v>
                </c:pt>
                <c:pt idx="756">
                  <c:v>30.600000000000104</c:v>
                </c:pt>
                <c:pt idx="757">
                  <c:v>30.700000000000106</c:v>
                </c:pt>
                <c:pt idx="758">
                  <c:v>30.800000000000107</c:v>
                </c:pt>
                <c:pt idx="759">
                  <c:v>30.900000000000109</c:v>
                </c:pt>
                <c:pt idx="760">
                  <c:v>31.00000000000011</c:v>
                </c:pt>
                <c:pt idx="761">
                  <c:v>31.100000000000112</c:v>
                </c:pt>
                <c:pt idx="762">
                  <c:v>31.200000000000113</c:v>
                </c:pt>
                <c:pt idx="763">
                  <c:v>31.300000000000114</c:v>
                </c:pt>
                <c:pt idx="764">
                  <c:v>31.400000000000116</c:v>
                </c:pt>
                <c:pt idx="765">
                  <c:v>31.500000000000117</c:v>
                </c:pt>
                <c:pt idx="766">
                  <c:v>31.600000000000119</c:v>
                </c:pt>
                <c:pt idx="767">
                  <c:v>31.70000000000012</c:v>
                </c:pt>
                <c:pt idx="768">
                  <c:v>31.800000000000122</c:v>
                </c:pt>
                <c:pt idx="769">
                  <c:v>31.900000000000123</c:v>
                </c:pt>
                <c:pt idx="770">
                  <c:v>32.000000000000121</c:v>
                </c:pt>
                <c:pt idx="771">
                  <c:v>32.100000000000122</c:v>
                </c:pt>
                <c:pt idx="772">
                  <c:v>32.200000000000124</c:v>
                </c:pt>
                <c:pt idx="773">
                  <c:v>32.300000000000125</c:v>
                </c:pt>
                <c:pt idx="774">
                  <c:v>32.400000000000126</c:v>
                </c:pt>
                <c:pt idx="775">
                  <c:v>32.500000000000128</c:v>
                </c:pt>
                <c:pt idx="776">
                  <c:v>32.600000000000129</c:v>
                </c:pt>
                <c:pt idx="777">
                  <c:v>32.700000000000131</c:v>
                </c:pt>
                <c:pt idx="778">
                  <c:v>32.800000000000132</c:v>
                </c:pt>
                <c:pt idx="779">
                  <c:v>32.900000000000134</c:v>
                </c:pt>
                <c:pt idx="780">
                  <c:v>33.000000000000135</c:v>
                </c:pt>
                <c:pt idx="781">
                  <c:v>33.100000000000136</c:v>
                </c:pt>
                <c:pt idx="782">
                  <c:v>33.200000000000138</c:v>
                </c:pt>
                <c:pt idx="783">
                  <c:v>33.300000000000139</c:v>
                </c:pt>
                <c:pt idx="784">
                  <c:v>33.400000000000141</c:v>
                </c:pt>
                <c:pt idx="785">
                  <c:v>33.500000000000142</c:v>
                </c:pt>
                <c:pt idx="786">
                  <c:v>33.600000000000144</c:v>
                </c:pt>
                <c:pt idx="787">
                  <c:v>33.700000000000145</c:v>
                </c:pt>
                <c:pt idx="788">
                  <c:v>33.800000000000146</c:v>
                </c:pt>
                <c:pt idx="789">
                  <c:v>33.900000000000148</c:v>
                </c:pt>
                <c:pt idx="790">
                  <c:v>34.000000000000149</c:v>
                </c:pt>
                <c:pt idx="791">
                  <c:v>34.100000000000151</c:v>
                </c:pt>
                <c:pt idx="792">
                  <c:v>34.200000000000152</c:v>
                </c:pt>
                <c:pt idx="793">
                  <c:v>34.300000000000153</c:v>
                </c:pt>
                <c:pt idx="794">
                  <c:v>34.400000000000155</c:v>
                </c:pt>
                <c:pt idx="795">
                  <c:v>34.500000000000156</c:v>
                </c:pt>
                <c:pt idx="796">
                  <c:v>34.600000000000158</c:v>
                </c:pt>
                <c:pt idx="797">
                  <c:v>34.700000000000159</c:v>
                </c:pt>
                <c:pt idx="798">
                  <c:v>34.800000000000161</c:v>
                </c:pt>
                <c:pt idx="799">
                  <c:v>34.900000000000162</c:v>
                </c:pt>
                <c:pt idx="800">
                  <c:v>35.000000000000163</c:v>
                </c:pt>
                <c:pt idx="801">
                  <c:v>35.100000000000165</c:v>
                </c:pt>
                <c:pt idx="802">
                  <c:v>35.200000000000166</c:v>
                </c:pt>
                <c:pt idx="803">
                  <c:v>35.300000000000168</c:v>
                </c:pt>
                <c:pt idx="804">
                  <c:v>35.400000000000169</c:v>
                </c:pt>
                <c:pt idx="805">
                  <c:v>35.500000000000171</c:v>
                </c:pt>
                <c:pt idx="806">
                  <c:v>35.600000000000172</c:v>
                </c:pt>
                <c:pt idx="807">
                  <c:v>35.700000000000173</c:v>
                </c:pt>
                <c:pt idx="808">
                  <c:v>35.800000000000175</c:v>
                </c:pt>
                <c:pt idx="809">
                  <c:v>35.900000000000176</c:v>
                </c:pt>
                <c:pt idx="810">
                  <c:v>36.000000000000178</c:v>
                </c:pt>
                <c:pt idx="811">
                  <c:v>36.100000000000179</c:v>
                </c:pt>
                <c:pt idx="812">
                  <c:v>36.20000000000018</c:v>
                </c:pt>
                <c:pt idx="813">
                  <c:v>36.300000000000182</c:v>
                </c:pt>
                <c:pt idx="814">
                  <c:v>36.400000000000183</c:v>
                </c:pt>
                <c:pt idx="815">
                  <c:v>36.500000000000185</c:v>
                </c:pt>
                <c:pt idx="816">
                  <c:v>36.600000000000186</c:v>
                </c:pt>
                <c:pt idx="817">
                  <c:v>36.700000000000188</c:v>
                </c:pt>
                <c:pt idx="818">
                  <c:v>36.800000000000189</c:v>
                </c:pt>
                <c:pt idx="819">
                  <c:v>36.90000000000019</c:v>
                </c:pt>
                <c:pt idx="820">
                  <c:v>37.000000000000192</c:v>
                </c:pt>
                <c:pt idx="821">
                  <c:v>37.100000000000193</c:v>
                </c:pt>
                <c:pt idx="822">
                  <c:v>37.200000000000195</c:v>
                </c:pt>
                <c:pt idx="823">
                  <c:v>37.300000000000196</c:v>
                </c:pt>
                <c:pt idx="824">
                  <c:v>37.400000000000198</c:v>
                </c:pt>
                <c:pt idx="825">
                  <c:v>37.500000000000199</c:v>
                </c:pt>
                <c:pt idx="826">
                  <c:v>37.6000000000002</c:v>
                </c:pt>
                <c:pt idx="827">
                  <c:v>37.700000000000202</c:v>
                </c:pt>
                <c:pt idx="828">
                  <c:v>37.800000000000203</c:v>
                </c:pt>
                <c:pt idx="829">
                  <c:v>37.900000000000205</c:v>
                </c:pt>
                <c:pt idx="830">
                  <c:v>38.000000000000206</c:v>
                </c:pt>
                <c:pt idx="831">
                  <c:v>38.100000000000207</c:v>
                </c:pt>
                <c:pt idx="832">
                  <c:v>38.200000000000209</c:v>
                </c:pt>
                <c:pt idx="833">
                  <c:v>38.30000000000021</c:v>
                </c:pt>
                <c:pt idx="834">
                  <c:v>38.400000000000212</c:v>
                </c:pt>
                <c:pt idx="835">
                  <c:v>38.500000000000213</c:v>
                </c:pt>
                <c:pt idx="836">
                  <c:v>38.600000000000215</c:v>
                </c:pt>
                <c:pt idx="837">
                  <c:v>38.700000000000216</c:v>
                </c:pt>
                <c:pt idx="838">
                  <c:v>38.800000000000217</c:v>
                </c:pt>
                <c:pt idx="839">
                  <c:v>38.900000000000219</c:v>
                </c:pt>
                <c:pt idx="840">
                  <c:v>39.00000000000022</c:v>
                </c:pt>
                <c:pt idx="841">
                  <c:v>39.100000000000222</c:v>
                </c:pt>
                <c:pt idx="842">
                  <c:v>39.200000000000223</c:v>
                </c:pt>
                <c:pt idx="843">
                  <c:v>39.300000000000225</c:v>
                </c:pt>
                <c:pt idx="844">
                  <c:v>39.400000000000226</c:v>
                </c:pt>
                <c:pt idx="845">
                  <c:v>39.500000000000227</c:v>
                </c:pt>
                <c:pt idx="846">
                  <c:v>39.600000000000229</c:v>
                </c:pt>
                <c:pt idx="847">
                  <c:v>39.70000000000023</c:v>
                </c:pt>
                <c:pt idx="848">
                  <c:v>39.800000000000232</c:v>
                </c:pt>
                <c:pt idx="849">
                  <c:v>39.900000000000233</c:v>
                </c:pt>
                <c:pt idx="850">
                  <c:v>40.000000000000234</c:v>
                </c:pt>
                <c:pt idx="851">
                  <c:v>40.100000000000236</c:v>
                </c:pt>
                <c:pt idx="852">
                  <c:v>40.200000000000237</c:v>
                </c:pt>
                <c:pt idx="853">
                  <c:v>40.300000000000239</c:v>
                </c:pt>
                <c:pt idx="854">
                  <c:v>40.40000000000024</c:v>
                </c:pt>
                <c:pt idx="855">
                  <c:v>40.500000000000242</c:v>
                </c:pt>
                <c:pt idx="856">
                  <c:v>40.600000000000243</c:v>
                </c:pt>
                <c:pt idx="857">
                  <c:v>40.700000000000244</c:v>
                </c:pt>
                <c:pt idx="858">
                  <c:v>40.800000000000246</c:v>
                </c:pt>
                <c:pt idx="859">
                  <c:v>40.900000000000247</c:v>
                </c:pt>
                <c:pt idx="860">
                  <c:v>41.000000000000249</c:v>
                </c:pt>
                <c:pt idx="861">
                  <c:v>41.10000000000025</c:v>
                </c:pt>
                <c:pt idx="862">
                  <c:v>41.200000000000252</c:v>
                </c:pt>
                <c:pt idx="863">
                  <c:v>41.300000000000253</c:v>
                </c:pt>
                <c:pt idx="864">
                  <c:v>41.400000000000254</c:v>
                </c:pt>
                <c:pt idx="865">
                  <c:v>41.500000000000256</c:v>
                </c:pt>
                <c:pt idx="866">
                  <c:v>41.600000000000257</c:v>
                </c:pt>
                <c:pt idx="867">
                  <c:v>41.700000000000259</c:v>
                </c:pt>
                <c:pt idx="868">
                  <c:v>41.80000000000026</c:v>
                </c:pt>
                <c:pt idx="869">
                  <c:v>41.900000000000261</c:v>
                </c:pt>
                <c:pt idx="870">
                  <c:v>42.000000000000263</c:v>
                </c:pt>
                <c:pt idx="871">
                  <c:v>42.100000000000264</c:v>
                </c:pt>
                <c:pt idx="872">
                  <c:v>42.200000000000266</c:v>
                </c:pt>
                <c:pt idx="873">
                  <c:v>42.300000000000267</c:v>
                </c:pt>
                <c:pt idx="874">
                  <c:v>42.400000000000269</c:v>
                </c:pt>
                <c:pt idx="875">
                  <c:v>42.50000000000027</c:v>
                </c:pt>
                <c:pt idx="876">
                  <c:v>42.600000000000271</c:v>
                </c:pt>
                <c:pt idx="877">
                  <c:v>42.700000000000273</c:v>
                </c:pt>
                <c:pt idx="878">
                  <c:v>42.800000000000274</c:v>
                </c:pt>
                <c:pt idx="879">
                  <c:v>42.900000000000276</c:v>
                </c:pt>
                <c:pt idx="880">
                  <c:v>43.000000000000277</c:v>
                </c:pt>
                <c:pt idx="881">
                  <c:v>43.100000000000279</c:v>
                </c:pt>
                <c:pt idx="882">
                  <c:v>43.20000000000028</c:v>
                </c:pt>
                <c:pt idx="883">
                  <c:v>43.300000000000281</c:v>
                </c:pt>
                <c:pt idx="884">
                  <c:v>43.400000000000283</c:v>
                </c:pt>
                <c:pt idx="885">
                  <c:v>43.500000000000284</c:v>
                </c:pt>
                <c:pt idx="886">
                  <c:v>43.600000000000286</c:v>
                </c:pt>
                <c:pt idx="887">
                  <c:v>43.700000000000287</c:v>
                </c:pt>
                <c:pt idx="888">
                  <c:v>43.800000000000288</c:v>
                </c:pt>
                <c:pt idx="889">
                  <c:v>43.90000000000029</c:v>
                </c:pt>
                <c:pt idx="890">
                  <c:v>44.000000000000291</c:v>
                </c:pt>
                <c:pt idx="891">
                  <c:v>44.100000000000293</c:v>
                </c:pt>
                <c:pt idx="892">
                  <c:v>44.200000000000294</c:v>
                </c:pt>
                <c:pt idx="893">
                  <c:v>44.300000000000296</c:v>
                </c:pt>
                <c:pt idx="894">
                  <c:v>44.400000000000297</c:v>
                </c:pt>
                <c:pt idx="895">
                  <c:v>44.500000000000298</c:v>
                </c:pt>
                <c:pt idx="896">
                  <c:v>44.6000000000003</c:v>
                </c:pt>
                <c:pt idx="897">
                  <c:v>44.700000000000301</c:v>
                </c:pt>
                <c:pt idx="898">
                  <c:v>44.800000000000303</c:v>
                </c:pt>
                <c:pt idx="899">
                  <c:v>44.900000000000304</c:v>
                </c:pt>
                <c:pt idx="900">
                  <c:v>45.000000000000306</c:v>
                </c:pt>
                <c:pt idx="901">
                  <c:v>45.100000000000307</c:v>
                </c:pt>
                <c:pt idx="902">
                  <c:v>45.200000000000308</c:v>
                </c:pt>
                <c:pt idx="903">
                  <c:v>45.30000000000031</c:v>
                </c:pt>
                <c:pt idx="904">
                  <c:v>45.400000000000311</c:v>
                </c:pt>
                <c:pt idx="905">
                  <c:v>45.500000000000313</c:v>
                </c:pt>
                <c:pt idx="906">
                  <c:v>45.600000000000314</c:v>
                </c:pt>
                <c:pt idx="907">
                  <c:v>45.700000000000315</c:v>
                </c:pt>
                <c:pt idx="908">
                  <c:v>45.800000000000317</c:v>
                </c:pt>
                <c:pt idx="909">
                  <c:v>45.900000000000318</c:v>
                </c:pt>
                <c:pt idx="910">
                  <c:v>46.00000000000032</c:v>
                </c:pt>
                <c:pt idx="911">
                  <c:v>46.100000000000321</c:v>
                </c:pt>
                <c:pt idx="912">
                  <c:v>46.200000000000323</c:v>
                </c:pt>
                <c:pt idx="913">
                  <c:v>46.300000000000324</c:v>
                </c:pt>
                <c:pt idx="914">
                  <c:v>46.400000000000325</c:v>
                </c:pt>
                <c:pt idx="915">
                  <c:v>46.500000000000327</c:v>
                </c:pt>
                <c:pt idx="916">
                  <c:v>46.600000000000328</c:v>
                </c:pt>
                <c:pt idx="917">
                  <c:v>46.70000000000033</c:v>
                </c:pt>
                <c:pt idx="918">
                  <c:v>46.800000000000331</c:v>
                </c:pt>
                <c:pt idx="919">
                  <c:v>46.900000000000333</c:v>
                </c:pt>
                <c:pt idx="920">
                  <c:v>47.000000000000334</c:v>
                </c:pt>
                <c:pt idx="921">
                  <c:v>47.100000000000335</c:v>
                </c:pt>
                <c:pt idx="922">
                  <c:v>47.200000000000337</c:v>
                </c:pt>
                <c:pt idx="923">
                  <c:v>47.300000000000338</c:v>
                </c:pt>
                <c:pt idx="924">
                  <c:v>47.40000000000034</c:v>
                </c:pt>
                <c:pt idx="925">
                  <c:v>47.500000000000341</c:v>
                </c:pt>
                <c:pt idx="926">
                  <c:v>47.600000000000342</c:v>
                </c:pt>
                <c:pt idx="927">
                  <c:v>47.700000000000344</c:v>
                </c:pt>
                <c:pt idx="928">
                  <c:v>47.800000000000345</c:v>
                </c:pt>
                <c:pt idx="929">
                  <c:v>47.900000000000347</c:v>
                </c:pt>
                <c:pt idx="930">
                  <c:v>48.000000000000348</c:v>
                </c:pt>
                <c:pt idx="931">
                  <c:v>48.10000000000035</c:v>
                </c:pt>
                <c:pt idx="932">
                  <c:v>48.200000000000351</c:v>
                </c:pt>
                <c:pt idx="933">
                  <c:v>48.300000000000352</c:v>
                </c:pt>
                <c:pt idx="934">
                  <c:v>48.400000000000354</c:v>
                </c:pt>
                <c:pt idx="935">
                  <c:v>48.500000000000355</c:v>
                </c:pt>
                <c:pt idx="936">
                  <c:v>48.600000000000357</c:v>
                </c:pt>
                <c:pt idx="937">
                  <c:v>48.700000000000358</c:v>
                </c:pt>
                <c:pt idx="938">
                  <c:v>48.80000000000036</c:v>
                </c:pt>
                <c:pt idx="939">
                  <c:v>48.900000000000361</c:v>
                </c:pt>
                <c:pt idx="940">
                  <c:v>49.000000000000362</c:v>
                </c:pt>
                <c:pt idx="941">
                  <c:v>49.100000000000364</c:v>
                </c:pt>
                <c:pt idx="942">
                  <c:v>49.200000000000365</c:v>
                </c:pt>
                <c:pt idx="943">
                  <c:v>49.300000000000367</c:v>
                </c:pt>
                <c:pt idx="944">
                  <c:v>49.400000000000368</c:v>
                </c:pt>
                <c:pt idx="945">
                  <c:v>49.500000000000369</c:v>
                </c:pt>
                <c:pt idx="946">
                  <c:v>49.600000000000371</c:v>
                </c:pt>
                <c:pt idx="947">
                  <c:v>49.700000000000372</c:v>
                </c:pt>
                <c:pt idx="948">
                  <c:v>49.800000000000374</c:v>
                </c:pt>
                <c:pt idx="949">
                  <c:v>49.900000000000375</c:v>
                </c:pt>
                <c:pt idx="950">
                  <c:v>50.000000000000377</c:v>
                </c:pt>
                <c:pt idx="951">
                  <c:v>50.100000000000378</c:v>
                </c:pt>
                <c:pt idx="952">
                  <c:v>50.200000000000379</c:v>
                </c:pt>
                <c:pt idx="953">
                  <c:v>50.300000000000381</c:v>
                </c:pt>
                <c:pt idx="954">
                  <c:v>50.400000000000382</c:v>
                </c:pt>
                <c:pt idx="955">
                  <c:v>50.500000000000384</c:v>
                </c:pt>
                <c:pt idx="956">
                  <c:v>50.600000000000385</c:v>
                </c:pt>
                <c:pt idx="957">
                  <c:v>50.700000000000387</c:v>
                </c:pt>
                <c:pt idx="958">
                  <c:v>50.800000000000388</c:v>
                </c:pt>
                <c:pt idx="959">
                  <c:v>50.900000000000389</c:v>
                </c:pt>
                <c:pt idx="960">
                  <c:v>51.000000000000391</c:v>
                </c:pt>
                <c:pt idx="961">
                  <c:v>51.100000000000392</c:v>
                </c:pt>
                <c:pt idx="962">
                  <c:v>51.200000000000394</c:v>
                </c:pt>
                <c:pt idx="963">
                  <c:v>51.300000000000395</c:v>
                </c:pt>
                <c:pt idx="964">
                  <c:v>51.400000000000396</c:v>
                </c:pt>
                <c:pt idx="965">
                  <c:v>51.500000000000398</c:v>
                </c:pt>
                <c:pt idx="966">
                  <c:v>51.600000000000399</c:v>
                </c:pt>
                <c:pt idx="967">
                  <c:v>51.700000000000401</c:v>
                </c:pt>
                <c:pt idx="968">
                  <c:v>51.800000000000402</c:v>
                </c:pt>
                <c:pt idx="969">
                  <c:v>51.900000000000404</c:v>
                </c:pt>
                <c:pt idx="970">
                  <c:v>52.000000000000405</c:v>
                </c:pt>
                <c:pt idx="971">
                  <c:v>52.100000000000406</c:v>
                </c:pt>
                <c:pt idx="972">
                  <c:v>52.200000000000408</c:v>
                </c:pt>
                <c:pt idx="973">
                  <c:v>52.300000000000409</c:v>
                </c:pt>
                <c:pt idx="974">
                  <c:v>52.400000000000411</c:v>
                </c:pt>
                <c:pt idx="975">
                  <c:v>52.500000000000412</c:v>
                </c:pt>
                <c:pt idx="976">
                  <c:v>52.600000000000414</c:v>
                </c:pt>
                <c:pt idx="977">
                  <c:v>52.700000000000415</c:v>
                </c:pt>
                <c:pt idx="978">
                  <c:v>52.800000000000416</c:v>
                </c:pt>
                <c:pt idx="979">
                  <c:v>52.80010000000042</c:v>
                </c:pt>
                <c:pt idx="980">
                  <c:v>52.800200000000423</c:v>
                </c:pt>
                <c:pt idx="981">
                  <c:v>52.800300000000426</c:v>
                </c:pt>
                <c:pt idx="982">
                  <c:v>52.80040000000043</c:v>
                </c:pt>
                <c:pt idx="983">
                  <c:v>52.800500000000433</c:v>
                </c:pt>
                <c:pt idx="984">
                  <c:v>52.800600000000436</c:v>
                </c:pt>
                <c:pt idx="985">
                  <c:v>52.80070000000044</c:v>
                </c:pt>
                <c:pt idx="986">
                  <c:v>52.800800000000443</c:v>
                </c:pt>
                <c:pt idx="987">
                  <c:v>52.800900000000446</c:v>
                </c:pt>
                <c:pt idx="988">
                  <c:v>52.80100000000045</c:v>
                </c:pt>
                <c:pt idx="989">
                  <c:v>52.801100000000453</c:v>
                </c:pt>
                <c:pt idx="990">
                  <c:v>52.801200000000456</c:v>
                </c:pt>
                <c:pt idx="991">
                  <c:v>52.80130000000046</c:v>
                </c:pt>
                <c:pt idx="992">
                  <c:v>52.801400000000463</c:v>
                </c:pt>
                <c:pt idx="993">
                  <c:v>52.801500000000466</c:v>
                </c:pt>
                <c:pt idx="994">
                  <c:v>52.801600000000469</c:v>
                </c:pt>
                <c:pt idx="995">
                  <c:v>52.801700000000473</c:v>
                </c:pt>
                <c:pt idx="996">
                  <c:v>52.801800000000476</c:v>
                </c:pt>
                <c:pt idx="997">
                  <c:v>52.801900000000479</c:v>
                </c:pt>
                <c:pt idx="998">
                  <c:v>52.802000000000483</c:v>
                </c:pt>
                <c:pt idx="999">
                  <c:v>52.802100000000486</c:v>
                </c:pt>
                <c:pt idx="1000">
                  <c:v>52.802200000000489</c:v>
                </c:pt>
              </c:numCache>
            </c:numRef>
          </c:xVal>
          <c:yVal>
            <c:numRef>
              <c:f>Calculs!$AG$4:$AG$1004</c:f>
              <c:numCache>
                <c:formatCode>0.00</c:formatCode>
                <c:ptCount val="1001"/>
                <c:pt idx="0">
                  <c:v>0</c:v>
                </c:pt>
                <c:pt idx="1">
                  <c:v>15.970968343249938</c:v>
                </c:pt>
                <c:pt idx="2">
                  <c:v>44.377853027529667</c:v>
                </c:pt>
                <c:pt idx="3">
                  <c:v>56.174711796138702</c:v>
                </c:pt>
                <c:pt idx="4">
                  <c:v>67.983694696253835</c:v>
                </c:pt>
                <c:pt idx="5">
                  <c:v>79.806748554645111</c:v>
                </c:pt>
                <c:pt idx="6">
                  <c:v>91.645794633142202</c:v>
                </c:pt>
                <c:pt idx="7">
                  <c:v>103.50272952349526</c:v>
                </c:pt>
                <c:pt idx="8">
                  <c:v>115.37942599713868</c:v>
                </c:pt>
                <c:pt idx="9">
                  <c:v>127.27773381126789</c:v>
                </c:pt>
                <c:pt idx="10">
                  <c:v>139.19948047254894</c:v>
                </c:pt>
                <c:pt idx="11">
                  <c:v>144.3494636851232</c:v>
                </c:pt>
                <c:pt idx="12">
                  <c:v>142.7073211414552</c:v>
                </c:pt>
                <c:pt idx="13">
                  <c:v>141.00803471183073</c:v>
                </c:pt>
                <c:pt idx="14">
                  <c:v>139.25154480391203</c:v>
                </c:pt>
                <c:pt idx="15">
                  <c:v>137.48965555269115</c:v>
                </c:pt>
                <c:pt idx="16">
                  <c:v>135.72246422888256</c:v>
                </c:pt>
                <c:pt idx="17">
                  <c:v>133.95006816779127</c:v>
                </c:pt>
                <c:pt idx="18">
                  <c:v>132.17256474648315</c:v>
                </c:pt>
                <c:pt idx="19">
                  <c:v>130.39005136106732</c:v>
                </c:pt>
                <c:pt idx="20">
                  <c:v>128.60262540409991</c:v>
                </c:pt>
                <c:pt idx="21">
                  <c:v>126.81038424211707</c:v>
                </c:pt>
                <c:pt idx="22">
                  <c:v>125.01342519330535</c:v>
                </c:pt>
                <c:pt idx="23">
                  <c:v>123.21184550531817</c:v>
                </c:pt>
                <c:pt idx="24">
                  <c:v>121.40574233324509</c:v>
                </c:pt>
                <c:pt idx="25">
                  <c:v>119.59521271774287</c:v>
                </c:pt>
                <c:pt idx="26">
                  <c:v>117.78035356333504</c:v>
                </c:pt>
                <c:pt idx="27">
                  <c:v>116.87755668798101</c:v>
                </c:pt>
                <c:pt idx="28">
                  <c:v>116.88898374941991</c:v>
                </c:pt>
                <c:pt idx="29">
                  <c:v>116.89928657988671</c:v>
                </c:pt>
                <c:pt idx="30">
                  <c:v>116.90868175405626</c:v>
                </c:pt>
                <c:pt idx="31">
                  <c:v>116.91694620312731</c:v>
                </c:pt>
                <c:pt idx="32">
                  <c:v>116.92407460372705</c:v>
                </c:pt>
                <c:pt idx="33">
                  <c:v>116.93006547393982</c:v>
                </c:pt>
                <c:pt idx="34">
                  <c:v>116.93491734923111</c:v>
                </c:pt>
                <c:pt idx="35">
                  <c:v>116.93862878623469</c:v>
                </c:pt>
                <c:pt idx="36">
                  <c:v>116.94119836603163</c:v>
                </c:pt>
                <c:pt idx="37">
                  <c:v>116.94262469700462</c:v>
                </c:pt>
                <c:pt idx="38">
                  <c:v>116.9429064173346</c:v>
                </c:pt>
                <c:pt idx="39">
                  <c:v>116.94204219719641</c:v>
                </c:pt>
                <c:pt idx="40">
                  <c:v>116.94003074069758</c:v>
                </c:pt>
                <c:pt idx="41">
                  <c:v>116.93687078759841</c:v>
                </c:pt>
                <c:pt idx="42">
                  <c:v>116.93256111484412</c:v>
                </c:pt>
                <c:pt idx="43">
                  <c:v>116.92710053793579</c:v>
                </c:pt>
                <c:pt idx="44">
                  <c:v>116.92048791216004</c:v>
                </c:pt>
                <c:pt idx="45">
                  <c:v>116.91272213369815</c:v>
                </c:pt>
                <c:pt idx="46">
                  <c:v>116.90380214062797</c:v>
                </c:pt>
                <c:pt idx="47">
                  <c:v>116.89372691383281</c:v>
                </c:pt>
                <c:pt idx="48">
                  <c:v>116.88249547782837</c:v>
                </c:pt>
                <c:pt idx="49">
                  <c:v>116.870106901517</c:v>
                </c:pt>
                <c:pt idx="50">
                  <c:v>116.85656029887755</c:v>
                </c:pt>
                <c:pt idx="51">
                  <c:v>116.84185482959796</c:v>
                </c:pt>
                <c:pt idx="52">
                  <c:v>116.8259896996568</c:v>
                </c:pt>
                <c:pt idx="53">
                  <c:v>116.80896416185851</c:v>
                </c:pt>
                <c:pt idx="54">
                  <c:v>116.79077751632742</c:v>
                </c:pt>
                <c:pt idx="55">
                  <c:v>116.77142911096456</c:v>
                </c:pt>
                <c:pt idx="56">
                  <c:v>116.75091834187009</c:v>
                </c:pt>
                <c:pt idx="57">
                  <c:v>116.72924465373521</c:v>
                </c:pt>
                <c:pt idx="58">
                  <c:v>116.70640754020592</c:v>
                </c:pt>
                <c:pt idx="59">
                  <c:v>116.68240654422051</c:v>
                </c:pt>
                <c:pt idx="60">
                  <c:v>116.65724125832362</c:v>
                </c:pt>
                <c:pt idx="61">
                  <c:v>116.63091132495826</c:v>
                </c:pt>
                <c:pt idx="62">
                  <c:v>116.60341643673743</c:v>
                </c:pt>
                <c:pt idx="63">
                  <c:v>116.57475633669685</c:v>
                </c:pt>
                <c:pt idx="64">
                  <c:v>116.54493081853022</c:v>
                </c:pt>
                <c:pt idx="65">
                  <c:v>116.51393972680773</c:v>
                </c:pt>
                <c:pt idx="66">
                  <c:v>116.48178295717935</c:v>
                </c:pt>
                <c:pt idx="67">
                  <c:v>116.44846045656357</c:v>
                </c:pt>
                <c:pt idx="68">
                  <c:v>116.41397222332206</c:v>
                </c:pt>
                <c:pt idx="69">
                  <c:v>116.37831830742179</c:v>
                </c:pt>
                <c:pt idx="70">
                  <c:v>116.34149881058448</c:v>
                </c:pt>
                <c:pt idx="71">
                  <c:v>116.30351388642443</c:v>
                </c:pt>
                <c:pt idx="72">
                  <c:v>116.25379135893881</c:v>
                </c:pt>
                <c:pt idx="73">
                  <c:v>116.1923116895379</c:v>
                </c:pt>
                <c:pt idx="74">
                  <c:v>116.12964182206836</c:v>
                </c:pt>
                <c:pt idx="75">
                  <c:v>116.06578273419299</c:v>
                </c:pt>
                <c:pt idx="76">
                  <c:v>116.00073545793997</c:v>
                </c:pt>
                <c:pt idx="77">
                  <c:v>115.93450107972173</c:v>
                </c:pt>
                <c:pt idx="78">
                  <c:v>115.86708074034482</c:v>
                </c:pt>
                <c:pt idx="79">
                  <c:v>115.79847563501025</c:v>
                </c:pt>
                <c:pt idx="80">
                  <c:v>115.72868701330547</c:v>
                </c:pt>
                <c:pt idx="81">
                  <c:v>115.65771617918746</c:v>
                </c:pt>
                <c:pt idx="82">
                  <c:v>115.58556449095757</c:v>
                </c:pt>
                <c:pt idx="83">
                  <c:v>115.5122333612282</c:v>
                </c:pt>
                <c:pt idx="84">
                  <c:v>115.43772425688164</c:v>
                </c:pt>
                <c:pt idx="85">
                  <c:v>115.3620386990209</c:v>
                </c:pt>
                <c:pt idx="86">
                  <c:v>115.28517826291316</c:v>
                </c:pt>
                <c:pt idx="87">
                  <c:v>115.20714457792565</c:v>
                </c:pt>
                <c:pt idx="88">
                  <c:v>115.12793932745419</c:v>
                </c:pt>
                <c:pt idx="89">
                  <c:v>115.04756424884454</c:v>
                </c:pt>
                <c:pt idx="90">
                  <c:v>114.96602113330675</c:v>
                </c:pt>
                <c:pt idx="91">
                  <c:v>114.8833118258226</c:v>
                </c:pt>
                <c:pt idx="92">
                  <c:v>114.79943822504598</c:v>
                </c:pt>
                <c:pt idx="93">
                  <c:v>114.71440228319675</c:v>
                </c:pt>
                <c:pt idx="94">
                  <c:v>114.62820600594785</c:v>
                </c:pt>
                <c:pt idx="95">
                  <c:v>114.5408514523059</c:v>
                </c:pt>
                <c:pt idx="96">
                  <c:v>114.4523407344854</c:v>
                </c:pt>
                <c:pt idx="97">
                  <c:v>114.36267601777635</c:v>
                </c:pt>
                <c:pt idx="98">
                  <c:v>114.27185952040591</c:v>
                </c:pt>
                <c:pt idx="99">
                  <c:v>114.17989351339332</c:v>
                </c:pt>
                <c:pt idx="100">
                  <c:v>114.08678032039946</c:v>
                </c:pt>
                <c:pt idx="101">
                  <c:v>113.99252231756941</c:v>
                </c:pt>
                <c:pt idx="102">
                  <c:v>113.89712193336972</c:v>
                </c:pt>
                <c:pt idx="103">
                  <c:v>113.80058164841944</c:v>
                </c:pt>
                <c:pt idx="104">
                  <c:v>113.70290399531534</c:v>
                </c:pt>
                <c:pt idx="105">
                  <c:v>113.60409155845124</c:v>
                </c:pt>
                <c:pt idx="106">
                  <c:v>113.50414697383171</c:v>
                </c:pt>
                <c:pt idx="107">
                  <c:v>113.40307292888001</c:v>
                </c:pt>
                <c:pt idx="108">
                  <c:v>113.30087216224035</c:v>
                </c:pt>
                <c:pt idx="109">
                  <c:v>113.19754746357484</c:v>
                </c:pt>
                <c:pt idx="110">
                  <c:v>113.09310167335448</c:v>
                </c:pt>
                <c:pt idx="111">
                  <c:v>112.98753768264513</c:v>
                </c:pt>
                <c:pt idx="112">
                  <c:v>112.88085843288775</c:v>
                </c:pt>
                <c:pt idx="113">
                  <c:v>112.77306691567358</c:v>
                </c:pt>
                <c:pt idx="114">
                  <c:v>112.6641661725138</c:v>
                </c:pt>
                <c:pt idx="115">
                  <c:v>112.55415929460401</c:v>
                </c:pt>
                <c:pt idx="116">
                  <c:v>112.44304942258358</c:v>
                </c:pt>
                <c:pt idx="117">
                  <c:v>112.33083974628994</c:v>
                </c:pt>
                <c:pt idx="118">
                  <c:v>112.21753350450754</c:v>
                </c:pt>
                <c:pt idx="119">
                  <c:v>112.103133984712</c:v>
                </c:pt>
                <c:pt idx="120">
                  <c:v>111.98764452280929</c:v>
                </c:pt>
                <c:pt idx="121">
                  <c:v>111.87106850286989</c:v>
                </c:pt>
                <c:pt idx="122">
                  <c:v>111.75340935685817</c:v>
                </c:pt>
                <c:pt idx="123">
                  <c:v>111.6346705643569</c:v>
                </c:pt>
                <c:pt idx="124">
                  <c:v>111.51485565228703</c:v>
                </c:pt>
                <c:pt idx="125">
                  <c:v>111.39396819462283</c:v>
                </c:pt>
                <c:pt idx="126">
                  <c:v>111.27201181210229</c:v>
                </c:pt>
                <c:pt idx="127">
                  <c:v>111.14899017193297</c:v>
                </c:pt>
                <c:pt idx="128">
                  <c:v>111.02490698749325</c:v>
                </c:pt>
                <c:pt idx="129">
                  <c:v>110.8503956001267</c:v>
                </c:pt>
                <c:pt idx="130">
                  <c:v>110.62539670044914</c:v>
                </c:pt>
                <c:pt idx="131">
                  <c:v>110.39928772199929</c:v>
                </c:pt>
                <c:pt idx="132">
                  <c:v>110.17207571228693</c:v>
                </c:pt>
                <c:pt idx="133">
                  <c:v>109.94376776091137</c:v>
                </c:pt>
                <c:pt idx="134">
                  <c:v>109.714370998909</c:v>
                </c:pt>
                <c:pt idx="135">
                  <c:v>109.48389259809775</c:v>
                </c:pt>
                <c:pt idx="136">
                  <c:v>109.25233977041856</c:v>
                </c:pt>
                <c:pt idx="137">
                  <c:v>109.01971976727393</c:v>
                </c:pt>
                <c:pt idx="138">
                  <c:v>108.78603987886362</c:v>
                </c:pt>
                <c:pt idx="139">
                  <c:v>108.55130743351805</c:v>
                </c:pt>
                <c:pt idx="140">
                  <c:v>108.31552979702862</c:v>
                </c:pt>
                <c:pt idx="141">
                  <c:v>108.07871437197601</c:v>
                </c:pt>
                <c:pt idx="142">
                  <c:v>107.84086859705596</c:v>
                </c:pt>
                <c:pt idx="143">
                  <c:v>107.60199994640296</c:v>
                </c:pt>
                <c:pt idx="144">
                  <c:v>107.36211592891181</c:v>
                </c:pt>
                <c:pt idx="145">
                  <c:v>107.12122408755718</c:v>
                </c:pt>
                <c:pt idx="146">
                  <c:v>106.87933199871132</c:v>
                </c:pt>
                <c:pt idx="147">
                  <c:v>106.63644727146016</c:v>
                </c:pt>
                <c:pt idx="148">
                  <c:v>106.39257754691735</c:v>
                </c:pt>
                <c:pt idx="149">
                  <c:v>106.1477304975374</c:v>
                </c:pt>
                <c:pt idx="150">
                  <c:v>105.90191382642692</c:v>
                </c:pt>
                <c:pt idx="151">
                  <c:v>105.65513526665471</c:v>
                </c:pt>
                <c:pt idx="152">
                  <c:v>105.40740258056077</c:v>
                </c:pt>
                <c:pt idx="153">
                  <c:v>105.15872355906397</c:v>
                </c:pt>
                <c:pt idx="154">
                  <c:v>104.90910602096906</c:v>
                </c:pt>
                <c:pt idx="155">
                  <c:v>104.6585578122726</c:v>
                </c:pt>
                <c:pt idx="156">
                  <c:v>104.40708680546823</c:v>
                </c:pt>
                <c:pt idx="157">
                  <c:v>104.15470089885127</c:v>
                </c:pt>
                <c:pt idx="158">
                  <c:v>103.90140801582282</c:v>
                </c:pt>
                <c:pt idx="159">
                  <c:v>103.64721610419339</c:v>
                </c:pt>
                <c:pt idx="160">
                  <c:v>103.39213313548625</c:v>
                </c:pt>
                <c:pt idx="161">
                  <c:v>103.13616710424057</c:v>
                </c:pt>
                <c:pt idx="162">
                  <c:v>102.87932602731438</c:v>
                </c:pt>
                <c:pt idx="163">
                  <c:v>102.62161794318774</c:v>
                </c:pt>
                <c:pt idx="164">
                  <c:v>102.36305091126567</c:v>
                </c:pt>
                <c:pt idx="165">
                  <c:v>102.10363301118173</c:v>
                </c:pt>
                <c:pt idx="166">
                  <c:v>101.84337234210145</c:v>
                </c:pt>
                <c:pt idx="167">
                  <c:v>101.58227702202659</c:v>
                </c:pt>
                <c:pt idx="168">
                  <c:v>101.32035518709966</c:v>
                </c:pt>
                <c:pt idx="169">
                  <c:v>101.05761499090914</c:v>
                </c:pt>
                <c:pt idx="170">
                  <c:v>100.7940646037955</c:v>
                </c:pt>
                <c:pt idx="171">
                  <c:v>100.52971221215796</c:v>
                </c:pt>
                <c:pt idx="172">
                  <c:v>100.26456601776211</c:v>
                </c:pt>
                <c:pt idx="173">
                  <c:v>99.998634237048819</c:v>
                </c:pt>
                <c:pt idx="174">
                  <c:v>99.731925100443874</c:v>
                </c:pt>
                <c:pt idx="175">
                  <c:v>99.464446851669294</c:v>
                </c:pt>
                <c:pt idx="176">
                  <c:v>99.196207747055496</c:v>
                </c:pt>
                <c:pt idx="177">
                  <c:v>98.927216054855379</c:v>
                </c:pt>
                <c:pt idx="178">
                  <c:v>98.657480054559414</c:v>
                </c:pt>
                <c:pt idx="179">
                  <c:v>98.38700803621262</c:v>
                </c:pt>
                <c:pt idx="180">
                  <c:v>98.115808299733303</c:v>
                </c:pt>
                <c:pt idx="181">
                  <c:v>97.843889154233381</c:v>
                </c:pt>
                <c:pt idx="182">
                  <c:v>97.571258917340742</c:v>
                </c:pt>
                <c:pt idx="183">
                  <c:v>97.297925914523447</c:v>
                </c:pt>
                <c:pt idx="184">
                  <c:v>97.023898478416214</c:v>
                </c:pt>
                <c:pt idx="185">
                  <c:v>96.749184948148653</c:v>
                </c:pt>
                <c:pt idx="186">
                  <c:v>96.473793668676294</c:v>
                </c:pt>
                <c:pt idx="187">
                  <c:v>96.197732990113508</c:v>
                </c:pt>
                <c:pt idx="188">
                  <c:v>95.921011267068963</c:v>
                </c:pt>
                <c:pt idx="189">
                  <c:v>95.643636857983637</c:v>
                </c:pt>
                <c:pt idx="190">
                  <c:v>95.365618124471467</c:v>
                </c:pt>
                <c:pt idx="191">
                  <c:v>95.086963430662379</c:v>
                </c:pt>
                <c:pt idx="192">
                  <c:v>94.807681142548489</c:v>
                </c:pt>
                <c:pt idx="193">
                  <c:v>94.527779627332762</c:v>
                </c:pt>
                <c:pt idx="194">
                  <c:v>94.247267252780844</c:v>
                </c:pt>
                <c:pt idx="195">
                  <c:v>93.966152386575658</c:v>
                </c:pt>
                <c:pt idx="196">
                  <c:v>93.684443395675245</c:v>
                </c:pt>
                <c:pt idx="197">
                  <c:v>93.402148645673805</c:v>
                </c:pt>
                <c:pt idx="198">
                  <c:v>93.119276500165611</c:v>
                </c:pt>
                <c:pt idx="199">
                  <c:v>92.835835320112636</c:v>
                </c:pt>
                <c:pt idx="200">
                  <c:v>92.551833463215331</c:v>
                </c:pt>
                <c:pt idx="201">
                  <c:v>92.267279283286811</c:v>
                </c:pt>
                <c:pt idx="202">
                  <c:v>91.982181129630746</c:v>
                </c:pt>
                <c:pt idx="203">
                  <c:v>91.696547346422605</c:v>
                </c:pt>
                <c:pt idx="204">
                  <c:v>91.41038627209474</c:v>
                </c:pt>
                <c:pt idx="205">
                  <c:v>91.123706238724992</c:v>
                </c:pt>
                <c:pt idx="206">
                  <c:v>90.824264529848023</c:v>
                </c:pt>
                <c:pt idx="207">
                  <c:v>90.512065373249612</c:v>
                </c:pt>
                <c:pt idx="208">
                  <c:v>90.19937960137608</c:v>
                </c:pt>
                <c:pt idx="209">
                  <c:v>89.886216243914205</c:v>
                </c:pt>
                <c:pt idx="210">
                  <c:v>89.572584316670316</c:v>
                </c:pt>
                <c:pt idx="211">
                  <c:v>89.258492820927003</c:v>
                </c:pt>
                <c:pt idx="212">
                  <c:v>88.943950742804901</c:v>
                </c:pt>
                <c:pt idx="213">
                  <c:v>88.628967052629761</c:v>
                </c:pt>
                <c:pt idx="214">
                  <c:v>88.31355070430466</c:v>
                </c:pt>
                <c:pt idx="215">
                  <c:v>87.997710634687806</c:v>
                </c:pt>
                <c:pt idx="216">
                  <c:v>87.681455762975418</c:v>
                </c:pt>
                <c:pt idx="217">
                  <c:v>87.364794990090431</c:v>
                </c:pt>
                <c:pt idx="218">
                  <c:v>87.04773719807649</c:v>
                </c:pt>
                <c:pt idx="219">
                  <c:v>86.730291249497554</c:v>
                </c:pt>
                <c:pt idx="220">
                  <c:v>86.412465986843131</c:v>
                </c:pt>
                <c:pt idx="221">
                  <c:v>86.094270231939106</c:v>
                </c:pt>
                <c:pt idx="222">
                  <c:v>85.775712785364561</c:v>
                </c:pt>
                <c:pt idx="223">
                  <c:v>85.456802425874059</c:v>
                </c:pt>
                <c:pt idx="224">
                  <c:v>85.137547909825869</c:v>
                </c:pt>
                <c:pt idx="225">
                  <c:v>84.817957970615979</c:v>
                </c:pt>
                <c:pt idx="226">
                  <c:v>84.498041318118212</c:v>
                </c:pt>
                <c:pt idx="227">
                  <c:v>84.177806638130079</c:v>
                </c:pt>
                <c:pt idx="228">
                  <c:v>83.85726259182465</c:v>
                </c:pt>
                <c:pt idx="229">
                  <c:v>83.536417815208551</c:v>
                </c:pt>
                <c:pt idx="230">
                  <c:v>83.215280918585904</c:v>
                </c:pt>
                <c:pt idx="231">
                  <c:v>82.893860486028444</c:v>
                </c:pt>
                <c:pt idx="232">
                  <c:v>82.572165074851782</c:v>
                </c:pt>
                <c:pt idx="233">
                  <c:v>82.25020321509767</c:v>
                </c:pt>
                <c:pt idx="234">
                  <c:v>81.927983409022673</c:v>
                </c:pt>
                <c:pt idx="235">
                  <c:v>81.605514130592979</c:v>
                </c:pt>
                <c:pt idx="236">
                  <c:v>81.282803824985393</c:v>
                </c:pt>
                <c:pt idx="237">
                  <c:v>80.959860908094782</c:v>
                </c:pt>
                <c:pt idx="238">
                  <c:v>80.636693766047657</c:v>
                </c:pt>
                <c:pt idx="239">
                  <c:v>80.313310754722124</c:v>
                </c:pt>
                <c:pt idx="240">
                  <c:v>79.989720199274302</c:v>
                </c:pt>
                <c:pt idx="241">
                  <c:v>79.665930393671005</c:v>
                </c:pt>
                <c:pt idx="242">
                  <c:v>79.299241052534882</c:v>
                </c:pt>
                <c:pt idx="243">
                  <c:v>78.889664560512259</c:v>
                </c:pt>
                <c:pt idx="244">
                  <c:v>78.479974032983307</c:v>
                </c:pt>
                <c:pt idx="245">
                  <c:v>78.070180022584708</c:v>
                </c:pt>
                <c:pt idx="246">
                  <c:v>77.660293026560794</c:v>
                </c:pt>
                <c:pt idx="247">
                  <c:v>77.25032348621221</c:v>
                </c:pt>
                <c:pt idx="248">
                  <c:v>76.840281786355561</c:v>
                </c:pt>
                <c:pt idx="249">
                  <c:v>76.430178254793404</c:v>
                </c:pt>
                <c:pt idx="250">
                  <c:v>76.020023161795663</c:v>
                </c:pt>
                <c:pt idx="251">
                  <c:v>75.609826719591496</c:v>
                </c:pt>
                <c:pt idx="252">
                  <c:v>75.199599081872009</c:v>
                </c:pt>
                <c:pt idx="253">
                  <c:v>74.78935034330361</c:v>
                </c:pt>
                <c:pt idx="254">
                  <c:v>74.379090539052527</c:v>
                </c:pt>
                <c:pt idx="255">
                  <c:v>73.968829644319584</c:v>
                </c:pt>
                <c:pt idx="256">
                  <c:v>73.558577573886055</c:v>
                </c:pt>
                <c:pt idx="257">
                  <c:v>73.148344181670083</c:v>
                </c:pt>
                <c:pt idx="258">
                  <c:v>72.738139260293664</c:v>
                </c:pt>
                <c:pt idx="259">
                  <c:v>72.327972540660639</c:v>
                </c:pt>
                <c:pt idx="260">
                  <c:v>71.917853691544821</c:v>
                </c:pt>
                <c:pt idx="261">
                  <c:v>71.507792319189107</c:v>
                </c:pt>
                <c:pt idx="262">
                  <c:v>71.09779796691511</c:v>
                </c:pt>
                <c:pt idx="263">
                  <c:v>70.687880114743024</c:v>
                </c:pt>
                <c:pt idx="264">
                  <c:v>70.278048179022349</c:v>
                </c:pt>
                <c:pt idx="265">
                  <c:v>69.868311512072992</c:v>
                </c:pt>
                <c:pt idx="266">
                  <c:v>69.458679401836477</c:v>
                </c:pt>
                <c:pt idx="267">
                  <c:v>69.049161071538009</c:v>
                </c:pt>
                <c:pt idx="268">
                  <c:v>68.639765679358533</c:v>
                </c:pt>
                <c:pt idx="269">
                  <c:v>68.230502318117175</c:v>
                </c:pt>
                <c:pt idx="270">
                  <c:v>67.821380014964106</c:v>
                </c:pt>
                <c:pt idx="271">
                  <c:v>67.412407731083334</c:v>
                </c:pt>
                <c:pt idx="272">
                  <c:v>67.003594361405732</c:v>
                </c:pt>
                <c:pt idx="273">
                  <c:v>66.594948734332377</c:v>
                </c:pt>
                <c:pt idx="274">
                  <c:v>66.186479611467632</c:v>
                </c:pt>
                <c:pt idx="275">
                  <c:v>65.778195687362441</c:v>
                </c:pt>
                <c:pt idx="276">
                  <c:v>65.370105589267439</c:v>
                </c:pt>
                <c:pt idx="277">
                  <c:v>64.962217876896062</c:v>
                </c:pt>
                <c:pt idx="278">
                  <c:v>64.554541042197371</c:v>
                </c:pt>
                <c:pt idx="279">
                  <c:v>64.147083509138824</c:v>
                </c:pt>
                <c:pt idx="280">
                  <c:v>63.739853633498448</c:v>
                </c:pt>
                <c:pt idx="281">
                  <c:v>63.332859702667029</c:v>
                </c:pt>
                <c:pt idx="282">
                  <c:v>62.926109935459628</c:v>
                </c:pt>
                <c:pt idx="283">
                  <c:v>62.519612481936683</c:v>
                </c:pt>
                <c:pt idx="284">
                  <c:v>62.163987921926847</c:v>
                </c:pt>
                <c:pt idx="285">
                  <c:v>61.859212631615549</c:v>
                </c:pt>
                <c:pt idx="286">
                  <c:v>61.55459369692047</c:v>
                </c:pt>
                <c:pt idx="287">
                  <c:v>61.250136766193215</c:v>
                </c:pt>
                <c:pt idx="288">
                  <c:v>60.94584744628628</c:v>
                </c:pt>
                <c:pt idx="289">
                  <c:v>60.641731302441357</c:v>
                </c:pt>
                <c:pt idx="290">
                  <c:v>60.337793858182287</c:v>
                </c:pt>
                <c:pt idx="291">
                  <c:v>60.034040595213071</c:v>
                </c:pt>
                <c:pt idx="292">
                  <c:v>59.730476953320675</c:v>
                </c:pt>
                <c:pt idx="293">
                  <c:v>59.427108330282877</c:v>
                </c:pt>
                <c:pt idx="294">
                  <c:v>59.123940081780688</c:v>
                </c:pt>
                <c:pt idx="295">
                  <c:v>58.820977521315804</c:v>
                </c:pt>
                <c:pt idx="296">
                  <c:v>58.518225920132636</c:v>
                </c:pt>
                <c:pt idx="297">
                  <c:v>58.215690507145084</c:v>
                </c:pt>
                <c:pt idx="298">
                  <c:v>57.913376468868265</c:v>
                </c:pt>
                <c:pt idx="299">
                  <c:v>57.611288949354432</c:v>
                </c:pt>
                <c:pt idx="300">
                  <c:v>57.309433050134004</c:v>
                </c:pt>
                <c:pt idx="301">
                  <c:v>57.007813830160757</c:v>
                </c:pt>
                <c:pt idx="302">
                  <c:v>56.70643630576194</c:v>
                </c:pt>
                <c:pt idx="303">
                  <c:v>56.405305450592593</c:v>
                </c:pt>
                <c:pt idx="304">
                  <c:v>56.104426195594506</c:v>
                </c:pt>
                <c:pt idx="305">
                  <c:v>55.803803428959725</c:v>
                </c:pt>
                <c:pt idx="306">
                  <c:v>55.503441996098189</c:v>
                </c:pt>
                <c:pt idx="307">
                  <c:v>55.203346699609881</c:v>
                </c:pt>
                <c:pt idx="308">
                  <c:v>54.903522299261425</c:v>
                </c:pt>
                <c:pt idx="309">
                  <c:v>54.603973511966728</c:v>
                </c:pt>
                <c:pt idx="310">
                  <c:v>54.304705011772185</c:v>
                </c:pt>
                <c:pt idx="311">
                  <c:v>54.005721429845664</c:v>
                </c:pt>
                <c:pt idx="312">
                  <c:v>53.707027354470149</c:v>
                </c:pt>
                <c:pt idx="313">
                  <c:v>53.408627331041167</c:v>
                </c:pt>
                <c:pt idx="314">
                  <c:v>53.110525862068542</c:v>
                </c:pt>
                <c:pt idx="315">
                  <c:v>52.812727407181981</c:v>
                </c:pt>
                <c:pt idx="316">
                  <c:v>52.515236383140845</c:v>
                </c:pt>
                <c:pt idx="317">
                  <c:v>52.218057163847966</c:v>
                </c:pt>
                <c:pt idx="318">
                  <c:v>51.921194080367059</c:v>
                </c:pt>
                <c:pt idx="319">
                  <c:v>51.624651420944517</c:v>
                </c:pt>
                <c:pt idx="320">
                  <c:v>51.328433431034526</c:v>
                </c:pt>
                <c:pt idx="321">
                  <c:v>51.032544313328479</c:v>
                </c:pt>
                <c:pt idx="322">
                  <c:v>50.73698822778789</c:v>
                </c:pt>
                <c:pt idx="323">
                  <c:v>50.441769291681069</c:v>
                </c:pt>
                <c:pt idx="324">
                  <c:v>50.146891579623556</c:v>
                </c:pt>
                <c:pt idx="325">
                  <c:v>49.852359123622151</c:v>
                </c:pt>
                <c:pt idx="326">
                  <c:v>49.561312450935418</c:v>
                </c:pt>
                <c:pt idx="327">
                  <c:v>49.273752326534947</c:v>
                </c:pt>
                <c:pt idx="328">
                  <c:v>48.986539623083154</c:v>
                </c:pt>
                <c:pt idx="329">
                  <c:v>48.699678104465583</c:v>
                </c:pt>
                <c:pt idx="330">
                  <c:v>48.413171493758881</c:v>
                </c:pt>
                <c:pt idx="331">
                  <c:v>48.127023473291892</c:v>
                </c:pt>
                <c:pt idx="332">
                  <c:v>47.841237684709732</c:v>
                </c:pt>
                <c:pt idx="333">
                  <c:v>47.555817729041422</c:v>
                </c:pt>
                <c:pt idx="334">
                  <c:v>47.270767166770177</c:v>
                </c:pt>
                <c:pt idx="335">
                  <c:v>46.986089517907153</c:v>
                </c:pt>
                <c:pt idx="336">
                  <c:v>46.701788262068163</c:v>
                </c:pt>
                <c:pt idx="337">
                  <c:v>46.417866838553202</c:v>
                </c:pt>
                <c:pt idx="338">
                  <c:v>46.134328646429132</c:v>
                </c:pt>
                <c:pt idx="339">
                  <c:v>45.851177044615277</c:v>
                </c:pt>
                <c:pt idx="340">
                  <c:v>45.568415351971794</c:v>
                </c:pt>
                <c:pt idx="341">
                  <c:v>45.286046847390992</c:v>
                </c:pt>
                <c:pt idx="342">
                  <c:v>45.004074769891474</c:v>
                </c:pt>
                <c:pt idx="343">
                  <c:v>44.722502318714803</c:v>
                </c:pt>
                <c:pt idx="344">
                  <c:v>44.441332653425313</c:v>
                </c:pt>
                <c:pt idx="345">
                  <c:v>44.160568894012108</c:v>
                </c:pt>
                <c:pt idx="346">
                  <c:v>43.880214120994275</c:v>
                </c:pt>
                <c:pt idx="347">
                  <c:v>43.600271375527981</c:v>
                </c:pt>
                <c:pt idx="348">
                  <c:v>43.320743659516943</c:v>
                </c:pt>
                <c:pt idx="349">
                  <c:v>43.041633935724718</c:v>
                </c:pt>
                <c:pt idx="350">
                  <c:v>42.76294512788995</c:v>
                </c:pt>
                <c:pt idx="351">
                  <c:v>42.484680120843734</c:v>
                </c:pt>
                <c:pt idx="352">
                  <c:v>42.206841760629644</c:v>
                </c:pt>
                <c:pt idx="353">
                  <c:v>41.929432854626015</c:v>
                </c:pt>
                <c:pt idx="354">
                  <c:v>41.652456171670416</c:v>
                </c:pt>
                <c:pt idx="355">
                  <c:v>41.375914442186726</c:v>
                </c:pt>
                <c:pt idx="356">
                  <c:v>41.09981035831413</c:v>
                </c:pt>
                <c:pt idx="357">
                  <c:v>40.824146574038522</c:v>
                </c:pt>
                <c:pt idx="358">
                  <c:v>40.548925705325942</c:v>
                </c:pt>
                <c:pt idx="359">
                  <c:v>40.274150330258308</c:v>
                </c:pt>
                <c:pt idx="360">
                  <c:v>39.999822989171143</c:v>
                </c:pt>
                <c:pt idx="361">
                  <c:v>39.72594618479323</c:v>
                </c:pt>
                <c:pt idx="362">
                  <c:v>39.452522382388587</c:v>
                </c:pt>
                <c:pt idx="363">
                  <c:v>39.179554009900031</c:v>
                </c:pt>
                <c:pt idx="364">
                  <c:v>38.907043458095075</c:v>
                </c:pt>
                <c:pt idx="365">
                  <c:v>38.634993080713372</c:v>
                </c:pt>
                <c:pt idx="366">
                  <c:v>38.443551128611155</c:v>
                </c:pt>
                <c:pt idx="367">
                  <c:v>38.332612817324858</c:v>
                </c:pt>
                <c:pt idx="368">
                  <c:v>38.2218478689365</c:v>
                </c:pt>
                <c:pt idx="369">
                  <c:v>38.111257084573381</c:v>
                </c:pt>
                <c:pt idx="370">
                  <c:v>38.000841256709521</c:v>
                </c:pt>
                <c:pt idx="371">
                  <c:v>37.890601169190049</c:v>
                </c:pt>
                <c:pt idx="372">
                  <c:v>37.780537597256149</c:v>
                </c:pt>
                <c:pt idx="373">
                  <c:v>37.670651307569798</c:v>
                </c:pt>
                <c:pt idx="374">
                  <c:v>37.560943058239054</c:v>
                </c:pt>
                <c:pt idx="375">
                  <c:v>37.451413598843629</c:v>
                </c:pt>
                <c:pt idx="376">
                  <c:v>37.342063670460789</c:v>
                </c:pt>
                <c:pt idx="377">
                  <c:v>37.232894005691136</c:v>
                </c:pt>
                <c:pt idx="378">
                  <c:v>37.123905328685069</c:v>
                </c:pt>
                <c:pt idx="379">
                  <c:v>37.015098355169407</c:v>
                </c:pt>
                <c:pt idx="380">
                  <c:v>36.906473792473996</c:v>
                </c:pt>
                <c:pt idx="381">
                  <c:v>36.711277792325973</c:v>
                </c:pt>
                <c:pt idx="382">
                  <c:v>36.429632600554569</c:v>
                </c:pt>
                <c:pt idx="383">
                  <c:v>36.148501196808567</c:v>
                </c:pt>
                <c:pt idx="384">
                  <c:v>35.867885669632997</c:v>
                </c:pt>
                <c:pt idx="385">
                  <c:v>35.587788069062981</c:v>
                </c:pt>
                <c:pt idx="386">
                  <c:v>35.308210406813345</c:v>
                </c:pt>
                <c:pt idx="387">
                  <c:v>35.029154656469657</c:v>
                </c:pt>
                <c:pt idx="388">
                  <c:v>34.750622753680844</c:v>
                </c:pt>
                <c:pt idx="389">
                  <c:v>34.472616596353348</c:v>
                </c:pt>
                <c:pt idx="390">
                  <c:v>34.195138044846651</c:v>
                </c:pt>
                <c:pt idx="391">
                  <c:v>33.918188922170216</c:v>
                </c:pt>
                <c:pt idx="392">
                  <c:v>33.641771014181714</c:v>
                </c:pt>
                <c:pt idx="393">
                  <c:v>33.36588606978664</c:v>
                </c:pt>
                <c:pt idx="394">
                  <c:v>33.090535801139225</c:v>
                </c:pt>
                <c:pt idx="395">
                  <c:v>32.815721883844489</c:v>
                </c:pt>
                <c:pt idx="396">
                  <c:v>32.541445957161592</c:v>
                </c:pt>
                <c:pt idx="397">
                  <c:v>32.26770962420828</c:v>
                </c:pt>
                <c:pt idx="398">
                  <c:v>31.994514452166513</c:v>
                </c:pt>
                <c:pt idx="399">
                  <c:v>31.721861972489137</c:v>
                </c:pt>
                <c:pt idx="400">
                  <c:v>31.44975368110758</c:v>
                </c:pt>
                <c:pt idx="401">
                  <c:v>31.109838730138136</c:v>
                </c:pt>
                <c:pt idx="402">
                  <c:v>30.702224952426839</c:v>
                </c:pt>
                <c:pt idx="403">
                  <c:v>30.295438160638959</c:v>
                </c:pt>
                <c:pt idx="404">
                  <c:v>29.889481129224883</c:v>
                </c:pt>
                <c:pt idx="405">
                  <c:v>29.484356560955419</c:v>
                </c:pt>
                <c:pt idx="406">
                  <c:v>29.080067087378467</c:v>
                </c:pt>
                <c:pt idx="407">
                  <c:v>28.676615269278386</c:v>
                </c:pt>
                <c:pt idx="408">
                  <c:v>28.274003597138062</c:v>
                </c:pt>
                <c:pt idx="409">
                  <c:v>27.872234491603393</c:v>
                </c:pt>
                <c:pt idx="410">
                  <c:v>27.471310303950091</c:v>
                </c:pt>
                <c:pt idx="411">
                  <c:v>26.69329590488331</c:v>
                </c:pt>
                <c:pt idx="412">
                  <c:v>25.538826030791828</c:v>
                </c:pt>
                <c:pt idx="413">
                  <c:v>24.386827061945056</c:v>
                </c:pt>
                <c:pt idx="414">
                  <c:v>23.237317465831872</c:v>
                </c:pt>
                <c:pt idx="415">
                  <c:v>22.090315199609847</c:v>
                </c:pt>
                <c:pt idx="416">
                  <c:v>20.945837713323371</c:v>
                </c:pt>
                <c:pt idx="417">
                  <c:v>19.803901953181963</c:v>
                </c:pt>
                <c:pt idx="418">
                  <c:v>18.664524364896664</c:v>
                </c:pt>
                <c:pt idx="419">
                  <c:v>17.52772089707269</c:v>
                </c:pt>
                <c:pt idx="420">
                  <c:v>16.178413174273132</c:v>
                </c:pt>
                <c:pt idx="421">
                  <c:v>14.617028332940263</c:v>
                </c:pt>
                <c:pt idx="422">
                  <c:v>13.059269154083603</c:v>
                </c:pt>
                <c:pt idx="423">
                  <c:v>11.505164652100737</c:v>
                </c:pt>
                <c:pt idx="424">
                  <c:v>9.95474292938699</c:v>
                </c:pt>
                <c:pt idx="425">
                  <c:v>8.4080311826767584</c:v>
                </c:pt>
                <c:pt idx="426">
                  <c:v>6.8650557095154578</c:v>
                </c:pt>
                <c:pt idx="427">
                  <c:v>5.3258419148572909</c:v>
                </c:pt>
                <c:pt idx="428">
                  <c:v>3.7904143177836946</c:v>
                </c:pt>
                <c:pt idx="429">
                  <c:v>2.2587965583383927</c:v>
                </c:pt>
                <c:pt idx="430">
                  <c:v>0.73101140447395707</c:v>
                </c:pt>
                <c:pt idx="431">
                  <c:v>-0.79291924089476673</c:v>
                </c:pt>
                <c:pt idx="432">
                  <c:v>-2.6597277986006365</c:v>
                </c:pt>
                <c:pt idx="433">
                  <c:v>-4.8685916789503736</c:v>
                </c:pt>
                <c:pt idx="434">
                  <c:v>-7.071704358157155</c:v>
                </c:pt>
                <c:pt idx="435">
                  <c:v>-9.2690167893044695</c:v>
                </c:pt>
                <c:pt idx="436">
                  <c:v>-11.460481726190634</c:v>
                </c:pt>
                <c:pt idx="437">
                  <c:v>-13.646053709124926</c:v>
                </c:pt>
                <c:pt idx="438">
                  <c:v>-15.825689050401747</c:v>
                </c:pt>
                <c:pt idx="439">
                  <c:v>-17.999345819465869</c:v>
                </c:pt>
                <c:pt idx="440">
                  <c:v>-20.166983827782648</c:v>
                </c:pt>
                <c:pt idx="441">
                  <c:v>-22.328564613426053</c:v>
                </c:pt>
                <c:pt idx="442">
                  <c:v>-24.273426789928912</c:v>
                </c:pt>
                <c:pt idx="443">
                  <c:v>-26.002113748387949</c:v>
                </c:pt>
                <c:pt idx="444">
                  <c:v>-27.725886937141588</c:v>
                </c:pt>
                <c:pt idx="445">
                  <c:v>-29.444731240976026</c:v>
                </c:pt>
                <c:pt idx="446">
                  <c:v>-31.158632576109273</c:v>
                </c:pt>
                <c:pt idx="447">
                  <c:v>-32.867577878756862</c:v>
                </c:pt>
                <c:pt idx="448">
                  <c:v>-34.571555093632206</c:v>
                </c:pt>
                <c:pt idx="449">
                  <c:v>-36.270553162388161</c:v>
                </c:pt>
                <c:pt idx="450">
                  <c:v>-37.964562012005466</c:v>
                </c:pt>
                <c:pt idx="451">
                  <c:v>-39.653572543133905</c:v>
                </c:pt>
                <c:pt idx="452">
                  <c:v>-41.33757661839168</c:v>
                </c:pt>
                <c:pt idx="453">
                  <c:v>-42.714968802472839</c:v>
                </c:pt>
                <c:pt idx="454">
                  <c:v>-43.786670096405288</c:v>
                </c:pt>
                <c:pt idx="455">
                  <c:v>-44.855265780965595</c:v>
                </c:pt>
                <c:pt idx="456">
                  <c:v>-45.920761911453965</c:v>
                </c:pt>
                <c:pt idx="457">
                  <c:v>-46.983164858838549</c:v>
                </c:pt>
                <c:pt idx="458">
                  <c:v>-48.042481304971695</c:v>
                </c:pt>
                <c:pt idx="459">
                  <c:v>-49.098718237834149</c:v>
                </c:pt>
                <c:pt idx="460">
                  <c:v>-50.151882946807163</c:v>
                </c:pt>
                <c:pt idx="461">
                  <c:v>-50.930588106347578</c:v>
                </c:pt>
                <c:pt idx="462">
                  <c:v>-51.435708821030858</c:v>
                </c:pt>
                <c:pt idx="463">
                  <c:v>-51.939543321864029</c:v>
                </c:pt>
                <c:pt idx="464">
                  <c:v>-52.442098811383829</c:v>
                </c:pt>
                <c:pt idx="465">
                  <c:v>-52.943382519586507</c:v>
                </c:pt>
                <c:pt idx="466">
                  <c:v>-53.671386255283316</c:v>
                </c:pt>
                <c:pt idx="467">
                  <c:v>-54.62538134299642</c:v>
                </c:pt>
                <c:pt idx="468">
                  <c:v>-58.115481208834225</c:v>
                </c:pt>
                <c:pt idx="469">
                  <c:v>-61.026343658061684</c:v>
                </c:pt>
                <c:pt idx="470">
                  <c:v>-60.821095984539113</c:v>
                </c:pt>
                <c:pt idx="471">
                  <c:v>-60.616986375322334</c:v>
                </c:pt>
                <c:pt idx="472">
                  <c:v>-60.414006354911109</c:v>
                </c:pt>
                <c:pt idx="473">
                  <c:v>-60.212147527144779</c:v>
                </c:pt>
                <c:pt idx="474">
                  <c:v>-60.011401574308849</c:v>
                </c:pt>
                <c:pt idx="475">
                  <c:v>-59.811760256253031</c:v>
                </c:pt>
                <c:pt idx="476">
                  <c:v>-59.613215409520919</c:v>
                </c:pt>
                <c:pt idx="477">
                  <c:v>-59.415758946490996</c:v>
                </c:pt>
                <c:pt idx="478">
                  <c:v>-59.219382854529073</c:v>
                </c:pt>
                <c:pt idx="479">
                  <c:v>-59.024079195151671</c:v>
                </c:pt>
                <c:pt idx="480">
                  <c:v>-58.829840103200297</c:v>
                </c:pt>
                <c:pt idx="481">
                  <c:v>-58.63665778602644</c:v>
                </c:pt>
                <c:pt idx="482">
                  <c:v>-58.444524522687253</c:v>
                </c:pt>
                <c:pt idx="483">
                  <c:v>-58.253432663151607</c:v>
                </c:pt>
                <c:pt idx="484">
                  <c:v>-58.063374627516396</c:v>
                </c:pt>
                <c:pt idx="485">
                  <c:v>-57.874342905233007</c:v>
                </c:pt>
                <c:pt idx="486">
                  <c:v>-57.6863300543436</c:v>
                </c:pt>
                <c:pt idx="487">
                  <c:v>-57.499328700727567</c:v>
                </c:pt>
                <c:pt idx="488">
                  <c:v>-57.313331537357193</c:v>
                </c:pt>
                <c:pt idx="489">
                  <c:v>-57.128331323563273</c:v>
                </c:pt>
                <c:pt idx="490">
                  <c:v>-56.944320884309896</c:v>
                </c:pt>
                <c:pt idx="491">
                  <c:v>-56.761293109478466</c:v>
                </c:pt>
                <c:pt idx="492">
                  <c:v>-56.57924095316109</c:v>
                </c:pt>
                <c:pt idx="493">
                  <c:v>-56.398157432962627</c:v>
                </c:pt>
                <c:pt idx="494">
                  <c:v>-56.218035629311899</c:v>
                </c:pt>
                <c:pt idx="495">
                  <c:v>-56.03886868478132</c:v>
                </c:pt>
                <c:pt idx="496">
                  <c:v>-55.860649803415498</c:v>
                </c:pt>
                <c:pt idx="497">
                  <c:v>-55.683372250067947</c:v>
                </c:pt>
                <c:pt idx="498">
                  <c:v>-55.507029349746446</c:v>
                </c:pt>
                <c:pt idx="499">
                  <c:v>-55.331614486966501</c:v>
                </c:pt>
                <c:pt idx="500">
                  <c:v>-55.157121105112864</c:v>
                </c:pt>
                <c:pt idx="501">
                  <c:v>-54.983542705809278</c:v>
                </c:pt>
                <c:pt idx="502">
                  <c:v>-53.275040667148211</c:v>
                </c:pt>
                <c:pt idx="503">
                  <c:v>-51.653872072686333</c:v>
                </c:pt>
                <c:pt idx="504">
                  <c:v>-50.114119748302791</c:v>
                </c:pt>
                <c:pt idx="505">
                  <c:v>-48.65036405257095</c:v>
                </c:pt>
                <c:pt idx="506">
                  <c:v>-47.257633198385662</c:v>
                </c:pt>
                <c:pt idx="507">
                  <c:v>-45.93135929325107</c:v>
                </c:pt>
                <c:pt idx="508">
                  <c:v>-44.667339355397246</c:v>
                </c:pt>
                <c:pt idx="509">
                  <c:v>-43.461700670020001</c:v>
                </c:pt>
                <c:pt idx="510">
                  <c:v>-42.310869940130317</c:v>
                </c:pt>
                <c:pt idx="511">
                  <c:v>-41.211545762660094</c:v>
                </c:pt>
                <c:pt idx="512">
                  <c:v>-40.160674024970646</c:v>
                </c:pt>
                <c:pt idx="513">
                  <c:v>-39.155425871686589</c:v>
                </c:pt>
                <c:pt idx="514">
                  <c:v>-38.193177938421734</c:v>
                </c:pt>
                <c:pt idx="515">
                  <c:v>-37.2714945887883</c:v>
                </c:pt>
                <c:pt idx="516">
                  <c:v>-36.388111925166754</c:v>
                </c:pt>
                <c:pt idx="517">
                  <c:v>-35.540923372961238</c:v>
                </c:pt>
                <c:pt idx="518">
                  <c:v>-34.727966663220741</c:v>
                </c:pt>
                <c:pt idx="519">
                  <c:v>-33.947412060190146</c:v>
                </c:pt>
                <c:pt idx="520">
                  <c:v>-33.197551699090937</c:v>
                </c:pt>
                <c:pt idx="521">
                  <c:v>-32.476789915652319</c:v>
                </c:pt>
                <c:pt idx="522">
                  <c:v>-31.783634462988527</c:v>
                </c:pt>
                <c:pt idx="523">
                  <c:v>-31.116688523654915</c:v>
                </c:pt>
                <c:pt idx="524">
                  <c:v>-30.474643435375803</c:v>
                </c:pt>
                <c:pt idx="525">
                  <c:v>-29.856272058241657</c:v>
                </c:pt>
                <c:pt idx="526">
                  <c:v>-29.26042271930967</c:v>
                </c:pt>
                <c:pt idx="527">
                  <c:v>-28.686013677670299</c:v>
                </c:pt>
                <c:pt idx="528">
                  <c:v>-28.132028059297298</c:v>
                </c:pt>
                <c:pt idx="529">
                  <c:v>-27.597509216499194</c:v>
                </c:pt>
                <c:pt idx="530">
                  <c:v>-27.081556471632382</c:v>
                </c:pt>
                <c:pt idx="531">
                  <c:v>-26.583321209007906</c:v>
                </c:pt>
                <c:pt idx="532">
                  <c:v>-26.102003282697964</c:v>
                </c:pt>
                <c:pt idx="533">
                  <c:v>-25.636847711286762</c:v>
                </c:pt>
                <c:pt idx="534">
                  <c:v>-25.187141633569961</c:v>
                </c:pt>
                <c:pt idx="535">
                  <c:v>-24.752211501832363</c:v>
                </c:pt>
                <c:pt idx="536">
                  <c:v>-24.331420491667807</c:v>
                </c:pt>
                <c:pt idx="537">
                  <c:v>-23.924166109382092</c:v>
                </c:pt>
                <c:pt idx="538">
                  <c:v>-23.529877979871024</c:v>
                </c:pt>
                <c:pt idx="539">
                  <c:v>-23.148015799517687</c:v>
                </c:pt>
                <c:pt idx="540">
                  <c:v>-22.778067440129206</c:v>
                </c:pt>
                <c:pt idx="541">
                  <c:v>-22.419547191254161</c:v>
                </c:pt>
                <c:pt idx="542">
                  <c:v>-22.071994129404896</c:v>
                </c:pt>
                <c:pt idx="543">
                  <c:v>-21.734970603770293</c:v>
                </c:pt>
                <c:pt idx="544">
                  <c:v>-21.408060828957652</c:v>
                </c:pt>
                <c:pt idx="545">
                  <c:v>-21.090869576159051</c:v>
                </c:pt>
                <c:pt idx="546">
                  <c:v>-20.783020954908714</c:v>
                </c:pt>
                <c:pt idx="547">
                  <c:v>-20.484157278292926</c:v>
                </c:pt>
                <c:pt idx="548">
                  <c:v>-20.193938005100613</c:v>
                </c:pt>
                <c:pt idx="549">
                  <c:v>-19.912038752969131</c:v>
                </c:pt>
                <c:pt idx="550">
                  <c:v>-19.638150377090895</c:v>
                </c:pt>
                <c:pt idx="551">
                  <c:v>-19.371978109509911</c:v>
                </c:pt>
                <c:pt idx="552">
                  <c:v>-19.113240754456491</c:v>
                </c:pt>
                <c:pt idx="553">
                  <c:v>-18.861669935548271</c:v>
                </c:pt>
                <c:pt idx="554">
                  <c:v>-18.617009391031107</c:v>
                </c:pt>
                <c:pt idx="555">
                  <c:v>-18.379014313546485</c:v>
                </c:pt>
                <c:pt idx="556">
                  <c:v>-18.147450731196951</c:v>
                </c:pt>
                <c:pt idx="557">
                  <c:v>-17.922094926940368</c:v>
                </c:pt>
                <c:pt idx="558">
                  <c:v>-17.702732893579721</c:v>
                </c:pt>
                <c:pt idx="559">
                  <c:v>-17.489159821830317</c:v>
                </c:pt>
                <c:pt idx="560">
                  <c:v>-17.281179619142492</c:v>
                </c:pt>
                <c:pt idx="561">
                  <c:v>-17.078604457136908</c:v>
                </c:pt>
                <c:pt idx="562">
                  <c:v>-16.881254345673014</c:v>
                </c:pt>
                <c:pt idx="563">
                  <c:v>-16.688956731721007</c:v>
                </c:pt>
                <c:pt idx="564">
                  <c:v>-16.501546121343964</c:v>
                </c:pt>
                <c:pt idx="565">
                  <c:v>-16.318863723222247</c:v>
                </c:pt>
                <c:pt idx="566">
                  <c:v>-16.140757112266563</c:v>
                </c:pt>
                <c:pt idx="567">
                  <c:v>-15.967079911971116</c:v>
                </c:pt>
                <c:pt idx="568">
                  <c:v>-15.797691494254451</c:v>
                </c:pt>
                <c:pt idx="569">
                  <c:v>-15.632456695623425</c:v>
                </c:pt>
                <c:pt idx="570">
                  <c:v>-15.47124554857691</c:v>
                </c:pt>
                <c:pt idx="571">
                  <c:v>-15.313933027239511</c:v>
                </c:pt>
                <c:pt idx="572">
                  <c:v>-15.160398806283718</c:v>
                </c:pt>
                <c:pt idx="573">
                  <c:v>-15.010527032261024</c:v>
                </c:pt>
                <c:pt idx="574">
                  <c:v>-14.864206106519553</c:v>
                </c:pt>
                <c:pt idx="575">
                  <c:v>-14.721328478938029</c:v>
                </c:pt>
                <c:pt idx="576">
                  <c:v>-14.58179045175355</c:v>
                </c:pt>
                <c:pt idx="577">
                  <c:v>-14.445491992804321</c:v>
                </c:pt>
                <c:pt idx="578">
                  <c:v>-14.312336557548354</c:v>
                </c:pt>
                <c:pt idx="579">
                  <c:v>-14.182230919255206</c:v>
                </c:pt>
                <c:pt idx="580">
                  <c:v>-14.055085006800844</c:v>
                </c:pt>
                <c:pt idx="581">
                  <c:v>-13.930811749525368</c:v>
                </c:pt>
                <c:pt idx="582">
                  <c:v>-13.809326928640026</c:v>
                </c:pt>
                <c:pt idx="583">
                  <c:v>-13.69054903469393</c:v>
                </c:pt>
                <c:pt idx="584">
                  <c:v>-13.574399130632044</c:v>
                </c:pt>
                <c:pt idx="585">
                  <c:v>-13.460800719994575</c:v>
                </c:pt>
                <c:pt idx="586">
                  <c:v>-13.34967961982403</c:v>
                </c:pt>
                <c:pt idx="587">
                  <c:v>-13.240963837859752</c:v>
                </c:pt>
                <c:pt idx="588">
                  <c:v>-13.134583453610901</c:v>
                </c:pt>
                <c:pt idx="589">
                  <c:v>-13.030470502907628</c:v>
                </c:pt>
                <c:pt idx="590">
                  <c:v>-12.928558865536489</c:v>
                </c:pt>
                <c:pt idx="591">
                  <c:v>-12.828784155569917</c:v>
                </c:pt>
                <c:pt idx="592">
                  <c:v>-12.731083614000946</c:v>
                </c:pt>
                <c:pt idx="593">
                  <c:v>-12.635396003293096</c:v>
                </c:pt>
                <c:pt idx="594">
                  <c:v>-12.541661503451111</c:v>
                </c:pt>
                <c:pt idx="595">
                  <c:v>-12.449821609211524</c:v>
                </c:pt>
                <c:pt idx="596">
                  <c:v>-12.35981902794183</c:v>
                </c:pt>
                <c:pt idx="597">
                  <c:v>-12.27159757782384</c:v>
                </c:pt>
                <c:pt idx="598">
                  <c:v>-12.185102085879835</c:v>
                </c:pt>
                <c:pt idx="599">
                  <c:v>-12.100278285379478</c:v>
                </c:pt>
                <c:pt idx="600">
                  <c:v>-12.017072712140283</c:v>
                </c:pt>
                <c:pt idx="601">
                  <c:v>-11.935432599204862</c:v>
                </c:pt>
                <c:pt idx="602">
                  <c:v>-11.855305769343182</c:v>
                </c:pt>
                <c:pt idx="603">
                  <c:v>-11.776640524787386</c:v>
                </c:pt>
                <c:pt idx="604">
                  <c:v>-11.699385533559578</c:v>
                </c:pt>
                <c:pt idx="605">
                  <c:v>-11.623489711698598</c:v>
                </c:pt>
                <c:pt idx="606">
                  <c:v>-11.548902100629189</c:v>
                </c:pt>
                <c:pt idx="607">
                  <c:v>-11.475571738845215</c:v>
                </c:pt>
                <c:pt idx="608">
                  <c:v>-11.403447526996509</c:v>
                </c:pt>
                <c:pt idx="609">
                  <c:v>-11.332478085374794</c:v>
                </c:pt>
                <c:pt idx="610">
                  <c:v>-11.262611602686951</c:v>
                </c:pt>
                <c:pt idx="611">
                  <c:v>-11.19379567488112</c:v>
                </c:pt>
                <c:pt idx="612">
                  <c:v>-11.125977132651277</c:v>
                </c:pt>
                <c:pt idx="613">
                  <c:v>-11.059101856085967</c:v>
                </c:pt>
                <c:pt idx="614">
                  <c:v>-10.993114574744475</c:v>
                </c:pt>
                <c:pt idx="615">
                  <c:v>-10.927958651235183</c:v>
                </c:pt>
                <c:pt idx="616">
                  <c:v>-10.863575846132697</c:v>
                </c:pt>
                <c:pt idx="617">
                  <c:v>-10.799906061798151</c:v>
                </c:pt>
                <c:pt idx="618">
                  <c:v>-10.736887062355661</c:v>
                </c:pt>
                <c:pt idx="619">
                  <c:v>-10.674454166721777</c:v>
                </c:pt>
                <c:pt idx="620">
                  <c:v>-10.612539911177095</c:v>
                </c:pt>
                <c:pt idx="621">
                  <c:v>-10.551073677502359</c:v>
                </c:pt>
                <c:pt idx="622">
                  <c:v>-10.489981282166625</c:v>
                </c:pt>
                <c:pt idx="623">
                  <c:v>-10.429184521442503</c:v>
                </c:pt>
                <c:pt idx="624">
                  <c:v>-10.36860066662145</c:v>
                </c:pt>
                <c:pt idx="625">
                  <c:v>-10.308141902697763</c:v>
                </c:pt>
                <c:pt idx="626">
                  <c:v>-10.247714702968569</c:v>
                </c:pt>
                <c:pt idx="627">
                  <c:v>-10.18721913094222</c:v>
                </c:pt>
                <c:pt idx="628">
                  <c:v>-10.126548059740619</c:v>
                </c:pt>
                <c:pt idx="629">
                  <c:v>-10.065586297802223</c:v>
                </c:pt>
                <c:pt idx="630">
                  <c:v>-10.004209608119393</c:v>
                </c:pt>
                <c:pt idx="631">
                  <c:v>-9.9422836064538735</c:v>
                </c:pt>
                <c:pt idx="632">
                  <c:v>-9.8796625219430769</c:v>
                </c:pt>
                <c:pt idx="633">
                  <c:v>-9.8161878012148467</c:v>
                </c:pt>
                <c:pt idx="634">
                  <c:v>-9.751686534548746</c:v>
                </c:pt>
                <c:pt idx="635">
                  <c:v>-9.6859696797422981</c:v>
                </c:pt>
                <c:pt idx="636">
                  <c:v>-9.6188300561561064</c:v>
                </c:pt>
                <c:pt idx="637">
                  <c:v>-9.5500400779331187</c:v>
                </c:pt>
                <c:pt idx="638">
                  <c:v>-9.4793491916516555</c:v>
                </c:pt>
                <c:pt idx="639">
                  <c:v>-9.4064809797554698</c:v>
                </c:pt>
                <c:pt idx="640">
                  <c:v>-9.3311298871420423</c:v>
                </c:pt>
                <c:pt idx="641">
                  <c:v>-9.2529575245037901</c:v>
                </c:pt>
                <c:pt idx="642">
                  <c:v>-9.1715884987506744</c:v>
                </c:pt>
                <c:pt idx="643">
                  <c:v>-9.0866057186187454</c:v>
                </c:pt>
                <c:pt idx="644">
                  <c:v>-8.9975451231570318</c:v>
                </c:pt>
                <c:pt idx="645">
                  <c:v>-8.9038897833009365</c:v>
                </c:pt>
                <c:pt idx="646">
                  <c:v>-8.8050633337740418</c:v>
                </c:pt>
                <c:pt idx="647">
                  <c:v>-8.700422706346373</c:v>
                </c:pt>
                <c:pt idx="648">
                  <c:v>-8.5892501591080581</c:v>
                </c:pt>
                <c:pt idx="649">
                  <c:v>-8.4707446341080015</c:v>
                </c:pt>
                <c:pt idx="650">
                  <c:v>-8.344012533099912</c:v>
                </c:pt>
                <c:pt idx="651">
                  <c:v>-8.2080580856296432</c:v>
                </c:pt>
                <c:pt idx="652">
                  <c:v>-8.0617736047224415</c:v>
                </c:pt>
                <c:pt idx="653">
                  <c:v>-7.9039300945896596</c:v>
                </c:pt>
                <c:pt idx="654">
                  <c:v>-7.7331689056069086</c:v>
                </c:pt>
                <c:pt idx="655">
                  <c:v>-7.5479954388263319</c:v>
                </c:pt>
                <c:pt idx="656">
                  <c:v>-7.3467762987126353</c:v>
                </c:pt>
                <c:pt idx="657">
                  <c:v>-7.1277417862629013</c:v>
                </c:pt>
                <c:pt idx="658">
                  <c:v>-6.8889962096959261</c:v>
                </c:pt>
                <c:pt idx="659">
                  <c:v>-6.628539136026939</c:v>
                </c:pt>
                <c:pt idx="660">
                  <c:v>-6.3443013416574257</c:v>
                </c:pt>
                <c:pt idx="661">
                  <c:v>-6.0341997075802807</c:v>
                </c:pt>
                <c:pt idx="662">
                  <c:v>-5.6962154227189536</c:v>
                </c:pt>
                <c:pt idx="663">
                  <c:v>-5.3284992848408077</c:v>
                </c:pt>
                <c:pt idx="664">
                  <c:v>-4.9295062121638997</c:v>
                </c:pt>
                <c:pt idx="665">
                  <c:v>-4.4981578681417664</c:v>
                </c:pt>
                <c:pt idx="666">
                  <c:v>-4.0340272526376237</c:v>
                </c:pt>
                <c:pt idx="667">
                  <c:v>-3.5375322956873685</c:v>
                </c:pt>
                <c:pt idx="668">
                  <c:v>-3.010117661122591</c:v>
                </c:pt>
                <c:pt idx="669">
                  <c:v>-2.4543968142220942</c:v>
                </c:pt>
                <c:pt idx="670">
                  <c:v>-1.8742225110476303</c:v>
                </c:pt>
                <c:pt idx="671">
                  <c:v>-1.2746561313267457</c:v>
                </c:pt>
                <c:pt idx="672">
                  <c:v>-0.66181675530192552</c:v>
                </c:pt>
                <c:pt idx="673">
                  <c:v>-4.2609334813451832E-2</c:v>
                </c:pt>
                <c:pt idx="674">
                  <c:v>0.5756457382812441</c:v>
                </c:pt>
                <c:pt idx="675">
                  <c:v>1.1856381256368362</c:v>
                </c:pt>
                <c:pt idx="676">
                  <c:v>1.7804918496375979</c:v>
                </c:pt>
                <c:pt idx="677">
                  <c:v>2.354132422199223</c:v>
                </c:pt>
                <c:pt idx="678">
                  <c:v>2.9015539366264842</c:v>
                </c:pt>
                <c:pt idx="679">
                  <c:v>3.4189647097772591</c:v>
                </c:pt>
                <c:pt idx="680">
                  <c:v>3.9038129706594131</c:v>
                </c:pt>
                <c:pt idx="681">
                  <c:v>4.3547123079140224</c:v>
                </c:pt>
                <c:pt idx="682">
                  <c:v>4.7712967563069997</c:v>
                </c:pt>
                <c:pt idx="683">
                  <c:v>5.154037382823347</c:v>
                </c:pt>
                <c:pt idx="684">
                  <c:v>5.5040481411841782</c:v>
                </c:pt>
                <c:pt idx="685">
                  <c:v>5.8229015169817497</c:v>
                </c:pt>
                <c:pt idx="686">
                  <c:v>6.1124666455575127</c:v>
                </c:pt>
                <c:pt idx="687">
                  <c:v>6.3747758071901091</c:v>
                </c:pt>
                <c:pt idx="688">
                  <c:v>6.6119202155103878</c:v>
                </c:pt>
                <c:pt idx="689">
                  <c:v>6.8259728658340544</c:v>
                </c:pt>
                <c:pt idx="690">
                  <c:v>7.0189345852011797</c:v>
                </c:pt>
                <c:pt idx="691">
                  <c:v>7.192698889707053</c:v>
                </c:pt>
                <c:pt idx="692">
                  <c:v>7.3490313976403012</c:v>
                </c:pt>
                <c:pt idx="693">
                  <c:v>7.4895600491189773</c:v>
                </c:pt>
                <c:pt idx="694">
                  <c:v>7.6157730250572309</c:v>
                </c:pt>
                <c:pt idx="695">
                  <c:v>7.7290219069528936</c:v>
                </c:pt>
                <c:pt idx="696">
                  <c:v>7.830528203704203</c:v>
                </c:pt>
                <c:pt idx="697">
                  <c:v>7.9213918633532359</c:v>
                </c:pt>
                <c:pt idx="698">
                  <c:v>8.0026007816955929</c:v>
                </c:pt>
                <c:pt idx="699">
                  <c:v>8.0750406242297093</c:v>
                </c:pt>
                <c:pt idx="700">
                  <c:v>8.1395045064527576</c:v>
                </c:pt>
                <c:pt idx="701">
                  <c:v>8.1967022446713731</c:v>
                </c:pt>
                <c:pt idx="702">
                  <c:v>8.2472690088504663</c:v>
                </c:pt>
                <c:pt idx="703">
                  <c:v>8.2917732921610501</c:v>
                </c:pt>
                <c:pt idx="704">
                  <c:v>8.33072416820578</c:v>
                </c:pt>
                <c:pt idx="705">
                  <c:v>8.364577843751162</c:v>
                </c:pt>
                <c:pt idx="706">
                  <c:v>8.3937435377780485</c:v>
                </c:pt>
                <c:pt idx="707">
                  <c:v>8.4185887309527239</c:v>
                </c:pt>
                <c:pt idx="708">
                  <c:v>8.4394438362796613</c:v>
                </c:pt>
                <c:pt idx="709">
                  <c:v>8.4566063439307442</c:v>
                </c:pt>
                <c:pt idx="710">
                  <c:v>8.4703444926233864</c:v>
                </c:pt>
                <c:pt idx="711">
                  <c:v>8.4809005175400678</c:v>
                </c:pt>
                <c:pt idx="712">
                  <c:v>8.4884935214009474</c:v>
                </c:pt>
                <c:pt idx="713">
                  <c:v>8.4933220114310686</c:v>
                </c:pt>
                <c:pt idx="714">
                  <c:v>8.4955661409409604</c:v>
                </c:pt>
                <c:pt idx="715">
                  <c:v>8.4953896902799535</c:v>
                </c:pt>
                <c:pt idx="716">
                  <c:v>8.4929418181551775</c:v>
                </c:pt>
                <c:pt idx="717">
                  <c:v>8.4883586108094597</c:v>
                </c:pt>
                <c:pt idx="718">
                  <c:v>8.4817644533524597</c:v>
                </c:pt>
                <c:pt idx="719">
                  <c:v>8.4732732446502581</c:v>
                </c:pt>
                <c:pt idx="720">
                  <c:v>8.4629894745932432</c:v>
                </c:pt>
                <c:pt idx="721">
                  <c:v>8.4510091802634708</c:v>
                </c:pt>
                <c:pt idx="722">
                  <c:v>8.4374207954901141</c:v>
                </c:pt>
                <c:pt idx="723">
                  <c:v>8.4223059064908625</c:v>
                </c:pt>
                <c:pt idx="724">
                  <c:v>8.4057399247244433</c:v>
                </c:pt>
                <c:pt idx="725">
                  <c:v>8.3877926867009442</c:v>
                </c:pt>
                <c:pt idx="726">
                  <c:v>8.3685289892906489</c:v>
                </c:pt>
                <c:pt idx="727">
                  <c:v>8.3480090680178929</c:v>
                </c:pt>
                <c:pt idx="728">
                  <c:v>8.3262890249057673</c:v>
                </c:pt>
                <c:pt idx="729">
                  <c:v>8.3034212116337365</c:v>
                </c:pt>
                <c:pt idx="730">
                  <c:v>8.2794545730685325</c:v>
                </c:pt>
                <c:pt idx="731">
                  <c:v>8.2544349556161603</c:v>
                </c:pt>
                <c:pt idx="732">
                  <c:v>8.2284053843079352</c:v>
                </c:pt>
                <c:pt idx="733">
                  <c:v>8.2014063120661564</c:v>
                </c:pt>
                <c:pt idx="734">
                  <c:v>8.1734758441865729</c:v>
                </c:pt>
                <c:pt idx="735">
                  <c:v>8.144649940717553</c:v>
                </c:pt>
                <c:pt idx="736">
                  <c:v>8.114962599103098</c:v>
                </c:pt>
                <c:pt idx="737">
                  <c:v>8.0844460191829732</c:v>
                </c:pt>
                <c:pt idx="738">
                  <c:v>8.0531307524029678</c:v>
                </c:pt>
                <c:pt idx="739">
                  <c:v>8.0210458368776116</c:v>
                </c:pt>
                <c:pt idx="740">
                  <c:v>7.9882189197623763</c:v>
                </c:pt>
                <c:pt idx="741">
                  <c:v>7.9546763682297401</c:v>
                </c:pt>
                <c:pt idx="742">
                  <c:v>7.9204433702000436</c:v>
                </c:pt>
                <c:pt idx="743">
                  <c:v>7.8855440258518978</c:v>
                </c:pt>
                <c:pt idx="744">
                  <c:v>7.8500014308254418</c:v>
                </c:pt>
                <c:pt idx="745">
                  <c:v>7.8138377519334767</c:v>
                </c:pt>
                <c:pt idx="746">
                  <c:v>7.7770742961084922</c:v>
                </c:pt>
                <c:pt idx="747">
                  <c:v>7.7397315732367176</c:v>
                </c:pt>
                <c:pt idx="748">
                  <c:v>7.7018293534621636</c:v>
                </c:pt>
                <c:pt idx="749">
                  <c:v>7.6633867194831549</c:v>
                </c:pt>
                <c:pt idx="750">
                  <c:v>7.6244221143102138</c:v>
                </c:pt>
                <c:pt idx="751">
                  <c:v>7.5849533849064574</c:v>
                </c:pt>
                <c:pt idx="752">
                  <c:v>7.5449978220892326</c:v>
                </c:pt>
                <c:pt idx="753">
                  <c:v>7.5045721970338786</c:v>
                </c:pt>
                <c:pt idx="754">
                  <c:v>7.4636927946868559</c:v>
                </c:pt>
                <c:pt idx="755">
                  <c:v>7.4223754443653727</c:v>
                </c:pt>
                <c:pt idx="756">
                  <c:v>7.3806355477937284</c:v>
                </c:pt>
                <c:pt idx="757">
                  <c:v>7.3384881048025798</c:v>
                </c:pt>
                <c:pt idx="758">
                  <c:v>7.2959477368957844</c:v>
                </c:pt>
                <c:pt idx="759">
                  <c:v>7.2530287088701861</c:v>
                </c:pt>
                <c:pt idx="760">
                  <c:v>7.2097449486563638</c:v>
                </c:pt>
                <c:pt idx="761">
                  <c:v>7.1661100655328411</c:v>
                </c:pt>
                <c:pt idx="762">
                  <c:v>7.122137366852229</c:v>
                </c:pt>
                <c:pt idx="763">
                  <c:v>7.0778398734052272</c:v>
                </c:pt>
                <c:pt idx="764">
                  <c:v>7.0332303335370163</c:v>
                </c:pt>
                <c:pt idx="765">
                  <c:v>6.9883212361204192</c:v>
                </c:pt>
                <c:pt idx="766">
                  <c:v>6.9431248224808915</c:v>
                </c:pt>
                <c:pt idx="767">
                  <c:v>6.8976530973601475</c:v>
                </c:pt>
                <c:pt idx="768">
                  <c:v>6.8519178389975881</c:v>
                </c:pt>
                <c:pt idx="769">
                  <c:v>6.805930608402015</c:v>
                </c:pt>
                <c:pt idx="770">
                  <c:v>6.7597027578797313</c:v>
                </c:pt>
                <c:pt idx="771">
                  <c:v>6.7132454388797065</c:v>
                </c:pt>
                <c:pt idx="772">
                  <c:v>6.6665696092112778</c:v>
                </c:pt>
                <c:pt idx="773">
                  <c:v>6.6196860396852779</c:v>
                </c:pt>
                <c:pt idx="774">
                  <c:v>6.5726053202252492</c:v>
                </c:pt>
                <c:pt idx="775">
                  <c:v>6.5253378654915926</c:v>
                </c:pt>
                <c:pt idx="776">
                  <c:v>6.4778939200580119</c:v>
                </c:pt>
                <c:pt idx="777">
                  <c:v>6.4302835631764168</c:v>
                </c:pt>
                <c:pt idx="778">
                  <c:v>6.3825167131635627</c:v>
                </c:pt>
                <c:pt idx="779">
                  <c:v>6.3346031314400424</c:v>
                </c:pt>
                <c:pt idx="780">
                  <c:v>6.2865524262498438</c:v>
                </c:pt>
                <c:pt idx="781">
                  <c:v>6.2383740560864194</c:v>
                </c:pt>
                <c:pt idx="782">
                  <c:v>6.1900773328492749</c:v>
                </c:pt>
                <c:pt idx="783">
                  <c:v>6.1416714247531026</c:v>
                </c:pt>
                <c:pt idx="784">
                  <c:v>6.0931653590099284</c:v>
                </c:pt>
                <c:pt idx="785">
                  <c:v>6.0445680243030049</c:v>
                </c:pt>
                <c:pt idx="786">
                  <c:v>5.995888173069913</c:v>
                </c:pt>
                <c:pt idx="787">
                  <c:v>5.9471344236108781</c:v>
                </c:pt>
                <c:pt idx="788">
                  <c:v>5.8983152620371877</c:v>
                </c:pt>
                <c:pt idx="789">
                  <c:v>5.849439044073411</c:v>
                </c:pt>
                <c:pt idx="790">
                  <c:v>5.8005139967261368</c:v>
                </c:pt>
                <c:pt idx="791">
                  <c:v>5.7515482198309504</c:v>
                </c:pt>
                <c:pt idx="792">
                  <c:v>5.7025496874885437</c:v>
                </c:pt>
                <c:pt idx="793">
                  <c:v>5.6535262493999907</c:v>
                </c:pt>
                <c:pt idx="794">
                  <c:v>5.6044856321105367</c:v>
                </c:pt>
                <c:pt idx="795">
                  <c:v>5.5554354401704353</c:v>
                </c:pt>
                <c:pt idx="796">
                  <c:v>5.5063831572209256</c:v>
                </c:pt>
                <c:pt idx="797">
                  <c:v>5.4573361470126081</c:v>
                </c:pt>
                <c:pt idx="798">
                  <c:v>5.4083016543631661</c:v>
                </c:pt>
                <c:pt idx="799">
                  <c:v>5.3592868060606467</c:v>
                </c:pt>
                <c:pt idx="800">
                  <c:v>5.3102986117182436</c:v>
                </c:pt>
                <c:pt idx="801">
                  <c:v>5.2613439645859374</c:v>
                </c:pt>
                <c:pt idx="802">
                  <c:v>5.2124296423239977</c:v>
                </c:pt>
                <c:pt idx="803">
                  <c:v>5.1635623077430193</c:v>
                </c:pt>
                <c:pt idx="804">
                  <c:v>5.114748509514687</c:v>
                </c:pt>
                <c:pt idx="805">
                  <c:v>5.065994682857287</c:v>
                </c:pt>
                <c:pt idx="806">
                  <c:v>5.017307150199561</c:v>
                </c:pt>
                <c:pt idx="807">
                  <c:v>4.968692121826277</c:v>
                </c:pt>
                <c:pt idx="808">
                  <c:v>4.9201556965085693</c:v>
                </c:pt>
                <c:pt idx="809">
                  <c:v>4.8717038621219553</c:v>
                </c:pt>
                <c:pt idx="810">
                  <c:v>4.8233424962545932</c:v>
                </c:pt>
                <c:pt idx="811">
                  <c:v>4.7750773668081825</c:v>
                </c:pt>
                <c:pt idx="812">
                  <c:v>4.7269141325937243</c:v>
                </c:pt>
                <c:pt idx="813">
                  <c:v>4.6788583439241416</c:v>
                </c:pt>
                <c:pt idx="814">
                  <c:v>4.630915443205601</c:v>
                </c:pt>
                <c:pt idx="815">
                  <c:v>4.5830907655291897</c:v>
                </c:pt>
                <c:pt idx="816">
                  <c:v>4.5353895392645018</c:v>
                </c:pt>
                <c:pt idx="817">
                  <c:v>4.48781688665649</c:v>
                </c:pt>
                <c:pt idx="818">
                  <c:v>4.4403778244268182</c:v>
                </c:pt>
                <c:pt idx="819">
                  <c:v>4.3930772643808815</c:v>
                </c:pt>
                <c:pt idx="820">
                  <c:v>4.3459200140214334</c:v>
                </c:pt>
                <c:pt idx="821">
                  <c:v>4.2989107771697661</c:v>
                </c:pt>
                <c:pt idx="822">
                  <c:v>4.2520541545952506</c:v>
                </c:pt>
                <c:pt idx="823">
                  <c:v>4.2053546446538563</c:v>
                </c:pt>
                <c:pt idx="824">
                  <c:v>4.1588166439363681</c:v>
                </c:pt>
                <c:pt idx="825">
                  <c:v>4.1124444479267339</c:v>
                </c:pt>
                <c:pt idx="826">
                  <c:v>4.0662422516710874</c:v>
                </c:pt>
                <c:pt idx="827">
                  <c:v>4.0202141504577256</c:v>
                </c:pt>
                <c:pt idx="828">
                  <c:v>3.9743641405084427</c:v>
                </c:pt>
                <c:pt idx="829">
                  <c:v>3.9286961196814101</c:v>
                </c:pt>
                <c:pt idx="830">
                  <c:v>3.8832138881858249</c:v>
                </c:pt>
                <c:pt idx="831">
                  <c:v>3.8379211493084435</c:v>
                </c:pt>
                <c:pt idx="832">
                  <c:v>3.7928215101521214</c:v>
                </c:pt>
                <c:pt idx="833">
                  <c:v>3.7479184823863312</c:v>
                </c:pt>
                <c:pt idx="834">
                  <c:v>3.7032154830097257</c:v>
                </c:pt>
                <c:pt idx="835">
                  <c:v>3.6587158351246716</c:v>
                </c:pt>
                <c:pt idx="836">
                  <c:v>3.6144227687236432</c:v>
                </c:pt>
                <c:pt idx="837">
                  <c:v>3.5703394214873905</c:v>
                </c:pt>
                <c:pt idx="838">
                  <c:v>3.5264688395947621</c:v>
                </c:pt>
                <c:pt idx="839">
                  <c:v>3.4828139785438763</c:v>
                </c:pt>
                <c:pt idx="840">
                  <c:v>3.4393777039846025</c:v>
                </c:pt>
                <c:pt idx="841">
                  <c:v>3.3961627925620137</c:v>
                </c:pt>
                <c:pt idx="842">
                  <c:v>3.3531719327705307</c:v>
                </c:pt>
                <c:pt idx="843">
                  <c:v>3.3104077258185898</c:v>
                </c:pt>
                <c:pt idx="844">
                  <c:v>3.2678726865034289</c:v>
                </c:pt>
                <c:pt idx="845">
                  <c:v>3.2255692440957393</c:v>
                </c:pt>
                <c:pt idx="846">
                  <c:v>3.1834997432338374</c:v>
                </c:pt>
                <c:pt idx="847">
                  <c:v>3.1416664448270115</c:v>
                </c:pt>
                <c:pt idx="848">
                  <c:v>3.1000715269676631</c:v>
                </c:pt>
                <c:pt idx="849">
                  <c:v>3.0587170858519404</c:v>
                </c:pt>
                <c:pt idx="850">
                  <c:v>3.0176051367084016</c:v>
                </c:pt>
                <c:pt idx="851">
                  <c:v>2.9767376147343869</c:v>
                </c:pt>
                <c:pt idx="852">
                  <c:v>2.9361163760396787</c:v>
                </c:pt>
                <c:pt idx="853">
                  <c:v>2.8957431985970423</c:v>
                </c:pt>
                <c:pt idx="854">
                  <c:v>2.8556197831992609</c:v>
                </c:pt>
                <c:pt idx="855">
                  <c:v>2.8157477544222251</c:v>
                </c:pt>
                <c:pt idx="856">
                  <c:v>2.7761286615937246</c:v>
                </c:pt>
                <c:pt idx="857">
                  <c:v>2.7367639797674235</c:v>
                </c:pt>
                <c:pt idx="858">
                  <c:v>2.6976551107017235</c:v>
                </c:pt>
                <c:pt idx="859">
                  <c:v>2.6588033838429839</c:v>
                </c:pt>
                <c:pt idx="860">
                  <c:v>2.6202100573127582</c:v>
                </c:pt>
                <c:pt idx="861">
                  <c:v>2.5818763188986198</c:v>
                </c:pt>
                <c:pt idx="862">
                  <c:v>2.5438032870480853</c:v>
                </c:pt>
                <c:pt idx="863">
                  <c:v>2.5059920118653327</c:v>
                </c:pt>
                <c:pt idx="864">
                  <c:v>2.4684434761102185</c:v>
                </c:pt>
                <c:pt idx="865">
                  <c:v>2.4311585961992455</c:v>
                </c:pt>
                <c:pt idx="866">
                  <c:v>2.3941382232079844</c:v>
                </c:pt>
                <c:pt idx="867">
                  <c:v>2.3573831438746451</c:v>
                </c:pt>
                <c:pt idx="868">
                  <c:v>2.3208940816044032</c:v>
                </c:pt>
                <c:pt idx="869">
                  <c:v>2.2846716974739385</c:v>
                </c:pt>
                <c:pt idx="870">
                  <c:v>2.2487165912360236</c:v>
                </c:pt>
                <c:pt idx="871">
                  <c:v>2.2130293023235845</c:v>
                </c:pt>
                <c:pt idx="872">
                  <c:v>2.1776103108529687</c:v>
                </c:pt>
                <c:pt idx="873">
                  <c:v>2.1424600386260337</c:v>
                </c:pt>
                <c:pt idx="874">
                  <c:v>2.1075788501306452</c:v>
                </c:pt>
                <c:pt idx="875">
                  <c:v>2.0729670535392932</c:v>
                </c:pt>
                <c:pt idx="876">
                  <c:v>2.0386249017054192</c:v>
                </c:pt>
                <c:pt idx="877">
                  <c:v>2.0045525931571895</c:v>
                </c:pt>
                <c:pt idx="878">
                  <c:v>1.9707502730882522</c:v>
                </c:pt>
                <c:pt idx="879">
                  <c:v>1.9372180343453023</c:v>
                </c:pt>
                <c:pt idx="880">
                  <c:v>1.9039559184120325</c:v>
                </c:pt>
                <c:pt idx="881">
                  <c:v>1.8709639163891687</c:v>
                </c:pt>
                <c:pt idx="882">
                  <c:v>1.838241969970329</c:v>
                </c:pt>
                <c:pt idx="883">
                  <c:v>1.8057899724134039</c:v>
                </c:pt>
                <c:pt idx="884">
                  <c:v>1.7736077695070875</c:v>
                </c:pt>
                <c:pt idx="885">
                  <c:v>1.74169516053243</c:v>
                </c:pt>
                <c:pt idx="886">
                  <c:v>1.7100518992189713</c:v>
                </c:pt>
                <c:pt idx="887">
                  <c:v>1.6786776946953577</c:v>
                </c:pt>
                <c:pt idx="888">
                  <c:v>1.6475722124340564</c:v>
                </c:pt>
                <c:pt idx="889">
                  <c:v>1.6167350751899647</c:v>
                </c:pt>
                <c:pt idx="890">
                  <c:v>1.5861658639327292</c:v>
                </c:pt>
                <c:pt idx="891">
                  <c:v>1.5558641187724582</c:v>
                </c:pt>
                <c:pt idx="892">
                  <c:v>1.5258293398786691</c:v>
                </c:pt>
                <c:pt idx="893">
                  <c:v>1.4960609883922302</c:v>
                </c:pt>
                <c:pt idx="894">
                  <c:v>1.4665584873300954</c:v>
                </c:pt>
                <c:pt idx="895">
                  <c:v>1.4373212224826606</c:v>
                </c:pt>
                <c:pt idx="896">
                  <c:v>1.4083485433034699</c:v>
                </c:pt>
                <c:pt idx="897">
                  <c:v>1.3796397637912481</c:v>
                </c:pt>
                <c:pt idx="898">
                  <c:v>1.3511941633639104</c:v>
                </c:pt>
                <c:pt idx="899">
                  <c:v>1.323010987724496</c:v>
                </c:pt>
                <c:pt idx="900">
                  <c:v>1.2950894497188674</c:v>
                </c:pt>
                <c:pt idx="901">
                  <c:v>1.2674287301849443</c:v>
                </c:pt>
                <c:pt idx="902">
                  <c:v>1.2400279787934583</c:v>
                </c:pt>
                <c:pt idx="903">
                  <c:v>1.2128863148799418</c:v>
                </c:pt>
                <c:pt idx="904">
                  <c:v>1.186002828267986</c:v>
                </c:pt>
                <c:pt idx="905">
                  <c:v>1.1593765800835332</c:v>
                </c:pt>
                <c:pt idx="906">
                  <c:v>1.1330066035601245</c:v>
                </c:pt>
                <c:pt idx="907">
                  <c:v>1.1068919048350399</c:v>
                </c:pt>
                <c:pt idx="908">
                  <c:v>1.0810314637361689</c:v>
                </c:pt>
                <c:pt idx="909">
                  <c:v>1.055424234559565</c:v>
                </c:pt>
                <c:pt idx="910">
                  <c:v>1.0300691468376204</c:v>
                </c:pt>
                <c:pt idx="911">
                  <c:v>1.0049651060976821</c:v>
                </c:pt>
                <c:pt idx="912">
                  <c:v>0.98011099461120921</c:v>
                </c:pt>
                <c:pt idx="913">
                  <c:v>0.955505672133242</c:v>
                </c:pt>
                <c:pt idx="914">
                  <c:v>0.9311479766322055</c:v>
                </c:pt>
                <c:pt idx="915">
                  <c:v>0.9070367250100233</c:v>
                </c:pt>
                <c:pt idx="916">
                  <c:v>0.8831707138124365</c:v>
                </c:pt>
                <c:pt idx="917">
                  <c:v>0.85954871992951709</c:v>
                </c:pt>
                <c:pt idx="918">
                  <c:v>0.83616950128634571</c:v>
                </c:pt>
                <c:pt idx="919">
                  <c:v>0.81303179752380572</c:v>
                </c:pt>
                <c:pt idx="920">
                  <c:v>0.79013433066953986</c:v>
                </c:pt>
                <c:pt idx="921">
                  <c:v>0.76747580579894858</c:v>
                </c:pt>
                <c:pt idx="922">
                  <c:v>0.74505491168626037</c:v>
                </c:pt>
                <c:pt idx="923">
                  <c:v>0.72287032144577168</c:v>
                </c:pt>
                <c:pt idx="924">
                  <c:v>0.70092069316305761</c:v>
                </c:pt>
                <c:pt idx="925">
                  <c:v>0.67920467051632727</c:v>
                </c:pt>
                <c:pt idx="926">
                  <c:v>0.65772088338786006</c:v>
                </c:pt>
                <c:pt idx="927">
                  <c:v>0.63646794846552801</c:v>
                </c:pt>
                <c:pt idx="928">
                  <c:v>0.61544446983446477</c:v>
                </c:pt>
                <c:pt idx="929">
                  <c:v>0.59464903955883841</c:v>
                </c:pt>
                <c:pt idx="930">
                  <c:v>0.57408023825383658</c:v>
                </c:pt>
                <c:pt idx="931">
                  <c:v>0.55373663564782483</c:v>
                </c:pt>
                <c:pt idx="932">
                  <c:v>0.53361679113474736</c:v>
                </c:pt>
                <c:pt idx="933">
                  <c:v>0.51371925431679699</c:v>
                </c:pt>
                <c:pt idx="934">
                  <c:v>0.49404256553737369</c:v>
                </c:pt>
                <c:pt idx="935">
                  <c:v>0.47458525640442772</c:v>
                </c:pt>
                <c:pt idx="936">
                  <c:v>0.45534585030421759</c:v>
                </c:pt>
                <c:pt idx="937">
                  <c:v>0.43632286290546674</c:v>
                </c:pt>
                <c:pt idx="938">
                  <c:v>0.41751480265406649</c:v>
                </c:pt>
                <c:pt idx="939">
                  <c:v>0.3989201712583732</c:v>
                </c:pt>
                <c:pt idx="940">
                  <c:v>0.38053746416505163</c:v>
                </c:pt>
                <c:pt idx="941">
                  <c:v>0.36236517102570431</c:v>
                </c:pt>
                <c:pt idx="942">
                  <c:v>0.34440177615414491</c:v>
                </c:pt>
                <c:pt idx="943">
                  <c:v>0.32664575897462633</c:v>
                </c:pt>
                <c:pt idx="944">
                  <c:v>0.30909559446080159</c:v>
                </c:pt>
                <c:pt idx="945">
                  <c:v>0.29174975356580291</c:v>
                </c:pt>
                <c:pt idx="946">
                  <c:v>0.2746067036432418</c:v>
                </c:pt>
                <c:pt idx="947">
                  <c:v>0.25766490885940385</c:v>
                </c:pt>
                <c:pt idx="948">
                  <c:v>0.24092283059659358</c:v>
                </c:pt>
                <c:pt idx="949">
                  <c:v>0.2243789278477486</c:v>
                </c:pt>
                <c:pt idx="950">
                  <c:v>0.20803165760245612</c:v>
                </c:pt>
                <c:pt idx="951">
                  <c:v>0.19187947522434889</c:v>
                </c:pt>
                <c:pt idx="952">
                  <c:v>0.17592083482009002</c:v>
                </c:pt>
                <c:pt idx="953">
                  <c:v>0.16015418959990058</c:v>
                </c:pt>
                <c:pt idx="954">
                  <c:v>0.1445779922298609</c:v>
                </c:pt>
                <c:pt idx="955">
                  <c:v>0.12919069517593229</c:v>
                </c:pt>
                <c:pt idx="956">
                  <c:v>0.11399075103989276</c:v>
                </c:pt>
                <c:pt idx="957">
                  <c:v>9.8976612887270221E-2</c:v>
                </c:pt>
                <c:pt idx="958">
                  <c:v>8.4146734567285719E-2</c:v>
                </c:pt>
                <c:pt idx="959">
                  <c:v>6.9499571024978835E-2</c:v>
                </c:pt>
                <c:pt idx="960">
                  <c:v>5.5033578605600653E-2</c:v>
                </c:pt>
                <c:pt idx="961">
                  <c:v>4.074721535132042E-2</c:v>
                </c:pt>
                <c:pt idx="962">
                  <c:v>2.6638941290405782E-2</c:v>
                </c:pt>
                <c:pt idx="963">
                  <c:v>1.2707218718938762E-2</c:v>
                </c:pt>
                <c:pt idx="964">
                  <c:v>-1.0494875248632241E-3</c:v>
                </c:pt>
                <c:pt idx="965">
                  <c:v>-1.4632709793563237E-2</c:v>
                </c:pt>
                <c:pt idx="966">
                  <c:v>-2.8043977370581175E-2</c:v>
                </c:pt>
                <c:pt idx="967">
                  <c:v>-4.128481621737734E-2</c:v>
                </c:pt>
                <c:pt idx="968">
                  <c:v>-5.4356748727585114E-2</c:v>
                </c:pt>
                <c:pt idx="969">
                  <c:v>-6.7261293488003915E-2</c:v>
                </c:pt>
                <c:pt idx="970">
                  <c:v>-7.9999965046400945E-2</c:v>
                </c:pt>
                <c:pt idx="971">
                  <c:v>-9.2574273685963604E-2</c:v>
                </c:pt>
                <c:pt idx="972">
                  <c:v>-0.10498572520631733</c:v>
                </c:pt>
                <c:pt idx="973">
                  <c:v>-0.11723582071110883</c:v>
                </c:pt>
                <c:pt idx="974">
                  <c:v>-0.1293260564017924</c:v>
                </c:pt>
                <c:pt idx="975">
                  <c:v>-0.14125792337790699</c:v>
                </c:pt>
                <c:pt idx="976">
                  <c:v>-0.15303290744337161</c:v>
                </c:pt>
                <c:pt idx="977">
                  <c:v>-0.16465248891897133</c:v>
                </c:pt>
                <c:pt idx="978">
                  <c:v>-0.17611814246075497</c:v>
                </c:pt>
                <c:pt idx="979">
                  <c:v>-0.18743133688436586</c:v>
                </c:pt>
                <c:pt idx="980">
                  <c:v>-0.1874424932840224</c:v>
                </c:pt>
                <c:pt idx="981">
                  <c:v>-0.18745364953467281</c:v>
                </c:pt>
                <c:pt idx="982">
                  <c:v>-0.18746480563631707</c:v>
                </c:pt>
                <c:pt idx="983">
                  <c:v>-0.18747596158895519</c:v>
                </c:pt>
                <c:pt idx="984">
                  <c:v>-0.18748711739259782</c:v>
                </c:pt>
                <c:pt idx="985">
                  <c:v>-0.18749827304722899</c:v>
                </c:pt>
                <c:pt idx="986">
                  <c:v>-0.18750942855285935</c:v>
                </c:pt>
                <c:pt idx="987">
                  <c:v>-0.18752058390950133</c:v>
                </c:pt>
                <c:pt idx="988">
                  <c:v>-0.18753173911713183</c:v>
                </c:pt>
                <c:pt idx="989">
                  <c:v>-0.18754289417577574</c:v>
                </c:pt>
                <c:pt idx="990">
                  <c:v>-0.18755404908541173</c:v>
                </c:pt>
                <c:pt idx="991">
                  <c:v>-0.18756520384606645</c:v>
                </c:pt>
                <c:pt idx="992">
                  <c:v>-0.18757635845772391</c:v>
                </c:pt>
                <c:pt idx="993">
                  <c:v>-0.18758751292039477</c:v>
                </c:pt>
                <c:pt idx="994">
                  <c:v>-0.18759866723407193</c:v>
                </c:pt>
                <c:pt idx="995">
                  <c:v>-0.18760982139876781</c:v>
                </c:pt>
                <c:pt idx="996">
                  <c:v>-0.18762097541446288</c:v>
                </c:pt>
                <c:pt idx="997">
                  <c:v>-0.18763212928118378</c:v>
                </c:pt>
                <c:pt idx="998">
                  <c:v>-0.18764328299892341</c:v>
                </c:pt>
                <c:pt idx="999">
                  <c:v>-0.18765443656767822</c:v>
                </c:pt>
                <c:pt idx="1000">
                  <c:v>-0.18766558998745353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3-45DE-97F3-E9553C4910C3}"/>
            </c:ext>
          </c:extLst>
        </c:ser>
        <c:ser>
          <c:idx val="1"/>
          <c:order val="1"/>
          <c:tx>
            <c:strRef>
              <c:f>Courbes!$B$138</c:f>
              <c:strCache>
                <c:ptCount val="1"/>
                <c:pt idx="0">
                  <c:v>Charge vue par un capteur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5.0999999999999375</c:v>
                </c:pt>
                <c:pt idx="502">
                  <c:v>5.1999999999999371</c:v>
                </c:pt>
                <c:pt idx="503">
                  <c:v>5.2999999999999368</c:v>
                </c:pt>
                <c:pt idx="504">
                  <c:v>5.3999999999999364</c:v>
                </c:pt>
                <c:pt idx="505">
                  <c:v>5.4999999999999361</c:v>
                </c:pt>
                <c:pt idx="506">
                  <c:v>5.5999999999999357</c:v>
                </c:pt>
                <c:pt idx="507">
                  <c:v>5.6999999999999353</c:v>
                </c:pt>
                <c:pt idx="508">
                  <c:v>5.799999999999935</c:v>
                </c:pt>
                <c:pt idx="509">
                  <c:v>5.8999999999999346</c:v>
                </c:pt>
                <c:pt idx="510">
                  <c:v>5.9999999999999343</c:v>
                </c:pt>
                <c:pt idx="511">
                  <c:v>6.0999999999999339</c:v>
                </c:pt>
                <c:pt idx="512">
                  <c:v>6.1999999999999336</c:v>
                </c:pt>
                <c:pt idx="513">
                  <c:v>6.2999999999999332</c:v>
                </c:pt>
                <c:pt idx="514">
                  <c:v>6.3999999999999329</c:v>
                </c:pt>
                <c:pt idx="515">
                  <c:v>6.4999999999999325</c:v>
                </c:pt>
                <c:pt idx="516">
                  <c:v>6.5999999999999321</c:v>
                </c:pt>
                <c:pt idx="517">
                  <c:v>6.6999999999999318</c:v>
                </c:pt>
                <c:pt idx="518">
                  <c:v>6.7999999999999314</c:v>
                </c:pt>
                <c:pt idx="519">
                  <c:v>6.8999999999999311</c:v>
                </c:pt>
                <c:pt idx="520">
                  <c:v>6.9999999999999307</c:v>
                </c:pt>
                <c:pt idx="521">
                  <c:v>7.0999999999999304</c:v>
                </c:pt>
                <c:pt idx="522">
                  <c:v>7.19999999999993</c:v>
                </c:pt>
                <c:pt idx="523">
                  <c:v>7.2999999999999297</c:v>
                </c:pt>
                <c:pt idx="524">
                  <c:v>7.3999999999999293</c:v>
                </c:pt>
                <c:pt idx="525">
                  <c:v>7.4999999999999289</c:v>
                </c:pt>
                <c:pt idx="526">
                  <c:v>7.5999999999999286</c:v>
                </c:pt>
                <c:pt idx="527">
                  <c:v>7.6999999999999282</c:v>
                </c:pt>
                <c:pt idx="528">
                  <c:v>7.7999999999999279</c:v>
                </c:pt>
                <c:pt idx="529">
                  <c:v>7.8999999999999275</c:v>
                </c:pt>
                <c:pt idx="530">
                  <c:v>7.9999999999999272</c:v>
                </c:pt>
                <c:pt idx="531">
                  <c:v>8.0999999999999268</c:v>
                </c:pt>
                <c:pt idx="532">
                  <c:v>8.1999999999999265</c:v>
                </c:pt>
                <c:pt idx="533">
                  <c:v>8.2999999999999261</c:v>
                </c:pt>
                <c:pt idx="534">
                  <c:v>8.3999999999999257</c:v>
                </c:pt>
                <c:pt idx="535">
                  <c:v>8.4999999999999254</c:v>
                </c:pt>
                <c:pt idx="536">
                  <c:v>8.599999999999925</c:v>
                </c:pt>
                <c:pt idx="537">
                  <c:v>8.6999999999999247</c:v>
                </c:pt>
                <c:pt idx="538">
                  <c:v>8.7999999999999243</c:v>
                </c:pt>
                <c:pt idx="539">
                  <c:v>8.899999999999924</c:v>
                </c:pt>
                <c:pt idx="540">
                  <c:v>8.9999999999999236</c:v>
                </c:pt>
                <c:pt idx="541">
                  <c:v>9.0999999999999233</c:v>
                </c:pt>
                <c:pt idx="542">
                  <c:v>9.1999999999999229</c:v>
                </c:pt>
                <c:pt idx="543">
                  <c:v>9.2999999999999226</c:v>
                </c:pt>
                <c:pt idx="544">
                  <c:v>9.3999999999999222</c:v>
                </c:pt>
                <c:pt idx="545">
                  <c:v>9.4999999999999218</c:v>
                </c:pt>
                <c:pt idx="546">
                  <c:v>9.5999999999999215</c:v>
                </c:pt>
                <c:pt idx="547">
                  <c:v>9.6999999999999211</c:v>
                </c:pt>
                <c:pt idx="548">
                  <c:v>9.7999999999999208</c:v>
                </c:pt>
                <c:pt idx="549">
                  <c:v>9.8999999999999204</c:v>
                </c:pt>
                <c:pt idx="550">
                  <c:v>9.9999999999999201</c:v>
                </c:pt>
                <c:pt idx="551">
                  <c:v>10.09999999999992</c:v>
                </c:pt>
                <c:pt idx="552">
                  <c:v>10.199999999999919</c:v>
                </c:pt>
                <c:pt idx="553">
                  <c:v>10.299999999999919</c:v>
                </c:pt>
                <c:pt idx="554">
                  <c:v>10.399999999999919</c:v>
                </c:pt>
                <c:pt idx="555">
                  <c:v>10.499999999999918</c:v>
                </c:pt>
                <c:pt idx="556">
                  <c:v>10.599999999999918</c:v>
                </c:pt>
                <c:pt idx="557">
                  <c:v>10.699999999999918</c:v>
                </c:pt>
                <c:pt idx="558">
                  <c:v>10.799999999999917</c:v>
                </c:pt>
                <c:pt idx="559">
                  <c:v>10.899999999999917</c:v>
                </c:pt>
                <c:pt idx="560">
                  <c:v>10.999999999999917</c:v>
                </c:pt>
                <c:pt idx="561">
                  <c:v>11.099999999999916</c:v>
                </c:pt>
                <c:pt idx="562">
                  <c:v>11.199999999999916</c:v>
                </c:pt>
                <c:pt idx="563">
                  <c:v>11.299999999999915</c:v>
                </c:pt>
                <c:pt idx="564">
                  <c:v>11.399999999999915</c:v>
                </c:pt>
                <c:pt idx="565">
                  <c:v>11.499999999999915</c:v>
                </c:pt>
                <c:pt idx="566">
                  <c:v>11.599999999999914</c:v>
                </c:pt>
                <c:pt idx="567">
                  <c:v>11.699999999999914</c:v>
                </c:pt>
                <c:pt idx="568">
                  <c:v>11.799999999999914</c:v>
                </c:pt>
                <c:pt idx="569">
                  <c:v>11.899999999999913</c:v>
                </c:pt>
                <c:pt idx="570">
                  <c:v>11.999999999999913</c:v>
                </c:pt>
                <c:pt idx="571">
                  <c:v>12.099999999999913</c:v>
                </c:pt>
                <c:pt idx="572">
                  <c:v>12.199999999999912</c:v>
                </c:pt>
                <c:pt idx="573">
                  <c:v>12.299999999999912</c:v>
                </c:pt>
                <c:pt idx="574">
                  <c:v>12.399999999999912</c:v>
                </c:pt>
                <c:pt idx="575">
                  <c:v>12.499999999999911</c:v>
                </c:pt>
                <c:pt idx="576">
                  <c:v>12.599999999999911</c:v>
                </c:pt>
                <c:pt idx="577">
                  <c:v>12.69999999999991</c:v>
                </c:pt>
                <c:pt idx="578">
                  <c:v>12.79999999999991</c:v>
                </c:pt>
                <c:pt idx="579">
                  <c:v>12.89999999999991</c:v>
                </c:pt>
                <c:pt idx="580">
                  <c:v>12.999999999999909</c:v>
                </c:pt>
                <c:pt idx="581">
                  <c:v>13.099999999999909</c:v>
                </c:pt>
                <c:pt idx="582">
                  <c:v>13.199999999999909</c:v>
                </c:pt>
                <c:pt idx="583">
                  <c:v>13.299999999999908</c:v>
                </c:pt>
                <c:pt idx="584">
                  <c:v>13.399999999999908</c:v>
                </c:pt>
                <c:pt idx="585">
                  <c:v>13.499999999999908</c:v>
                </c:pt>
                <c:pt idx="586">
                  <c:v>13.599999999999907</c:v>
                </c:pt>
                <c:pt idx="587">
                  <c:v>13.699999999999907</c:v>
                </c:pt>
                <c:pt idx="588">
                  <c:v>13.799999999999907</c:v>
                </c:pt>
                <c:pt idx="589">
                  <c:v>13.899999999999906</c:v>
                </c:pt>
                <c:pt idx="590">
                  <c:v>13.999999999999906</c:v>
                </c:pt>
                <c:pt idx="591">
                  <c:v>14.099999999999905</c:v>
                </c:pt>
                <c:pt idx="592">
                  <c:v>14.199999999999905</c:v>
                </c:pt>
                <c:pt idx="593">
                  <c:v>14.299999999999905</c:v>
                </c:pt>
                <c:pt idx="594">
                  <c:v>14.399999999999904</c:v>
                </c:pt>
                <c:pt idx="595">
                  <c:v>14.499999999999904</c:v>
                </c:pt>
                <c:pt idx="596">
                  <c:v>14.599999999999904</c:v>
                </c:pt>
                <c:pt idx="597">
                  <c:v>14.699999999999903</c:v>
                </c:pt>
                <c:pt idx="598">
                  <c:v>14.799999999999903</c:v>
                </c:pt>
                <c:pt idx="599">
                  <c:v>14.899999999999903</c:v>
                </c:pt>
                <c:pt idx="600">
                  <c:v>14.999999999999902</c:v>
                </c:pt>
                <c:pt idx="601">
                  <c:v>15.099999999999902</c:v>
                </c:pt>
                <c:pt idx="602">
                  <c:v>15.199999999999902</c:v>
                </c:pt>
                <c:pt idx="603">
                  <c:v>15.299999999999901</c:v>
                </c:pt>
                <c:pt idx="604">
                  <c:v>15.399999999999901</c:v>
                </c:pt>
                <c:pt idx="605">
                  <c:v>15.499999999999901</c:v>
                </c:pt>
                <c:pt idx="606">
                  <c:v>15.5999999999999</c:v>
                </c:pt>
                <c:pt idx="607">
                  <c:v>15.6999999999999</c:v>
                </c:pt>
                <c:pt idx="608">
                  <c:v>15.799999999999899</c:v>
                </c:pt>
                <c:pt idx="609">
                  <c:v>15.899999999999899</c:v>
                </c:pt>
                <c:pt idx="610">
                  <c:v>15.999999999999899</c:v>
                </c:pt>
                <c:pt idx="611">
                  <c:v>16.099999999999898</c:v>
                </c:pt>
                <c:pt idx="612">
                  <c:v>16.1999999999999</c:v>
                </c:pt>
                <c:pt idx="613">
                  <c:v>16.299999999999901</c:v>
                </c:pt>
                <c:pt idx="614">
                  <c:v>16.399999999999903</c:v>
                </c:pt>
                <c:pt idx="615">
                  <c:v>16.499999999999904</c:v>
                </c:pt>
                <c:pt idx="616">
                  <c:v>16.599999999999905</c:v>
                </c:pt>
                <c:pt idx="617">
                  <c:v>16.699999999999907</c:v>
                </c:pt>
                <c:pt idx="618">
                  <c:v>16.799999999999908</c:v>
                </c:pt>
                <c:pt idx="619">
                  <c:v>16.89999999999991</c:v>
                </c:pt>
                <c:pt idx="620">
                  <c:v>16.999999999999911</c:v>
                </c:pt>
                <c:pt idx="621">
                  <c:v>17.099999999999913</c:v>
                </c:pt>
                <c:pt idx="622">
                  <c:v>17.199999999999914</c:v>
                </c:pt>
                <c:pt idx="623">
                  <c:v>17.299999999999915</c:v>
                </c:pt>
                <c:pt idx="624">
                  <c:v>17.399999999999917</c:v>
                </c:pt>
                <c:pt idx="625">
                  <c:v>17.499999999999918</c:v>
                </c:pt>
                <c:pt idx="626">
                  <c:v>17.59999999999992</c:v>
                </c:pt>
                <c:pt idx="627">
                  <c:v>17.699999999999921</c:v>
                </c:pt>
                <c:pt idx="628">
                  <c:v>17.799999999999923</c:v>
                </c:pt>
                <c:pt idx="629">
                  <c:v>17.899999999999924</c:v>
                </c:pt>
                <c:pt idx="630">
                  <c:v>17.999999999999925</c:v>
                </c:pt>
                <c:pt idx="631">
                  <c:v>18.099999999999927</c:v>
                </c:pt>
                <c:pt idx="632">
                  <c:v>18.199999999999928</c:v>
                </c:pt>
                <c:pt idx="633">
                  <c:v>18.29999999999993</c:v>
                </c:pt>
                <c:pt idx="634">
                  <c:v>18.399999999999931</c:v>
                </c:pt>
                <c:pt idx="635">
                  <c:v>18.499999999999932</c:v>
                </c:pt>
                <c:pt idx="636">
                  <c:v>18.599999999999934</c:v>
                </c:pt>
                <c:pt idx="637">
                  <c:v>18.699999999999935</c:v>
                </c:pt>
                <c:pt idx="638">
                  <c:v>18.799999999999937</c:v>
                </c:pt>
                <c:pt idx="639">
                  <c:v>18.899999999999938</c:v>
                </c:pt>
                <c:pt idx="640">
                  <c:v>18.99999999999994</c:v>
                </c:pt>
                <c:pt idx="641">
                  <c:v>19.099999999999941</c:v>
                </c:pt>
                <c:pt idx="642">
                  <c:v>19.199999999999942</c:v>
                </c:pt>
                <c:pt idx="643">
                  <c:v>19.299999999999944</c:v>
                </c:pt>
                <c:pt idx="644">
                  <c:v>19.399999999999945</c:v>
                </c:pt>
                <c:pt idx="645">
                  <c:v>19.499999999999947</c:v>
                </c:pt>
                <c:pt idx="646">
                  <c:v>19.599999999999948</c:v>
                </c:pt>
                <c:pt idx="647">
                  <c:v>19.69999999999995</c:v>
                </c:pt>
                <c:pt idx="648">
                  <c:v>19.799999999999951</c:v>
                </c:pt>
                <c:pt idx="649">
                  <c:v>19.899999999999952</c:v>
                </c:pt>
                <c:pt idx="650">
                  <c:v>19.999999999999954</c:v>
                </c:pt>
                <c:pt idx="651">
                  <c:v>20.099999999999955</c:v>
                </c:pt>
                <c:pt idx="652">
                  <c:v>20.199999999999957</c:v>
                </c:pt>
                <c:pt idx="653">
                  <c:v>20.299999999999958</c:v>
                </c:pt>
                <c:pt idx="654">
                  <c:v>20.399999999999959</c:v>
                </c:pt>
                <c:pt idx="655">
                  <c:v>20.499999999999961</c:v>
                </c:pt>
                <c:pt idx="656">
                  <c:v>20.599999999999962</c:v>
                </c:pt>
                <c:pt idx="657">
                  <c:v>20.699999999999964</c:v>
                </c:pt>
                <c:pt idx="658">
                  <c:v>20.799999999999965</c:v>
                </c:pt>
                <c:pt idx="659">
                  <c:v>20.899999999999967</c:v>
                </c:pt>
                <c:pt idx="660">
                  <c:v>20.999999999999968</c:v>
                </c:pt>
                <c:pt idx="661">
                  <c:v>21.099999999999969</c:v>
                </c:pt>
                <c:pt idx="662">
                  <c:v>21.199999999999971</c:v>
                </c:pt>
                <c:pt idx="663">
                  <c:v>21.299999999999972</c:v>
                </c:pt>
                <c:pt idx="664">
                  <c:v>21.399999999999974</c:v>
                </c:pt>
                <c:pt idx="665">
                  <c:v>21.499999999999975</c:v>
                </c:pt>
                <c:pt idx="666">
                  <c:v>21.599999999999977</c:v>
                </c:pt>
                <c:pt idx="667">
                  <c:v>21.699999999999978</c:v>
                </c:pt>
                <c:pt idx="668">
                  <c:v>21.799999999999979</c:v>
                </c:pt>
                <c:pt idx="669">
                  <c:v>21.899999999999981</c:v>
                </c:pt>
                <c:pt idx="670">
                  <c:v>21.999999999999982</c:v>
                </c:pt>
                <c:pt idx="671">
                  <c:v>22.099999999999984</c:v>
                </c:pt>
                <c:pt idx="672">
                  <c:v>22.199999999999985</c:v>
                </c:pt>
                <c:pt idx="673">
                  <c:v>22.299999999999986</c:v>
                </c:pt>
                <c:pt idx="674">
                  <c:v>22.399999999999988</c:v>
                </c:pt>
                <c:pt idx="675">
                  <c:v>22.499999999999989</c:v>
                </c:pt>
                <c:pt idx="676">
                  <c:v>22.599999999999991</c:v>
                </c:pt>
                <c:pt idx="677">
                  <c:v>22.699999999999992</c:v>
                </c:pt>
                <c:pt idx="678">
                  <c:v>22.799999999999994</c:v>
                </c:pt>
                <c:pt idx="679">
                  <c:v>22.899999999999995</c:v>
                </c:pt>
                <c:pt idx="680">
                  <c:v>22.999999999999996</c:v>
                </c:pt>
                <c:pt idx="681">
                  <c:v>23.099999999999998</c:v>
                </c:pt>
                <c:pt idx="682">
                  <c:v>23.2</c:v>
                </c:pt>
                <c:pt idx="683">
                  <c:v>23.3</c:v>
                </c:pt>
                <c:pt idx="684">
                  <c:v>23.400000000000002</c:v>
                </c:pt>
                <c:pt idx="685">
                  <c:v>23.500000000000004</c:v>
                </c:pt>
                <c:pt idx="686">
                  <c:v>23.600000000000005</c:v>
                </c:pt>
                <c:pt idx="687">
                  <c:v>23.700000000000006</c:v>
                </c:pt>
                <c:pt idx="688">
                  <c:v>23.800000000000008</c:v>
                </c:pt>
                <c:pt idx="689">
                  <c:v>23.900000000000009</c:v>
                </c:pt>
                <c:pt idx="690">
                  <c:v>24.000000000000011</c:v>
                </c:pt>
                <c:pt idx="691">
                  <c:v>24.100000000000012</c:v>
                </c:pt>
                <c:pt idx="692">
                  <c:v>24.200000000000014</c:v>
                </c:pt>
                <c:pt idx="693">
                  <c:v>24.300000000000015</c:v>
                </c:pt>
                <c:pt idx="694">
                  <c:v>24.400000000000016</c:v>
                </c:pt>
                <c:pt idx="695">
                  <c:v>24.500000000000018</c:v>
                </c:pt>
                <c:pt idx="696">
                  <c:v>24.600000000000019</c:v>
                </c:pt>
                <c:pt idx="697">
                  <c:v>24.700000000000021</c:v>
                </c:pt>
                <c:pt idx="698">
                  <c:v>24.800000000000022</c:v>
                </c:pt>
                <c:pt idx="699">
                  <c:v>24.900000000000023</c:v>
                </c:pt>
                <c:pt idx="700">
                  <c:v>25.000000000000025</c:v>
                </c:pt>
                <c:pt idx="701">
                  <c:v>25.100000000000026</c:v>
                </c:pt>
                <c:pt idx="702">
                  <c:v>25.200000000000028</c:v>
                </c:pt>
                <c:pt idx="703">
                  <c:v>25.300000000000029</c:v>
                </c:pt>
                <c:pt idx="704">
                  <c:v>25.400000000000031</c:v>
                </c:pt>
                <c:pt idx="705">
                  <c:v>25.500000000000032</c:v>
                </c:pt>
                <c:pt idx="706">
                  <c:v>25.600000000000033</c:v>
                </c:pt>
                <c:pt idx="707">
                  <c:v>25.700000000000035</c:v>
                </c:pt>
                <c:pt idx="708">
                  <c:v>25.800000000000036</c:v>
                </c:pt>
                <c:pt idx="709">
                  <c:v>25.900000000000038</c:v>
                </c:pt>
                <c:pt idx="710">
                  <c:v>26.000000000000039</c:v>
                </c:pt>
                <c:pt idx="711">
                  <c:v>26.100000000000041</c:v>
                </c:pt>
                <c:pt idx="712">
                  <c:v>26.200000000000042</c:v>
                </c:pt>
                <c:pt idx="713">
                  <c:v>26.300000000000043</c:v>
                </c:pt>
                <c:pt idx="714">
                  <c:v>26.400000000000045</c:v>
                </c:pt>
                <c:pt idx="715">
                  <c:v>26.500000000000046</c:v>
                </c:pt>
                <c:pt idx="716">
                  <c:v>26.600000000000048</c:v>
                </c:pt>
                <c:pt idx="717">
                  <c:v>26.700000000000049</c:v>
                </c:pt>
                <c:pt idx="718">
                  <c:v>26.80000000000005</c:v>
                </c:pt>
                <c:pt idx="719">
                  <c:v>26.900000000000052</c:v>
                </c:pt>
                <c:pt idx="720">
                  <c:v>27.000000000000053</c:v>
                </c:pt>
                <c:pt idx="721">
                  <c:v>27.100000000000055</c:v>
                </c:pt>
                <c:pt idx="722">
                  <c:v>27.200000000000056</c:v>
                </c:pt>
                <c:pt idx="723">
                  <c:v>27.300000000000058</c:v>
                </c:pt>
                <c:pt idx="724">
                  <c:v>27.400000000000059</c:v>
                </c:pt>
                <c:pt idx="725">
                  <c:v>27.50000000000006</c:v>
                </c:pt>
                <c:pt idx="726">
                  <c:v>27.600000000000062</c:v>
                </c:pt>
                <c:pt idx="727">
                  <c:v>27.700000000000063</c:v>
                </c:pt>
                <c:pt idx="728">
                  <c:v>27.800000000000065</c:v>
                </c:pt>
                <c:pt idx="729">
                  <c:v>27.900000000000066</c:v>
                </c:pt>
                <c:pt idx="730">
                  <c:v>28.000000000000068</c:v>
                </c:pt>
                <c:pt idx="731">
                  <c:v>28.100000000000069</c:v>
                </c:pt>
                <c:pt idx="732">
                  <c:v>28.20000000000007</c:v>
                </c:pt>
                <c:pt idx="733">
                  <c:v>28.300000000000072</c:v>
                </c:pt>
                <c:pt idx="734">
                  <c:v>28.400000000000073</c:v>
                </c:pt>
                <c:pt idx="735">
                  <c:v>28.500000000000075</c:v>
                </c:pt>
                <c:pt idx="736">
                  <c:v>28.600000000000076</c:v>
                </c:pt>
                <c:pt idx="737">
                  <c:v>28.700000000000077</c:v>
                </c:pt>
                <c:pt idx="738">
                  <c:v>28.800000000000079</c:v>
                </c:pt>
                <c:pt idx="739">
                  <c:v>28.90000000000008</c:v>
                </c:pt>
                <c:pt idx="740">
                  <c:v>29.000000000000082</c:v>
                </c:pt>
                <c:pt idx="741">
                  <c:v>29.100000000000083</c:v>
                </c:pt>
                <c:pt idx="742">
                  <c:v>29.200000000000085</c:v>
                </c:pt>
                <c:pt idx="743">
                  <c:v>29.300000000000086</c:v>
                </c:pt>
                <c:pt idx="744">
                  <c:v>29.400000000000087</c:v>
                </c:pt>
                <c:pt idx="745">
                  <c:v>29.500000000000089</c:v>
                </c:pt>
                <c:pt idx="746">
                  <c:v>29.60000000000009</c:v>
                </c:pt>
                <c:pt idx="747">
                  <c:v>29.700000000000092</c:v>
                </c:pt>
                <c:pt idx="748">
                  <c:v>29.800000000000093</c:v>
                </c:pt>
                <c:pt idx="749">
                  <c:v>29.900000000000095</c:v>
                </c:pt>
                <c:pt idx="750">
                  <c:v>30.000000000000096</c:v>
                </c:pt>
                <c:pt idx="751">
                  <c:v>30.100000000000097</c:v>
                </c:pt>
                <c:pt idx="752">
                  <c:v>30.200000000000099</c:v>
                </c:pt>
                <c:pt idx="753">
                  <c:v>30.3000000000001</c:v>
                </c:pt>
                <c:pt idx="754">
                  <c:v>30.400000000000102</c:v>
                </c:pt>
                <c:pt idx="755">
                  <c:v>30.500000000000103</c:v>
                </c:pt>
                <c:pt idx="756">
                  <c:v>30.600000000000104</c:v>
                </c:pt>
                <c:pt idx="757">
                  <c:v>30.700000000000106</c:v>
                </c:pt>
                <c:pt idx="758">
                  <c:v>30.800000000000107</c:v>
                </c:pt>
                <c:pt idx="759">
                  <c:v>30.900000000000109</c:v>
                </c:pt>
                <c:pt idx="760">
                  <c:v>31.00000000000011</c:v>
                </c:pt>
                <c:pt idx="761">
                  <c:v>31.100000000000112</c:v>
                </c:pt>
                <c:pt idx="762">
                  <c:v>31.200000000000113</c:v>
                </c:pt>
                <c:pt idx="763">
                  <c:v>31.300000000000114</c:v>
                </c:pt>
                <c:pt idx="764">
                  <c:v>31.400000000000116</c:v>
                </c:pt>
                <c:pt idx="765">
                  <c:v>31.500000000000117</c:v>
                </c:pt>
                <c:pt idx="766">
                  <c:v>31.600000000000119</c:v>
                </c:pt>
                <c:pt idx="767">
                  <c:v>31.70000000000012</c:v>
                </c:pt>
                <c:pt idx="768">
                  <c:v>31.800000000000122</c:v>
                </c:pt>
                <c:pt idx="769">
                  <c:v>31.900000000000123</c:v>
                </c:pt>
                <c:pt idx="770">
                  <c:v>32.000000000000121</c:v>
                </c:pt>
                <c:pt idx="771">
                  <c:v>32.100000000000122</c:v>
                </c:pt>
                <c:pt idx="772">
                  <c:v>32.200000000000124</c:v>
                </c:pt>
                <c:pt idx="773">
                  <c:v>32.300000000000125</c:v>
                </c:pt>
                <c:pt idx="774">
                  <c:v>32.400000000000126</c:v>
                </c:pt>
                <c:pt idx="775">
                  <c:v>32.500000000000128</c:v>
                </c:pt>
                <c:pt idx="776">
                  <c:v>32.600000000000129</c:v>
                </c:pt>
                <c:pt idx="777">
                  <c:v>32.700000000000131</c:v>
                </c:pt>
                <c:pt idx="778">
                  <c:v>32.800000000000132</c:v>
                </c:pt>
                <c:pt idx="779">
                  <c:v>32.900000000000134</c:v>
                </c:pt>
                <c:pt idx="780">
                  <c:v>33.000000000000135</c:v>
                </c:pt>
                <c:pt idx="781">
                  <c:v>33.100000000000136</c:v>
                </c:pt>
                <c:pt idx="782">
                  <c:v>33.200000000000138</c:v>
                </c:pt>
                <c:pt idx="783">
                  <c:v>33.300000000000139</c:v>
                </c:pt>
                <c:pt idx="784">
                  <c:v>33.400000000000141</c:v>
                </c:pt>
                <c:pt idx="785">
                  <c:v>33.500000000000142</c:v>
                </c:pt>
                <c:pt idx="786">
                  <c:v>33.600000000000144</c:v>
                </c:pt>
                <c:pt idx="787">
                  <c:v>33.700000000000145</c:v>
                </c:pt>
                <c:pt idx="788">
                  <c:v>33.800000000000146</c:v>
                </c:pt>
                <c:pt idx="789">
                  <c:v>33.900000000000148</c:v>
                </c:pt>
                <c:pt idx="790">
                  <c:v>34.000000000000149</c:v>
                </c:pt>
                <c:pt idx="791">
                  <c:v>34.100000000000151</c:v>
                </c:pt>
                <c:pt idx="792">
                  <c:v>34.200000000000152</c:v>
                </c:pt>
                <c:pt idx="793">
                  <c:v>34.300000000000153</c:v>
                </c:pt>
                <c:pt idx="794">
                  <c:v>34.400000000000155</c:v>
                </c:pt>
                <c:pt idx="795">
                  <c:v>34.500000000000156</c:v>
                </c:pt>
                <c:pt idx="796">
                  <c:v>34.600000000000158</c:v>
                </c:pt>
                <c:pt idx="797">
                  <c:v>34.700000000000159</c:v>
                </c:pt>
                <c:pt idx="798">
                  <c:v>34.800000000000161</c:v>
                </c:pt>
                <c:pt idx="799">
                  <c:v>34.900000000000162</c:v>
                </c:pt>
                <c:pt idx="800">
                  <c:v>35.000000000000163</c:v>
                </c:pt>
                <c:pt idx="801">
                  <c:v>35.100000000000165</c:v>
                </c:pt>
                <c:pt idx="802">
                  <c:v>35.200000000000166</c:v>
                </c:pt>
                <c:pt idx="803">
                  <c:v>35.300000000000168</c:v>
                </c:pt>
                <c:pt idx="804">
                  <c:v>35.400000000000169</c:v>
                </c:pt>
                <c:pt idx="805">
                  <c:v>35.500000000000171</c:v>
                </c:pt>
                <c:pt idx="806">
                  <c:v>35.600000000000172</c:v>
                </c:pt>
                <c:pt idx="807">
                  <c:v>35.700000000000173</c:v>
                </c:pt>
                <c:pt idx="808">
                  <c:v>35.800000000000175</c:v>
                </c:pt>
                <c:pt idx="809">
                  <c:v>35.900000000000176</c:v>
                </c:pt>
                <c:pt idx="810">
                  <c:v>36.000000000000178</c:v>
                </c:pt>
                <c:pt idx="811">
                  <c:v>36.100000000000179</c:v>
                </c:pt>
                <c:pt idx="812">
                  <c:v>36.20000000000018</c:v>
                </c:pt>
                <c:pt idx="813">
                  <c:v>36.300000000000182</c:v>
                </c:pt>
                <c:pt idx="814">
                  <c:v>36.400000000000183</c:v>
                </c:pt>
                <c:pt idx="815">
                  <c:v>36.500000000000185</c:v>
                </c:pt>
                <c:pt idx="816">
                  <c:v>36.600000000000186</c:v>
                </c:pt>
                <c:pt idx="817">
                  <c:v>36.700000000000188</c:v>
                </c:pt>
                <c:pt idx="818">
                  <c:v>36.800000000000189</c:v>
                </c:pt>
                <c:pt idx="819">
                  <c:v>36.90000000000019</c:v>
                </c:pt>
                <c:pt idx="820">
                  <c:v>37.000000000000192</c:v>
                </c:pt>
                <c:pt idx="821">
                  <c:v>37.100000000000193</c:v>
                </c:pt>
                <c:pt idx="822">
                  <c:v>37.200000000000195</c:v>
                </c:pt>
                <c:pt idx="823">
                  <c:v>37.300000000000196</c:v>
                </c:pt>
                <c:pt idx="824">
                  <c:v>37.400000000000198</c:v>
                </c:pt>
                <c:pt idx="825">
                  <c:v>37.500000000000199</c:v>
                </c:pt>
                <c:pt idx="826">
                  <c:v>37.6000000000002</c:v>
                </c:pt>
                <c:pt idx="827">
                  <c:v>37.700000000000202</c:v>
                </c:pt>
                <c:pt idx="828">
                  <c:v>37.800000000000203</c:v>
                </c:pt>
                <c:pt idx="829">
                  <c:v>37.900000000000205</c:v>
                </c:pt>
                <c:pt idx="830">
                  <c:v>38.000000000000206</c:v>
                </c:pt>
                <c:pt idx="831">
                  <c:v>38.100000000000207</c:v>
                </c:pt>
                <c:pt idx="832">
                  <c:v>38.200000000000209</c:v>
                </c:pt>
                <c:pt idx="833">
                  <c:v>38.30000000000021</c:v>
                </c:pt>
                <c:pt idx="834">
                  <c:v>38.400000000000212</c:v>
                </c:pt>
                <c:pt idx="835">
                  <c:v>38.500000000000213</c:v>
                </c:pt>
                <c:pt idx="836">
                  <c:v>38.600000000000215</c:v>
                </c:pt>
                <c:pt idx="837">
                  <c:v>38.700000000000216</c:v>
                </c:pt>
                <c:pt idx="838">
                  <c:v>38.800000000000217</c:v>
                </c:pt>
                <c:pt idx="839">
                  <c:v>38.900000000000219</c:v>
                </c:pt>
                <c:pt idx="840">
                  <c:v>39.00000000000022</c:v>
                </c:pt>
                <c:pt idx="841">
                  <c:v>39.100000000000222</c:v>
                </c:pt>
                <c:pt idx="842">
                  <c:v>39.200000000000223</c:v>
                </c:pt>
                <c:pt idx="843">
                  <c:v>39.300000000000225</c:v>
                </c:pt>
                <c:pt idx="844">
                  <c:v>39.400000000000226</c:v>
                </c:pt>
                <c:pt idx="845">
                  <c:v>39.500000000000227</c:v>
                </c:pt>
                <c:pt idx="846">
                  <c:v>39.600000000000229</c:v>
                </c:pt>
                <c:pt idx="847">
                  <c:v>39.70000000000023</c:v>
                </c:pt>
                <c:pt idx="848">
                  <c:v>39.800000000000232</c:v>
                </c:pt>
                <c:pt idx="849">
                  <c:v>39.900000000000233</c:v>
                </c:pt>
                <c:pt idx="850">
                  <c:v>40.000000000000234</c:v>
                </c:pt>
                <c:pt idx="851">
                  <c:v>40.100000000000236</c:v>
                </c:pt>
                <c:pt idx="852">
                  <c:v>40.200000000000237</c:v>
                </c:pt>
                <c:pt idx="853">
                  <c:v>40.300000000000239</c:v>
                </c:pt>
                <c:pt idx="854">
                  <c:v>40.40000000000024</c:v>
                </c:pt>
                <c:pt idx="855">
                  <c:v>40.500000000000242</c:v>
                </c:pt>
                <c:pt idx="856">
                  <c:v>40.600000000000243</c:v>
                </c:pt>
                <c:pt idx="857">
                  <c:v>40.700000000000244</c:v>
                </c:pt>
                <c:pt idx="858">
                  <c:v>40.800000000000246</c:v>
                </c:pt>
                <c:pt idx="859">
                  <c:v>40.900000000000247</c:v>
                </c:pt>
                <c:pt idx="860">
                  <c:v>41.000000000000249</c:v>
                </c:pt>
                <c:pt idx="861">
                  <c:v>41.10000000000025</c:v>
                </c:pt>
                <c:pt idx="862">
                  <c:v>41.200000000000252</c:v>
                </c:pt>
                <c:pt idx="863">
                  <c:v>41.300000000000253</c:v>
                </c:pt>
                <c:pt idx="864">
                  <c:v>41.400000000000254</c:v>
                </c:pt>
                <c:pt idx="865">
                  <c:v>41.500000000000256</c:v>
                </c:pt>
                <c:pt idx="866">
                  <c:v>41.600000000000257</c:v>
                </c:pt>
                <c:pt idx="867">
                  <c:v>41.700000000000259</c:v>
                </c:pt>
                <c:pt idx="868">
                  <c:v>41.80000000000026</c:v>
                </c:pt>
                <c:pt idx="869">
                  <c:v>41.900000000000261</c:v>
                </c:pt>
                <c:pt idx="870">
                  <c:v>42.000000000000263</c:v>
                </c:pt>
                <c:pt idx="871">
                  <c:v>42.100000000000264</c:v>
                </c:pt>
                <c:pt idx="872">
                  <c:v>42.200000000000266</c:v>
                </c:pt>
                <c:pt idx="873">
                  <c:v>42.300000000000267</c:v>
                </c:pt>
                <c:pt idx="874">
                  <c:v>42.400000000000269</c:v>
                </c:pt>
                <c:pt idx="875">
                  <c:v>42.50000000000027</c:v>
                </c:pt>
                <c:pt idx="876">
                  <c:v>42.600000000000271</c:v>
                </c:pt>
                <c:pt idx="877">
                  <c:v>42.700000000000273</c:v>
                </c:pt>
                <c:pt idx="878">
                  <c:v>42.800000000000274</c:v>
                </c:pt>
                <c:pt idx="879">
                  <c:v>42.900000000000276</c:v>
                </c:pt>
                <c:pt idx="880">
                  <c:v>43.000000000000277</c:v>
                </c:pt>
                <c:pt idx="881">
                  <c:v>43.100000000000279</c:v>
                </c:pt>
                <c:pt idx="882">
                  <c:v>43.20000000000028</c:v>
                </c:pt>
                <c:pt idx="883">
                  <c:v>43.300000000000281</c:v>
                </c:pt>
                <c:pt idx="884">
                  <c:v>43.400000000000283</c:v>
                </c:pt>
                <c:pt idx="885">
                  <c:v>43.500000000000284</c:v>
                </c:pt>
                <c:pt idx="886">
                  <c:v>43.600000000000286</c:v>
                </c:pt>
                <c:pt idx="887">
                  <c:v>43.700000000000287</c:v>
                </c:pt>
                <c:pt idx="888">
                  <c:v>43.800000000000288</c:v>
                </c:pt>
                <c:pt idx="889">
                  <c:v>43.90000000000029</c:v>
                </c:pt>
                <c:pt idx="890">
                  <c:v>44.000000000000291</c:v>
                </c:pt>
                <c:pt idx="891">
                  <c:v>44.100000000000293</c:v>
                </c:pt>
                <c:pt idx="892">
                  <c:v>44.200000000000294</c:v>
                </c:pt>
                <c:pt idx="893">
                  <c:v>44.300000000000296</c:v>
                </c:pt>
                <c:pt idx="894">
                  <c:v>44.400000000000297</c:v>
                </c:pt>
                <c:pt idx="895">
                  <c:v>44.500000000000298</c:v>
                </c:pt>
                <c:pt idx="896">
                  <c:v>44.6000000000003</c:v>
                </c:pt>
                <c:pt idx="897">
                  <c:v>44.700000000000301</c:v>
                </c:pt>
                <c:pt idx="898">
                  <c:v>44.800000000000303</c:v>
                </c:pt>
                <c:pt idx="899">
                  <c:v>44.900000000000304</c:v>
                </c:pt>
                <c:pt idx="900">
                  <c:v>45.000000000000306</c:v>
                </c:pt>
                <c:pt idx="901">
                  <c:v>45.100000000000307</c:v>
                </c:pt>
                <c:pt idx="902">
                  <c:v>45.200000000000308</c:v>
                </c:pt>
                <c:pt idx="903">
                  <c:v>45.30000000000031</c:v>
                </c:pt>
                <c:pt idx="904">
                  <c:v>45.400000000000311</c:v>
                </c:pt>
                <c:pt idx="905">
                  <c:v>45.500000000000313</c:v>
                </c:pt>
                <c:pt idx="906">
                  <c:v>45.600000000000314</c:v>
                </c:pt>
                <c:pt idx="907">
                  <c:v>45.700000000000315</c:v>
                </c:pt>
                <c:pt idx="908">
                  <c:v>45.800000000000317</c:v>
                </c:pt>
                <c:pt idx="909">
                  <c:v>45.900000000000318</c:v>
                </c:pt>
                <c:pt idx="910">
                  <c:v>46.00000000000032</c:v>
                </c:pt>
                <c:pt idx="911">
                  <c:v>46.100000000000321</c:v>
                </c:pt>
                <c:pt idx="912">
                  <c:v>46.200000000000323</c:v>
                </c:pt>
                <c:pt idx="913">
                  <c:v>46.300000000000324</c:v>
                </c:pt>
                <c:pt idx="914">
                  <c:v>46.400000000000325</c:v>
                </c:pt>
                <c:pt idx="915">
                  <c:v>46.500000000000327</c:v>
                </c:pt>
                <c:pt idx="916">
                  <c:v>46.600000000000328</c:v>
                </c:pt>
                <c:pt idx="917">
                  <c:v>46.70000000000033</c:v>
                </c:pt>
                <c:pt idx="918">
                  <c:v>46.800000000000331</c:v>
                </c:pt>
                <c:pt idx="919">
                  <c:v>46.900000000000333</c:v>
                </c:pt>
                <c:pt idx="920">
                  <c:v>47.000000000000334</c:v>
                </c:pt>
                <c:pt idx="921">
                  <c:v>47.100000000000335</c:v>
                </c:pt>
                <c:pt idx="922">
                  <c:v>47.200000000000337</c:v>
                </c:pt>
                <c:pt idx="923">
                  <c:v>47.300000000000338</c:v>
                </c:pt>
                <c:pt idx="924">
                  <c:v>47.40000000000034</c:v>
                </c:pt>
                <c:pt idx="925">
                  <c:v>47.500000000000341</c:v>
                </c:pt>
                <c:pt idx="926">
                  <c:v>47.600000000000342</c:v>
                </c:pt>
                <c:pt idx="927">
                  <c:v>47.700000000000344</c:v>
                </c:pt>
                <c:pt idx="928">
                  <c:v>47.800000000000345</c:v>
                </c:pt>
                <c:pt idx="929">
                  <c:v>47.900000000000347</c:v>
                </c:pt>
                <c:pt idx="930">
                  <c:v>48.000000000000348</c:v>
                </c:pt>
                <c:pt idx="931">
                  <c:v>48.10000000000035</c:v>
                </c:pt>
                <c:pt idx="932">
                  <c:v>48.200000000000351</c:v>
                </c:pt>
                <c:pt idx="933">
                  <c:v>48.300000000000352</c:v>
                </c:pt>
                <c:pt idx="934">
                  <c:v>48.400000000000354</c:v>
                </c:pt>
                <c:pt idx="935">
                  <c:v>48.500000000000355</c:v>
                </c:pt>
                <c:pt idx="936">
                  <c:v>48.600000000000357</c:v>
                </c:pt>
                <c:pt idx="937">
                  <c:v>48.700000000000358</c:v>
                </c:pt>
                <c:pt idx="938">
                  <c:v>48.80000000000036</c:v>
                </c:pt>
                <c:pt idx="939">
                  <c:v>48.900000000000361</c:v>
                </c:pt>
                <c:pt idx="940">
                  <c:v>49.000000000000362</c:v>
                </c:pt>
                <c:pt idx="941">
                  <c:v>49.100000000000364</c:v>
                </c:pt>
                <c:pt idx="942">
                  <c:v>49.200000000000365</c:v>
                </c:pt>
                <c:pt idx="943">
                  <c:v>49.300000000000367</c:v>
                </c:pt>
                <c:pt idx="944">
                  <c:v>49.400000000000368</c:v>
                </c:pt>
                <c:pt idx="945">
                  <c:v>49.500000000000369</c:v>
                </c:pt>
                <c:pt idx="946">
                  <c:v>49.600000000000371</c:v>
                </c:pt>
                <c:pt idx="947">
                  <c:v>49.700000000000372</c:v>
                </c:pt>
                <c:pt idx="948">
                  <c:v>49.800000000000374</c:v>
                </c:pt>
                <c:pt idx="949">
                  <c:v>49.900000000000375</c:v>
                </c:pt>
                <c:pt idx="950">
                  <c:v>50.000000000000377</c:v>
                </c:pt>
                <c:pt idx="951">
                  <c:v>50.100000000000378</c:v>
                </c:pt>
                <c:pt idx="952">
                  <c:v>50.200000000000379</c:v>
                </c:pt>
                <c:pt idx="953">
                  <c:v>50.300000000000381</c:v>
                </c:pt>
                <c:pt idx="954">
                  <c:v>50.400000000000382</c:v>
                </c:pt>
                <c:pt idx="955">
                  <c:v>50.500000000000384</c:v>
                </c:pt>
                <c:pt idx="956">
                  <c:v>50.600000000000385</c:v>
                </c:pt>
                <c:pt idx="957">
                  <c:v>50.700000000000387</c:v>
                </c:pt>
                <c:pt idx="958">
                  <c:v>50.800000000000388</c:v>
                </c:pt>
                <c:pt idx="959">
                  <c:v>50.900000000000389</c:v>
                </c:pt>
                <c:pt idx="960">
                  <c:v>51.000000000000391</c:v>
                </c:pt>
                <c:pt idx="961">
                  <c:v>51.100000000000392</c:v>
                </c:pt>
                <c:pt idx="962">
                  <c:v>51.200000000000394</c:v>
                </c:pt>
                <c:pt idx="963">
                  <c:v>51.300000000000395</c:v>
                </c:pt>
                <c:pt idx="964">
                  <c:v>51.400000000000396</c:v>
                </c:pt>
                <c:pt idx="965">
                  <c:v>51.500000000000398</c:v>
                </c:pt>
                <c:pt idx="966">
                  <c:v>51.600000000000399</c:v>
                </c:pt>
                <c:pt idx="967">
                  <c:v>51.700000000000401</c:v>
                </c:pt>
                <c:pt idx="968">
                  <c:v>51.800000000000402</c:v>
                </c:pt>
                <c:pt idx="969">
                  <c:v>51.900000000000404</c:v>
                </c:pt>
                <c:pt idx="970">
                  <c:v>52.000000000000405</c:v>
                </c:pt>
                <c:pt idx="971">
                  <c:v>52.100000000000406</c:v>
                </c:pt>
                <c:pt idx="972">
                  <c:v>52.200000000000408</c:v>
                </c:pt>
                <c:pt idx="973">
                  <c:v>52.300000000000409</c:v>
                </c:pt>
                <c:pt idx="974">
                  <c:v>52.400000000000411</c:v>
                </c:pt>
                <c:pt idx="975">
                  <c:v>52.500000000000412</c:v>
                </c:pt>
                <c:pt idx="976">
                  <c:v>52.600000000000414</c:v>
                </c:pt>
                <c:pt idx="977">
                  <c:v>52.700000000000415</c:v>
                </c:pt>
                <c:pt idx="978">
                  <c:v>52.800000000000416</c:v>
                </c:pt>
                <c:pt idx="979">
                  <c:v>52.80010000000042</c:v>
                </c:pt>
                <c:pt idx="980">
                  <c:v>52.800200000000423</c:v>
                </c:pt>
                <c:pt idx="981">
                  <c:v>52.800300000000426</c:v>
                </c:pt>
                <c:pt idx="982">
                  <c:v>52.80040000000043</c:v>
                </c:pt>
                <c:pt idx="983">
                  <c:v>52.800500000000433</c:v>
                </c:pt>
                <c:pt idx="984">
                  <c:v>52.800600000000436</c:v>
                </c:pt>
                <c:pt idx="985">
                  <c:v>52.80070000000044</c:v>
                </c:pt>
                <c:pt idx="986">
                  <c:v>52.800800000000443</c:v>
                </c:pt>
                <c:pt idx="987">
                  <c:v>52.800900000000446</c:v>
                </c:pt>
                <c:pt idx="988">
                  <c:v>52.80100000000045</c:v>
                </c:pt>
                <c:pt idx="989">
                  <c:v>52.801100000000453</c:v>
                </c:pt>
                <c:pt idx="990">
                  <c:v>52.801200000000456</c:v>
                </c:pt>
                <c:pt idx="991">
                  <c:v>52.80130000000046</c:v>
                </c:pt>
                <c:pt idx="992">
                  <c:v>52.801400000000463</c:v>
                </c:pt>
                <c:pt idx="993">
                  <c:v>52.801500000000466</c:v>
                </c:pt>
                <c:pt idx="994">
                  <c:v>52.801600000000469</c:v>
                </c:pt>
                <c:pt idx="995">
                  <c:v>52.801700000000473</c:v>
                </c:pt>
                <c:pt idx="996">
                  <c:v>52.801800000000476</c:v>
                </c:pt>
                <c:pt idx="997">
                  <c:v>52.801900000000479</c:v>
                </c:pt>
                <c:pt idx="998">
                  <c:v>52.802000000000483</c:v>
                </c:pt>
                <c:pt idx="999">
                  <c:v>52.802100000000486</c:v>
                </c:pt>
                <c:pt idx="1000">
                  <c:v>52.802200000000489</c:v>
                </c:pt>
              </c:numCache>
            </c:numRef>
          </c:xVal>
          <c:yVal>
            <c:numRef>
              <c:f>Calculs!$AH$4:$AH$1004</c:f>
              <c:numCache>
                <c:formatCode>0.00</c:formatCode>
                <c:ptCount val="1001"/>
                <c:pt idx="0">
                  <c:v>0</c:v>
                </c:pt>
                <c:pt idx="1">
                  <c:v>25.743638331529962</c:v>
                </c:pt>
                <c:pt idx="2">
                  <c:v>54.150523015809689</c:v>
                </c:pt>
                <c:pt idx="3">
                  <c:v>65.947381784418724</c:v>
                </c:pt>
                <c:pt idx="4">
                  <c:v>77.756364684533864</c:v>
                </c:pt>
                <c:pt idx="5">
                  <c:v>89.57941854292514</c:v>
                </c:pt>
                <c:pt idx="6">
                  <c:v>101.41846462142223</c:v>
                </c:pt>
                <c:pt idx="7">
                  <c:v>113.27539951177529</c:v>
                </c:pt>
                <c:pt idx="8">
                  <c:v>125.15209598541871</c:v>
                </c:pt>
                <c:pt idx="9">
                  <c:v>137.05040379954792</c:v>
                </c:pt>
                <c:pt idx="10">
                  <c:v>148.97215046082897</c:v>
                </c:pt>
                <c:pt idx="11">
                  <c:v>154.12213367340323</c:v>
                </c:pt>
                <c:pt idx="12">
                  <c:v>152.47999112973523</c:v>
                </c:pt>
                <c:pt idx="13">
                  <c:v>150.78070470011076</c:v>
                </c:pt>
                <c:pt idx="14">
                  <c:v>149.02421479219205</c:v>
                </c:pt>
                <c:pt idx="15">
                  <c:v>147.26232554097118</c:v>
                </c:pt>
                <c:pt idx="16">
                  <c:v>145.49513421716259</c:v>
                </c:pt>
                <c:pt idx="17">
                  <c:v>143.7227381560713</c:v>
                </c:pt>
                <c:pt idx="18">
                  <c:v>141.94523473476318</c:v>
                </c:pt>
                <c:pt idx="19">
                  <c:v>140.16272134934735</c:v>
                </c:pt>
                <c:pt idx="20">
                  <c:v>138.37529539237994</c:v>
                </c:pt>
                <c:pt idx="21">
                  <c:v>136.5830542303971</c:v>
                </c:pt>
                <c:pt idx="22">
                  <c:v>134.78609518158538</c:v>
                </c:pt>
                <c:pt idx="23">
                  <c:v>132.9845154935982</c:v>
                </c:pt>
                <c:pt idx="24">
                  <c:v>131.17841232152512</c:v>
                </c:pt>
                <c:pt idx="25">
                  <c:v>129.3678827060229</c:v>
                </c:pt>
                <c:pt idx="26">
                  <c:v>127.55302355161507</c:v>
                </c:pt>
                <c:pt idx="27">
                  <c:v>126.65022667626104</c:v>
                </c:pt>
                <c:pt idx="28">
                  <c:v>126.66165373769994</c:v>
                </c:pt>
                <c:pt idx="29">
                  <c:v>126.67195656816673</c:v>
                </c:pt>
                <c:pt idx="30">
                  <c:v>126.68113316654383</c:v>
                </c:pt>
                <c:pt idx="31">
                  <c:v>126.68918157368537</c:v>
                </c:pt>
                <c:pt idx="32">
                  <c:v>126.69609990796421</c:v>
                </c:pt>
                <c:pt idx="33">
                  <c:v>126.70188633584229</c:v>
                </c:pt>
                <c:pt idx="34">
                  <c:v>126.70653907209102</c:v>
                </c:pt>
                <c:pt idx="35">
                  <c:v>126.71005638000746</c:v>
                </c:pt>
                <c:pt idx="36">
                  <c:v>126.71243657162704</c:v>
                </c:pt>
                <c:pt idx="37">
                  <c:v>126.7136780079327</c:v>
                </c:pt>
                <c:pt idx="38">
                  <c:v>126.71377909905954</c:v>
                </c:pt>
                <c:pt idx="39">
                  <c:v>126.71273830449627</c:v>
                </c:pt>
                <c:pt idx="40">
                  <c:v>126.71055413328214</c:v>
                </c:pt>
                <c:pt idx="41">
                  <c:v>126.70722514420007</c:v>
                </c:pt>
                <c:pt idx="42">
                  <c:v>126.70274994596517</c:v>
                </c:pt>
                <c:pt idx="43">
                  <c:v>126.69712719740991</c:v>
                </c:pt>
                <c:pt idx="44">
                  <c:v>126.69035560766382</c:v>
                </c:pt>
                <c:pt idx="45">
                  <c:v>126.68243393632994</c:v>
                </c:pt>
                <c:pt idx="46">
                  <c:v>126.67336099365627</c:v>
                </c:pt>
                <c:pt idx="47">
                  <c:v>126.66313564070278</c:v>
                </c:pt>
                <c:pt idx="48">
                  <c:v>126.65175678950425</c:v>
                </c:pt>
                <c:pt idx="49">
                  <c:v>126.63922340322833</c:v>
                </c:pt>
                <c:pt idx="50">
                  <c:v>126.62553449632901</c:v>
                </c:pt>
                <c:pt idx="51">
                  <c:v>126.61068913469555</c:v>
                </c:pt>
                <c:pt idx="52">
                  <c:v>126.5946864357968</c:v>
                </c:pt>
                <c:pt idx="53">
                  <c:v>126.57752556882068</c:v>
                </c:pt>
                <c:pt idx="54">
                  <c:v>126.55920575480893</c:v>
                </c:pt>
                <c:pt idx="55">
                  <c:v>126.5397262667873</c:v>
                </c:pt>
                <c:pt idx="56">
                  <c:v>126.51908642989056</c:v>
                </c:pt>
                <c:pt idx="57">
                  <c:v>126.49728562148303</c:v>
                </c:pt>
                <c:pt idx="58">
                  <c:v>126.47432327127414</c:v>
                </c:pt>
                <c:pt idx="59">
                  <c:v>126.45019886142892</c:v>
                </c:pt>
                <c:pt idx="60">
                  <c:v>126.42491192667363</c:v>
                </c:pt>
                <c:pt idx="61">
                  <c:v>126.39846205439673</c:v>
                </c:pt>
                <c:pt idx="62">
                  <c:v>126.37084888474442</c:v>
                </c:pt>
                <c:pt idx="63">
                  <c:v>126.34207211071143</c:v>
                </c:pt>
                <c:pt idx="64">
                  <c:v>126.31213147822682</c:v>
                </c:pt>
                <c:pt idx="65">
                  <c:v>126.28102678623448</c:v>
                </c:pt>
                <c:pt idx="66">
                  <c:v>126.24875788676879</c:v>
                </c:pt>
                <c:pt idx="67">
                  <c:v>126.21532468502525</c:v>
                </c:pt>
                <c:pt idx="68">
                  <c:v>126.18072713942557</c:v>
                </c:pt>
                <c:pt idx="69">
                  <c:v>126.1449652616781</c:v>
                </c:pt>
                <c:pt idx="70">
                  <c:v>126.10803911683287</c:v>
                </c:pt>
                <c:pt idx="71">
                  <c:v>126.06994882333153</c:v>
                </c:pt>
                <c:pt idx="72">
                  <c:v>126.02012217141588</c:v>
                </c:pt>
                <c:pt idx="73">
                  <c:v>125.95853958995079</c:v>
                </c:pt>
                <c:pt idx="74">
                  <c:v>125.89576799138896</c:v>
                </c:pt>
                <c:pt idx="75">
                  <c:v>125.83180832322041</c:v>
                </c:pt>
                <c:pt idx="76">
                  <c:v>125.76666158845812</c:v>
                </c:pt>
                <c:pt idx="77">
                  <c:v>125.70032884559768</c:v>
                </c:pt>
                <c:pt idx="78">
                  <c:v>125.63281120857154</c:v>
                </c:pt>
                <c:pt idx="79">
                  <c:v>125.56410984669726</c:v>
                </c:pt>
                <c:pt idx="80">
                  <c:v>125.49422598462077</c:v>
                </c:pt>
                <c:pt idx="81">
                  <c:v>125.42316090225346</c:v>
                </c:pt>
                <c:pt idx="82">
                  <c:v>125.3509159347041</c:v>
                </c:pt>
                <c:pt idx="83">
                  <c:v>125.27749247220505</c:v>
                </c:pt>
                <c:pt idx="84">
                  <c:v>125.20289196003289</c:v>
                </c:pt>
                <c:pt idx="85">
                  <c:v>125.1271158984235</c:v>
                </c:pt>
                <c:pt idx="86">
                  <c:v>125.05016584248168</c:v>
                </c:pt>
                <c:pt idx="87">
                  <c:v>124.97204340208515</c:v>
                </c:pt>
                <c:pt idx="88">
                  <c:v>124.89275024178306</c:v>
                </c:pt>
                <c:pt idx="89">
                  <c:v>124.81228808068894</c:v>
                </c:pt>
                <c:pt idx="90">
                  <c:v>124.73065869236819</c:v>
                </c:pt>
                <c:pt idx="91">
                  <c:v>124.64786390472013</c:v>
                </c:pt>
                <c:pt idx="92">
                  <c:v>124.56390559985445</c:v>
                </c:pt>
                <c:pt idx="93">
                  <c:v>124.47878571396231</c:v>
                </c:pt>
                <c:pt idx="94">
                  <c:v>124.39250623718191</c:v>
                </c:pt>
                <c:pt idx="95">
                  <c:v>124.30506921345867</c:v>
                </c:pt>
                <c:pt idx="96">
                  <c:v>124.21647674040014</c:v>
                </c:pt>
                <c:pt idx="97">
                  <c:v>124.12673096912519</c:v>
                </c:pt>
                <c:pt idx="98">
                  <c:v>124.03583410410822</c:v>
                </c:pt>
                <c:pt idx="99">
                  <c:v>123.94378840301761</c:v>
                </c:pt>
                <c:pt idx="100">
                  <c:v>123.85059617654937</c:v>
                </c:pt>
                <c:pt idx="101">
                  <c:v>123.75625978825491</c:v>
                </c:pt>
                <c:pt idx="102">
                  <c:v>123.66078165436387</c:v>
                </c:pt>
                <c:pt idx="103">
                  <c:v>123.56416424360171</c:v>
                </c:pt>
                <c:pt idx="104">
                  <c:v>123.46641007700197</c:v>
                </c:pt>
                <c:pt idx="105">
                  <c:v>123.36752172771324</c:v>
                </c:pt>
                <c:pt idx="106">
                  <c:v>123.26750182080117</c:v>
                </c:pt>
                <c:pt idx="107">
                  <c:v>123.16635303304518</c:v>
                </c:pt>
                <c:pt idx="108">
                  <c:v>123.06407809273006</c:v>
                </c:pt>
                <c:pt idx="109">
                  <c:v>122.96067977943264</c:v>
                </c:pt>
                <c:pt idx="110">
                  <c:v>122.85616092380315</c:v>
                </c:pt>
                <c:pt idx="111">
                  <c:v>122.75052440734171</c:v>
                </c:pt>
                <c:pt idx="112">
                  <c:v>122.64377316216989</c:v>
                </c:pt>
                <c:pt idx="113">
                  <c:v>122.53591017079714</c:v>
                </c:pt>
                <c:pt idx="114">
                  <c:v>122.42693846588244</c:v>
                </c:pt>
                <c:pt idx="115">
                  <c:v>122.31686112999094</c:v>
                </c:pt>
                <c:pt idx="116">
                  <c:v>122.20568129534588</c:v>
                </c:pt>
                <c:pt idx="117">
                  <c:v>122.09340214357566</c:v>
                </c:pt>
                <c:pt idx="118">
                  <c:v>121.98002690545597</c:v>
                </c:pt>
                <c:pt idx="119">
                  <c:v>121.86555886064743</c:v>
                </c:pt>
                <c:pt idx="120">
                  <c:v>121.75000133742837</c:v>
                </c:pt>
                <c:pt idx="121">
                  <c:v>121.63335771242303</c:v>
                </c:pt>
                <c:pt idx="122">
                  <c:v>121.51563141032507</c:v>
                </c:pt>
                <c:pt idx="123">
                  <c:v>121.39682590361654</c:v>
                </c:pt>
                <c:pt idx="124">
                  <c:v>121.27694471228239</c:v>
                </c:pt>
                <c:pt idx="125">
                  <c:v>121.15599140352029</c:v>
                </c:pt>
                <c:pt idx="126">
                  <c:v>121.03396959144627</c:v>
                </c:pt>
                <c:pt idx="127">
                  <c:v>120.91088293679572</c:v>
                </c:pt>
                <c:pt idx="128">
                  <c:v>120.78673514662016</c:v>
                </c:pt>
                <c:pt idx="129">
                  <c:v>120.61215955607713</c:v>
                </c:pt>
                <c:pt idx="130">
                  <c:v>120.38709684952016</c:v>
                </c:pt>
                <c:pt idx="131">
                  <c:v>120.16092445415632</c:v>
                </c:pt>
                <c:pt idx="132">
                  <c:v>119.93364941130831</c:v>
                </c:pt>
                <c:pt idx="133">
                  <c:v>119.70527880452843</c:v>
                </c:pt>
                <c:pt idx="134">
                  <c:v>119.47581975894194</c:v>
                </c:pt>
                <c:pt idx="135">
                  <c:v>119.24527944058732</c:v>
                </c:pt>
                <c:pt idx="136">
                  <c:v>119.01366505575383</c:v>
                </c:pt>
                <c:pt idx="137">
                  <c:v>118.78098385031623</c:v>
                </c:pt>
                <c:pt idx="138">
                  <c:v>118.54724310906686</c:v>
                </c:pt>
                <c:pt idx="139">
                  <c:v>118.3124501550454</c:v>
                </c:pt>
                <c:pt idx="140">
                  <c:v>118.07661234886588</c:v>
                </c:pt>
                <c:pt idx="141">
                  <c:v>117.83973708804169</c:v>
                </c:pt>
                <c:pt idx="142">
                  <c:v>117.60183180630817</c:v>
                </c:pt>
                <c:pt idx="143">
                  <c:v>117.36290397294326</c:v>
                </c:pt>
                <c:pt idx="144">
                  <c:v>117.12296109208614</c:v>
                </c:pt>
                <c:pt idx="145">
                  <c:v>116.88201070205395</c:v>
                </c:pt>
                <c:pt idx="146">
                  <c:v>116.64006037465671</c:v>
                </c:pt>
                <c:pt idx="147">
                  <c:v>116.39711771451088</c:v>
                </c:pt>
                <c:pt idx="148">
                  <c:v>116.15319035835081</c:v>
                </c:pt>
                <c:pt idx="149">
                  <c:v>115.90828597433935</c:v>
                </c:pt>
                <c:pt idx="150">
                  <c:v>115.66241226137686</c:v>
                </c:pt>
                <c:pt idx="151">
                  <c:v>115.41557694840881</c:v>
                </c:pt>
                <c:pt idx="152">
                  <c:v>115.16778779373277</c:v>
                </c:pt>
                <c:pt idx="153">
                  <c:v>114.91905258430383</c:v>
                </c:pt>
                <c:pt idx="154">
                  <c:v>114.66937913503951</c:v>
                </c:pt>
                <c:pt idx="155">
                  <c:v>114.41877528812377</c:v>
                </c:pt>
                <c:pt idx="156">
                  <c:v>114.16724891231026</c:v>
                </c:pt>
                <c:pt idx="157">
                  <c:v>113.91480790222512</c:v>
                </c:pt>
                <c:pt idx="158">
                  <c:v>113.66146017766921</c:v>
                </c:pt>
                <c:pt idx="159">
                  <c:v>113.40721368291999</c:v>
                </c:pt>
                <c:pt idx="160">
                  <c:v>113.1520763860332</c:v>
                </c:pt>
                <c:pt idx="161">
                  <c:v>112.8960562781443</c:v>
                </c:pt>
                <c:pt idx="162">
                  <c:v>112.63916137276989</c:v>
                </c:pt>
                <c:pt idx="163">
                  <c:v>112.3813997051093</c:v>
                </c:pt>
                <c:pt idx="164">
                  <c:v>112.12277933134604</c:v>
                </c:pt>
                <c:pt idx="165">
                  <c:v>111.86330832794988</c:v>
                </c:pt>
                <c:pt idx="166">
                  <c:v>111.60299479097898</c:v>
                </c:pt>
                <c:pt idx="167">
                  <c:v>111.34184683538267</c:v>
                </c:pt>
                <c:pt idx="168">
                  <c:v>111.07987259430472</c:v>
                </c:pt>
                <c:pt idx="169">
                  <c:v>110.81708021838725</c:v>
                </c:pt>
                <c:pt idx="170">
                  <c:v>110.55347787507547</c:v>
                </c:pt>
                <c:pt idx="171">
                  <c:v>110.28907374792335</c:v>
                </c:pt>
                <c:pt idx="172">
                  <c:v>110.02387603589993</c:v>
                </c:pt>
                <c:pt idx="173">
                  <c:v>109.75789295269718</c:v>
                </c:pt>
                <c:pt idx="174">
                  <c:v>109.49113272603849</c:v>
                </c:pt>
                <c:pt idx="175">
                  <c:v>109.22360359698892</c:v>
                </c:pt>
                <c:pt idx="176">
                  <c:v>108.95531381926639</c:v>
                </c:pt>
                <c:pt idx="177">
                  <c:v>108.68627165855462</c:v>
                </c:pt>
                <c:pt idx="178">
                  <c:v>108.41648539181736</c:v>
                </c:pt>
                <c:pt idx="179">
                  <c:v>108.14596330661436</c:v>
                </c:pt>
                <c:pt idx="180">
                  <c:v>107.87471370041918</c:v>
                </c:pt>
                <c:pt idx="181">
                  <c:v>107.60274487993863</c:v>
                </c:pt>
                <c:pt idx="182">
                  <c:v>107.33006516043422</c:v>
                </c:pt>
                <c:pt idx="183">
                  <c:v>107.05668286504553</c:v>
                </c:pt>
                <c:pt idx="184">
                  <c:v>106.7826063241159</c:v>
                </c:pt>
                <c:pt idx="185">
                  <c:v>106.50784387451982</c:v>
                </c:pt>
                <c:pt idx="186">
                  <c:v>106.23240385899314</c:v>
                </c:pt>
                <c:pt idx="187">
                  <c:v>105.95629462546529</c:v>
                </c:pt>
                <c:pt idx="188">
                  <c:v>105.67952452639399</c:v>
                </c:pt>
                <c:pt idx="189">
                  <c:v>105.4021019181025</c:v>
                </c:pt>
                <c:pt idx="190">
                  <c:v>105.12403516011958</c:v>
                </c:pt>
                <c:pt idx="191">
                  <c:v>104.84533261452187</c:v>
                </c:pt>
                <c:pt idx="192">
                  <c:v>104.56600264527935</c:v>
                </c:pt>
                <c:pt idx="193">
                  <c:v>104.28605361760346</c:v>
                </c:pt>
                <c:pt idx="194">
                  <c:v>104.00549389729817</c:v>
                </c:pt>
                <c:pt idx="195">
                  <c:v>103.72433185011405</c:v>
                </c:pt>
                <c:pt idx="196">
                  <c:v>103.44257584110554</c:v>
                </c:pt>
                <c:pt idx="197">
                  <c:v>103.16023423399125</c:v>
                </c:pt>
                <c:pt idx="198">
                  <c:v>102.87731539051748</c:v>
                </c:pt>
                <c:pt idx="199">
                  <c:v>102.5938276698252</c:v>
                </c:pt>
                <c:pt idx="200">
                  <c:v>102.3097794278203</c:v>
                </c:pt>
                <c:pt idx="201">
                  <c:v>102.02517901654727</c:v>
                </c:pt>
                <c:pt idx="202">
                  <c:v>101.74003478356653</c:v>
                </c:pt>
                <c:pt idx="203">
                  <c:v>101.45435507133523</c:v>
                </c:pt>
                <c:pt idx="204">
                  <c:v>101.16814821659179</c:v>
                </c:pt>
                <c:pt idx="205">
                  <c:v>100.88142254974407</c:v>
                </c:pt>
                <c:pt idx="206">
                  <c:v>100.58193535268023</c:v>
                </c:pt>
                <c:pt idx="207">
                  <c:v>100.26969085153796</c:v>
                </c:pt>
                <c:pt idx="208">
                  <c:v>99.956959877114116</c:v>
                </c:pt>
                <c:pt idx="209">
                  <c:v>99.643751457469165</c:v>
                </c:pt>
                <c:pt idx="210">
                  <c:v>99.330074606805809</c:v>
                </c:pt>
                <c:pt idx="211">
                  <c:v>99.015938324825271</c:v>
                </c:pt>
                <c:pt idx="212">
                  <c:v>98.701351596088642</c:v>
                </c:pt>
                <c:pt idx="213">
                  <c:v>98.386323389383506</c:v>
                </c:pt>
                <c:pt idx="214">
                  <c:v>98.070862657095816</c:v>
                </c:pt>
                <c:pt idx="215">
                  <c:v>97.754978334587207</c:v>
                </c:pt>
                <c:pt idx="216">
                  <c:v>97.438679339577561</c:v>
                </c:pt>
                <c:pt idx="217">
                  <c:v>97.121974571533315</c:v>
                </c:pt>
                <c:pt idx="218">
                  <c:v>96.804872911061054</c:v>
                </c:pt>
                <c:pt idx="219">
                  <c:v>96.487383219306764</c:v>
                </c:pt>
                <c:pt idx="220">
                  <c:v>96.169514337360738</c:v>
                </c:pt>
                <c:pt idx="221">
                  <c:v>95.85127508566805</c:v>
                </c:pt>
                <c:pt idx="222">
                  <c:v>95.532674263445031</c:v>
                </c:pt>
                <c:pt idx="223">
                  <c:v>95.213720648101173</c:v>
                </c:pt>
                <c:pt idx="224">
                  <c:v>94.894422994667153</c:v>
                </c:pt>
                <c:pt idx="225">
                  <c:v>94.574790035228403</c:v>
                </c:pt>
                <c:pt idx="226">
                  <c:v>94.254830478365008</c:v>
                </c:pt>
                <c:pt idx="227">
                  <c:v>93.934553008597192</c:v>
                </c:pt>
                <c:pt idx="228">
                  <c:v>93.613966285836938</c:v>
                </c:pt>
                <c:pt idx="229">
                  <c:v>93.293078944845689</c:v>
                </c:pt>
                <c:pt idx="230">
                  <c:v>92.971899594698016</c:v>
                </c:pt>
                <c:pt idx="231">
                  <c:v>92.650436818251407</c:v>
                </c:pt>
                <c:pt idx="232">
                  <c:v>92.328699171622318</c:v>
                </c:pt>
                <c:pt idx="233">
                  <c:v>92.006695183668185</c:v>
                </c:pt>
                <c:pt idx="234">
                  <c:v>91.684433355475747</c:v>
                </c:pt>
                <c:pt idx="235">
                  <c:v>91.361922159855723</c:v>
                </c:pt>
                <c:pt idx="236">
                  <c:v>91.039170040843473</c:v>
                </c:pt>
                <c:pt idx="237">
                  <c:v>90.716185413206233</c:v>
                </c:pt>
                <c:pt idx="238">
                  <c:v>90.392976661956453</c:v>
                </c:pt>
                <c:pt idx="239">
                  <c:v>90.069552141871569</c:v>
                </c:pt>
                <c:pt idx="240">
                  <c:v>89.745920177020068</c:v>
                </c:pt>
                <c:pt idx="241">
                  <c:v>89.422089060294084</c:v>
                </c:pt>
                <c:pt idx="242">
                  <c:v>89.055358505254262</c:v>
                </c:pt>
                <c:pt idx="243">
                  <c:v>88.645740895428887</c:v>
                </c:pt>
                <c:pt idx="244">
                  <c:v>88.236009345025295</c:v>
                </c:pt>
                <c:pt idx="245">
                  <c:v>87.826174405521527</c:v>
                </c:pt>
                <c:pt idx="246">
                  <c:v>87.416246573017261</c:v>
                </c:pt>
                <c:pt idx="247">
                  <c:v>87.006236287682171</c:v>
                </c:pt>
                <c:pt idx="248">
                  <c:v>86.596153933215376</c:v>
                </c:pt>
                <c:pt idx="249">
                  <c:v>86.186009836315165</c:v>
                </c:pt>
                <c:pt idx="250">
                  <c:v>85.775814266160197</c:v>
                </c:pt>
                <c:pt idx="251">
                  <c:v>85.365577433901137</c:v>
                </c:pt>
                <c:pt idx="252">
                  <c:v>84.955309492163138</c:v>
                </c:pt>
                <c:pt idx="253">
                  <c:v>84.545020534558986</c:v>
                </c:pt>
                <c:pt idx="254">
                  <c:v>84.134720595213381</c:v>
                </c:pt>
                <c:pt idx="255">
                  <c:v>83.724419648297584</c:v>
                </c:pt>
                <c:pt idx="256">
                  <c:v>83.314127607574932</c:v>
                </c:pt>
                <c:pt idx="257">
                  <c:v>82.90385432595717</c:v>
                </c:pt>
                <c:pt idx="258">
                  <c:v>82.493609595071206</c:v>
                </c:pt>
                <c:pt idx="259">
                  <c:v>82.083403144836893</c:v>
                </c:pt>
                <c:pt idx="260">
                  <c:v>81.673244643054971</c:v>
                </c:pt>
                <c:pt idx="261">
                  <c:v>81.263143695006022</c:v>
                </c:pt>
                <c:pt idx="262">
                  <c:v>80.853109843059883</c:v>
                </c:pt>
                <c:pt idx="263">
                  <c:v>80.443152566295382</c:v>
                </c:pt>
                <c:pt idx="264">
                  <c:v>80.033281280130836</c:v>
                </c:pt>
                <c:pt idx="265">
                  <c:v>79.623505335964992</c:v>
                </c:pt>
                <c:pt idx="266">
                  <c:v>79.213834020828131</c:v>
                </c:pt>
                <c:pt idx="267">
                  <c:v>78.804276557043892</c:v>
                </c:pt>
                <c:pt idx="268">
                  <c:v>78.394842101901205</c:v>
                </c:pt>
                <c:pt idx="269">
                  <c:v>77.985539747336588</c:v>
                </c:pt>
                <c:pt idx="270">
                  <c:v>77.5763785196268</c:v>
                </c:pt>
                <c:pt idx="271">
                  <c:v>77.167367379091573</c:v>
                </c:pt>
                <c:pt idx="272">
                  <c:v>76.758515219806412</c:v>
                </c:pt>
                <c:pt idx="273">
                  <c:v>76.349830869325842</c:v>
                </c:pt>
                <c:pt idx="274">
                  <c:v>75.941323088416283</c:v>
                </c:pt>
                <c:pt idx="275">
                  <c:v>75.533000570799288</c:v>
                </c:pt>
                <c:pt idx="276">
                  <c:v>75.124871942904463</c:v>
                </c:pt>
                <c:pt idx="277">
                  <c:v>74.716945763632438</c:v>
                </c:pt>
                <c:pt idx="278">
                  <c:v>74.309230524127614</c:v>
                </c:pt>
                <c:pt idx="279">
                  <c:v>73.901734647560716</c:v>
                </c:pt>
                <c:pt idx="280">
                  <c:v>73.494466488920949</c:v>
                </c:pt>
                <c:pt idx="281">
                  <c:v>73.087434334817956</c:v>
                </c:pt>
                <c:pt idx="282">
                  <c:v>72.680646403293281</c:v>
                </c:pt>
                <c:pt idx="283">
                  <c:v>72.274110843641324</c:v>
                </c:pt>
                <c:pt idx="284">
                  <c:v>71.918448234932072</c:v>
                </c:pt>
                <c:pt idx="285">
                  <c:v>71.613634952666771</c:v>
                </c:pt>
                <c:pt idx="286">
                  <c:v>71.308978082152322</c:v>
                </c:pt>
                <c:pt idx="287">
                  <c:v>71.004483271135058</c:v>
                </c:pt>
                <c:pt idx="288">
                  <c:v>70.700156125867665</c:v>
                </c:pt>
                <c:pt idx="289">
                  <c:v>70.396002210997381</c:v>
                </c:pt>
                <c:pt idx="290">
                  <c:v>70.09202704945892</c:v>
                </c:pt>
                <c:pt idx="291">
                  <c:v>69.788236122372368</c:v>
                </c:pt>
                <c:pt idx="292">
                  <c:v>69.484634868945932</c:v>
                </c:pt>
                <c:pt idx="293">
                  <c:v>69.181228686383719</c:v>
                </c:pt>
                <c:pt idx="294">
                  <c:v>68.878022929798092</c:v>
                </c:pt>
                <c:pt idx="295">
                  <c:v>68.575022912127039</c:v>
                </c:pt>
                <c:pt idx="296">
                  <c:v>68.272233904056165</c:v>
                </c:pt>
                <c:pt idx="297">
                  <c:v>67.96966113394538</c:v>
                </c:pt>
                <c:pt idx="298">
                  <c:v>67.667309787760544</c:v>
                </c:pt>
                <c:pt idx="299">
                  <c:v>67.365185009009366</c:v>
                </c:pt>
                <c:pt idx="300">
                  <c:v>67.063291898682351</c:v>
                </c:pt>
                <c:pt idx="301">
                  <c:v>66.761635515197909</c:v>
                </c:pt>
                <c:pt idx="302">
                  <c:v>66.460220874352459</c:v>
                </c:pt>
                <c:pt idx="303">
                  <c:v>66.159052949274624</c:v>
                </c:pt>
                <c:pt idx="304">
                  <c:v>65.858136670384212</c:v>
                </c:pt>
                <c:pt idx="305">
                  <c:v>65.557476925355573</c:v>
                </c:pt>
                <c:pt idx="306">
                  <c:v>65.257078559085258</c:v>
                </c:pt>
                <c:pt idx="307">
                  <c:v>64.956946373664067</c:v>
                </c:pt>
                <c:pt idx="308">
                  <c:v>64.6570851283536</c:v>
                </c:pt>
                <c:pt idx="309">
                  <c:v>64.357499539566874</c:v>
                </c:pt>
                <c:pt idx="310">
                  <c:v>64.058194280853428</c:v>
                </c:pt>
                <c:pt idx="311">
                  <c:v>63.759173982888292</c:v>
                </c:pt>
                <c:pt idx="312">
                  <c:v>63.460443233465554</c:v>
                </c:pt>
                <c:pt idx="313">
                  <c:v>63.162006577495767</c:v>
                </c:pt>
                <c:pt idx="314">
                  <c:v>62.86386851700761</c:v>
                </c:pt>
                <c:pt idx="315">
                  <c:v>62.566033511153471</c:v>
                </c:pt>
                <c:pt idx="316">
                  <c:v>62.268505976219132</c:v>
                </c:pt>
                <c:pt idx="317">
                  <c:v>61.971290285637551</c:v>
                </c:pt>
                <c:pt idx="318">
                  <c:v>61.674390770006241</c:v>
                </c:pt>
                <c:pt idx="319">
                  <c:v>61.37781171710899</c:v>
                </c:pt>
                <c:pt idx="320">
                  <c:v>61.081557371940974</c:v>
                </c:pt>
                <c:pt idx="321">
                  <c:v>60.785631936738064</c:v>
                </c:pt>
                <c:pt idx="322">
                  <c:v>60.49003957100976</c:v>
                </c:pt>
                <c:pt idx="323">
                  <c:v>60.194784391575766</c:v>
                </c:pt>
                <c:pt idx="324">
                  <c:v>59.899870472606423</c:v>
                </c:pt>
                <c:pt idx="325">
                  <c:v>59.605301845666688</c:v>
                </c:pt>
                <c:pt idx="326">
                  <c:v>59.314219037576564</c:v>
                </c:pt>
                <c:pt idx="327">
                  <c:v>59.026622812876035</c:v>
                </c:pt>
                <c:pt idx="328">
                  <c:v>58.739374043802727</c:v>
                </c:pt>
                <c:pt idx="329">
                  <c:v>58.452476493820541</c:v>
                </c:pt>
                <c:pt idx="330">
                  <c:v>58.165933885587563</c:v>
                </c:pt>
                <c:pt idx="331">
                  <c:v>57.879749901017092</c:v>
                </c:pt>
                <c:pt idx="332">
                  <c:v>57.593928181341759</c:v>
                </c:pt>
                <c:pt idx="333">
                  <c:v>57.308472327181036</c:v>
                </c:pt>
                <c:pt idx="334">
                  <c:v>57.023385898611537</c:v>
                </c:pt>
                <c:pt idx="335">
                  <c:v>56.738672415240721</c:v>
                </c:pt>
                <c:pt idx="336">
                  <c:v>56.454335356283565</c:v>
                </c:pt>
                <c:pt idx="337">
                  <c:v>56.170378160642059</c:v>
                </c:pt>
                <c:pt idx="338">
                  <c:v>55.886804226987856</c:v>
                </c:pt>
                <c:pt idx="339">
                  <c:v>55.603616913847844</c:v>
                </c:pt>
                <c:pt idx="340">
                  <c:v>55.320819539692458</c:v>
                </c:pt>
                <c:pt idx="341">
                  <c:v>55.038415383027001</c:v>
                </c:pt>
                <c:pt idx="342">
                  <c:v>54.756407682485708</c:v>
                </c:pt>
                <c:pt idx="343">
                  <c:v>54.474799636928431</c:v>
                </c:pt>
                <c:pt idx="344">
                  <c:v>54.193594405540388</c:v>
                </c:pt>
                <c:pt idx="345">
                  <c:v>53.912795107934123</c:v>
                </c:pt>
                <c:pt idx="346">
                  <c:v>53.632404824254714</c:v>
                </c:pt>
                <c:pt idx="347">
                  <c:v>53.352426595286829</c:v>
                </c:pt>
                <c:pt idx="348">
                  <c:v>53.072863422565163</c:v>
                </c:pt>
                <c:pt idx="349">
                  <c:v>52.793718268486693</c:v>
                </c:pt>
                <c:pt idx="350">
                  <c:v>52.514994056425905</c:v>
                </c:pt>
                <c:pt idx="351">
                  <c:v>52.236693670852141</c:v>
                </c:pt>
                <c:pt idx="352">
                  <c:v>51.95881995744957</c:v>
                </c:pt>
                <c:pt idx="353">
                  <c:v>51.681375723239462</c:v>
                </c:pt>
                <c:pt idx="354">
                  <c:v>51.404363736704624</c:v>
                </c:pt>
                <c:pt idx="355">
                  <c:v>51.127786727916465</c:v>
                </c:pt>
                <c:pt idx="356">
                  <c:v>50.851647388663935</c:v>
                </c:pt>
                <c:pt idx="357">
                  <c:v>50.575948372584932</c:v>
                </c:pt>
                <c:pt idx="358">
                  <c:v>50.300692295299704</c:v>
                </c:pt>
                <c:pt idx="359">
                  <c:v>50.025881734546552</c:v>
                </c:pt>
                <c:pt idx="360">
                  <c:v>49.751519230319502</c:v>
                </c:pt>
                <c:pt idx="361">
                  <c:v>49.477607285007998</c:v>
                </c:pt>
                <c:pt idx="362">
                  <c:v>49.204148363538813</c:v>
                </c:pt>
                <c:pt idx="363">
                  <c:v>48.931144893519573</c:v>
                </c:pt>
                <c:pt idx="364">
                  <c:v>48.658599265384673</c:v>
                </c:pt>
                <c:pt idx="365">
                  <c:v>48.386513832542654</c:v>
                </c:pt>
                <c:pt idx="366">
                  <c:v>48.195036845520654</c:v>
                </c:pt>
                <c:pt idx="367">
                  <c:v>48.084063519613828</c:v>
                </c:pt>
                <c:pt idx="368">
                  <c:v>47.973263576750057</c:v>
                </c:pt>
                <c:pt idx="369">
                  <c:v>47.862637817903341</c:v>
                </c:pt>
                <c:pt idx="370">
                  <c:v>47.752187035395245</c:v>
                </c:pt>
                <c:pt idx="371">
                  <c:v>47.641912012919256</c:v>
                </c:pt>
                <c:pt idx="372">
                  <c:v>47.531813525565731</c:v>
                </c:pt>
                <c:pt idx="373">
                  <c:v>47.421892339846657</c:v>
                </c:pt>
                <c:pt idx="374">
                  <c:v>47.312149213720893</c:v>
                </c:pt>
                <c:pt idx="375">
                  <c:v>47.202584896619754</c:v>
                </c:pt>
                <c:pt idx="376">
                  <c:v>47.093200129472926</c:v>
                </c:pt>
                <c:pt idx="377">
                  <c:v>46.9839956447342</c:v>
                </c:pt>
                <c:pt idx="378">
                  <c:v>46.874972166407957</c:v>
                </c:pt>
                <c:pt idx="379">
                  <c:v>46.766130410075782</c:v>
                </c:pt>
                <c:pt idx="380">
                  <c:v>46.65747108292306</c:v>
                </c:pt>
                <c:pt idx="381">
                  <c:v>46.462240336533242</c:v>
                </c:pt>
                <c:pt idx="382">
                  <c:v>46.180560416502018</c:v>
                </c:pt>
                <c:pt idx="383">
                  <c:v>45.899394302155457</c:v>
                </c:pt>
                <c:pt idx="384">
                  <c:v>45.618744081717729</c:v>
                </c:pt>
                <c:pt idx="385">
                  <c:v>45.338611804904922</c:v>
                </c:pt>
                <c:pt idx="386">
                  <c:v>45.058999483114626</c:v>
                </c:pt>
                <c:pt idx="387">
                  <c:v>44.779909089616972</c:v>
                </c:pt>
                <c:pt idx="388">
                  <c:v>44.501342559747215</c:v>
                </c:pt>
                <c:pt idx="389">
                  <c:v>44.223301791099857</c:v>
                </c:pt>
                <c:pt idx="390">
                  <c:v>43.945788643724178</c:v>
                </c:pt>
                <c:pt idx="391">
                  <c:v>43.668804940321131</c:v>
                </c:pt>
                <c:pt idx="392">
                  <c:v>43.392352466441572</c:v>
                </c:pt>
                <c:pt idx="393">
                  <c:v>43.116432970685821</c:v>
                </c:pt>
                <c:pt idx="394">
                  <c:v>42.841048164904599</c:v>
                </c:pt>
                <c:pt idx="395">
                  <c:v>42.566199724401024</c:v>
                </c:pt>
                <c:pt idx="396">
                  <c:v>42.291889288133973</c:v>
                </c:pt>
                <c:pt idx="397">
                  <c:v>42.018118458922473</c:v>
                </c:pt>
                <c:pt idx="398">
                  <c:v>41.744888803651349</c:v>
                </c:pt>
                <c:pt idx="399">
                  <c:v>41.472201853477841</c:v>
                </c:pt>
                <c:pt idx="400">
                  <c:v>41.200059104039312</c:v>
                </c:pt>
                <c:pt idx="401">
                  <c:v>40.860109707159488</c:v>
                </c:pt>
                <c:pt idx="402">
                  <c:v>40.452461495323973</c:v>
                </c:pt>
                <c:pt idx="403">
                  <c:v>40.045640280770115</c:v>
                </c:pt>
                <c:pt idx="404">
                  <c:v>39.639648837522536</c:v>
                </c:pt>
                <c:pt idx="405">
                  <c:v>39.234489867928396</c:v>
                </c:pt>
                <c:pt idx="406">
                  <c:v>38.830166003114059</c:v>
                </c:pt>
                <c:pt idx="407">
                  <c:v>38.426679803444387</c:v>
                </c:pt>
                <c:pt idx="408">
                  <c:v>38.024033758984793</c:v>
                </c:pt>
                <c:pt idx="409">
                  <c:v>37.622230289965685</c:v>
                </c:pt>
                <c:pt idx="410">
                  <c:v>37.221271747249247</c:v>
                </c:pt>
                <c:pt idx="411">
                  <c:v>36.443223001129027</c:v>
                </c:pt>
                <c:pt idx="412">
                  <c:v>35.288718787204793</c:v>
                </c:pt>
                <c:pt idx="413">
                  <c:v>34.136685484581385</c:v>
                </c:pt>
                <c:pt idx="414">
                  <c:v>32.987141559588146</c:v>
                </c:pt>
                <c:pt idx="415">
                  <c:v>31.840104968227902</c:v>
                </c:pt>
                <c:pt idx="416">
                  <c:v>30.695593159394885</c:v>
                </c:pt>
                <c:pt idx="417">
                  <c:v>29.553623078152789</c:v>
                </c:pt>
                <c:pt idx="418">
                  <c:v>28.414211169070981</c:v>
                </c:pt>
                <c:pt idx="419">
                  <c:v>27.277373379616893</c:v>
                </c:pt>
                <c:pt idx="420">
                  <c:v>25.928031333219533</c:v>
                </c:pt>
                <c:pt idx="421">
                  <c:v>24.366612164975979</c:v>
                </c:pt>
                <c:pt idx="422">
                  <c:v>22.80881865433976</c:v>
                </c:pt>
                <c:pt idx="423">
                  <c:v>21.254679814156528</c:v>
                </c:pt>
                <c:pt idx="424">
                  <c:v>19.704223745273339</c:v>
                </c:pt>
                <c:pt idx="425">
                  <c:v>18.157477642879581</c:v>
                </c:pt>
                <c:pt idx="426">
                  <c:v>16.614467802978549</c:v>
                </c:pt>
                <c:pt idx="427">
                  <c:v>15.075219628984813</c:v>
                </c:pt>
                <c:pt idx="428">
                  <c:v>13.539757638442298</c:v>
                </c:pt>
                <c:pt idx="429">
                  <c:v>12.008105469858927</c:v>
                </c:pt>
                <c:pt idx="430">
                  <c:v>10.480285889652839</c:v>
                </c:pt>
                <c:pt idx="431">
                  <c:v>8.9563207992054021</c:v>
                </c:pt>
                <c:pt idx="432">
                  <c:v>7.0894777761508845</c:v>
                </c:pt>
                <c:pt idx="433">
                  <c:v>4.8805794083030616</c:v>
                </c:pt>
                <c:pt idx="434">
                  <c:v>2.677432217221738</c:v>
                </c:pt>
                <c:pt idx="435">
                  <c:v>0.48008524759527016</c:v>
                </c:pt>
                <c:pt idx="436">
                  <c:v>-1.7114142566047252</c:v>
                </c:pt>
                <c:pt idx="437">
                  <c:v>-3.8970208379202944</c:v>
                </c:pt>
                <c:pt idx="438">
                  <c:v>-6.0766908108821127</c:v>
                </c:pt>
                <c:pt idx="439">
                  <c:v>-8.250382247175521</c:v>
                </c:pt>
                <c:pt idx="440">
                  <c:v>-10.418054960511519</c:v>
                </c:pt>
                <c:pt idx="441">
                  <c:v>-12.579670491215616</c:v>
                </c:pt>
                <c:pt idx="442">
                  <c:v>-14.524567455078866</c:v>
                </c:pt>
                <c:pt idx="443">
                  <c:v>-16.253289245250016</c:v>
                </c:pt>
                <c:pt idx="444">
                  <c:v>-17.977097311912814</c:v>
                </c:pt>
                <c:pt idx="445">
                  <c:v>-19.695976541705988</c:v>
                </c:pt>
                <c:pt idx="446">
                  <c:v>-21.409912852707876</c:v>
                </c:pt>
                <c:pt idx="447">
                  <c:v>-23.118893183002651</c:v>
                </c:pt>
                <c:pt idx="448">
                  <c:v>-24.822905479181241</c:v>
                </c:pt>
                <c:pt idx="449">
                  <c:v>-26.521938684783464</c:v>
                </c:pt>
                <c:pt idx="450">
                  <c:v>-28.21598272868702</c:v>
                </c:pt>
                <c:pt idx="451">
                  <c:v>-29.90502851344921</c:v>
                </c:pt>
                <c:pt idx="452">
                  <c:v>-31.589067903606932</c:v>
                </c:pt>
                <c:pt idx="453">
                  <c:v>-32.966495465784639</c:v>
                </c:pt>
                <c:pt idx="454">
                  <c:v>-34.038232202638142</c:v>
                </c:pt>
                <c:pt idx="455">
                  <c:v>-35.106863396266782</c:v>
                </c:pt>
                <c:pt idx="456">
                  <c:v>-36.172395103302428</c:v>
                </c:pt>
                <c:pt idx="457">
                  <c:v>-37.23483369605411</c:v>
                </c:pt>
                <c:pt idx="458">
                  <c:v>-38.294185857724543</c:v>
                </c:pt>
                <c:pt idx="459">
                  <c:v>-39.350458577654599</c:v>
                </c:pt>
                <c:pt idx="460">
                  <c:v>-40.403659146595757</c:v>
                </c:pt>
                <c:pt idx="461">
                  <c:v>-41.182400240385455</c:v>
                </c:pt>
                <c:pt idx="462">
                  <c:v>-41.687556964699361</c:v>
                </c:pt>
                <c:pt idx="463">
                  <c:v>-42.191427551361087</c:v>
                </c:pt>
                <c:pt idx="464">
                  <c:v>-42.69401920373025</c:v>
                </c:pt>
                <c:pt idx="465">
                  <c:v>-43.195339152632393</c:v>
                </c:pt>
                <c:pt idx="466">
                  <c:v>-43.923379207714603</c:v>
                </c:pt>
                <c:pt idx="467">
                  <c:v>-44.877410694590637</c:v>
                </c:pt>
                <c:pt idx="468">
                  <c:v>-48.367547040719572</c:v>
                </c:pt>
                <c:pt idx="469">
                  <c:v>-51.278446055524675</c:v>
                </c:pt>
                <c:pt idx="470">
                  <c:v>-51.073235036435122</c:v>
                </c:pt>
                <c:pt idx="471">
                  <c:v>-50.869162170658917</c:v>
                </c:pt>
                <c:pt idx="472">
                  <c:v>-50.666218982848527</c:v>
                </c:pt>
                <c:pt idx="473">
                  <c:v>-50.464397076996534</c:v>
                </c:pt>
                <c:pt idx="474">
                  <c:v>-50.26368813554226</c:v>
                </c:pt>
                <c:pt idx="475">
                  <c:v>-50.06408391848975</c:v>
                </c:pt>
                <c:pt idx="476">
                  <c:v>-49.865576262537481</c:v>
                </c:pt>
                <c:pt idx="477">
                  <c:v>-49.668157080219373</c:v>
                </c:pt>
                <c:pt idx="478">
                  <c:v>-49.471818359057224</c:v>
                </c:pt>
                <c:pt idx="479">
                  <c:v>-49.276552160724073</c:v>
                </c:pt>
                <c:pt idx="480">
                  <c:v>-49.082350620218527</c:v>
                </c:pt>
                <c:pt idx="481">
                  <c:v>-48.889205945049696</c:v>
                </c:pt>
                <c:pt idx="482">
                  <c:v>-48.697110414432935</c:v>
                </c:pt>
                <c:pt idx="483">
                  <c:v>-48.506056378495863</c:v>
                </c:pt>
                <c:pt idx="484">
                  <c:v>-48.316036257494673</c:v>
                </c:pt>
                <c:pt idx="485">
                  <c:v>-48.127042541040623</c:v>
                </c:pt>
                <c:pt idx="486">
                  <c:v>-47.939067787336299</c:v>
                </c:pt>
                <c:pt idx="487">
                  <c:v>-47.752104622422067</c:v>
                </c:pt>
                <c:pt idx="488">
                  <c:v>-47.566145739431775</c:v>
                </c:pt>
                <c:pt idx="489">
                  <c:v>-47.381183897858328</c:v>
                </c:pt>
                <c:pt idx="490">
                  <c:v>-47.197211922828501</c:v>
                </c:pt>
                <c:pt idx="491">
                  <c:v>-47.014222704386945</c:v>
                </c:pt>
                <c:pt idx="492">
                  <c:v>-46.832209196789599</c:v>
                </c:pt>
                <c:pt idx="493">
                  <c:v>-46.651164417805703</c:v>
                </c:pt>
                <c:pt idx="494">
                  <c:v>-46.471081448029047</c:v>
                </c:pt>
                <c:pt idx="495">
                  <c:v>-46.291953430197587</c:v>
                </c:pt>
                <c:pt idx="496">
                  <c:v>-46.113773568522049</c:v>
                </c:pt>
                <c:pt idx="497">
                  <c:v>-45.936535128022641</c:v>
                </c:pt>
                <c:pt idx="498">
                  <c:v>-45.760231433874416</c:v>
                </c:pt>
                <c:pt idx="499">
                  <c:v>-45.584855870760734</c:v>
                </c:pt>
                <c:pt idx="500">
                  <c:v>-45.410401882234794</c:v>
                </c:pt>
                <c:pt idx="501">
                  <c:v>-45.236862970089348</c:v>
                </c:pt>
                <c:pt idx="502">
                  <c:v>-43.528763676866355</c:v>
                </c:pt>
                <c:pt idx="503">
                  <c:v>-41.908007527388051</c:v>
                </c:pt>
                <c:pt idx="504">
                  <c:v>-40.368677528637015</c:v>
                </c:pt>
                <c:pt idx="505">
                  <c:v>-38.905354226701014</c:v>
                </c:pt>
                <c:pt idx="506">
                  <c:v>-37.513066028590636</c:v>
                </c:pt>
                <c:pt idx="507">
                  <c:v>-36.187245242727073</c:v>
                </c:pt>
                <c:pt idx="508">
                  <c:v>-34.923689095268806</c:v>
                </c:pt>
                <c:pt idx="509">
                  <c:v>-33.718525086571724</c:v>
                </c:pt>
                <c:pt idx="510">
                  <c:v>-32.568180142269675</c:v>
                </c:pt>
                <c:pt idx="511">
                  <c:v>-31.469353089622576</c:v>
                </c:pt>
                <c:pt idx="512">
                  <c:v>-30.418990054278833</c:v>
                </c:pt>
                <c:pt idx="513">
                  <c:v>-29.414262427375448</c:v>
                </c:pt>
                <c:pt idx="514">
                  <c:v>-28.452547099542674</c:v>
                </c:pt>
                <c:pt idx="515">
                  <c:v>-27.531408698205357</c:v>
                </c:pt>
                <c:pt idx="516">
                  <c:v>-26.6485835986587</c:v>
                </c:pt>
                <c:pt idx="517">
                  <c:v>-25.801965508644141</c:v>
                </c:pt>
                <c:pt idx="518">
                  <c:v>-24.98959245130612</c:v>
                </c:pt>
                <c:pt idx="519">
                  <c:v>-24.2096349930946</c:v>
                </c:pt>
                <c:pt idx="520">
                  <c:v>-23.460385581913975</c:v>
                </c:pt>
                <c:pt idx="521">
                  <c:v>-22.740248877039754</c:v>
                </c:pt>
                <c:pt idx="522">
                  <c:v>-22.047732966399881</c:v>
                </c:pt>
                <c:pt idx="523">
                  <c:v>-21.381441379053996</c:v>
                </c:pt>
                <c:pt idx="524">
                  <c:v>-20.740065811364737</c:v>
                </c:pt>
                <c:pt idx="525">
                  <c:v>-20.12237949465959</c:v>
                </c:pt>
                <c:pt idx="526">
                  <c:v>-19.527231140318538</c:v>
                </c:pt>
                <c:pt idx="527">
                  <c:v>-18.953539405351133</c:v>
                </c:pt>
                <c:pt idx="528">
                  <c:v>-18.400287827781877</c:v>
                </c:pt>
                <c:pt idx="529">
                  <c:v>-17.86652018666306</c:v>
                </c:pt>
                <c:pt idx="530">
                  <c:v>-17.351336246376736</c:v>
                </c:pt>
                <c:pt idx="531">
                  <c:v>-16.853887849159289</c:v>
                </c:pt>
                <c:pt idx="532">
                  <c:v>-16.373375323556285</c:v>
                </c:pt>
                <c:pt idx="533">
                  <c:v>-15.909044179853865</c:v>
                </c:pt>
                <c:pt idx="534">
                  <c:v>-15.460182066492699</c:v>
                </c:pt>
                <c:pt idx="535">
                  <c:v>-15.026115964096117</c:v>
                </c:pt>
                <c:pt idx="536">
                  <c:v>-14.606209596078296</c:v>
                </c:pt>
                <c:pt idx="537">
                  <c:v>-14.199861036875582</c:v>
                </c:pt>
                <c:pt idx="538">
                  <c:v>-13.806500500695245</c:v>
                </c:pt>
                <c:pt idx="539">
                  <c:v>-13.425588295328277</c:v>
                </c:pt>
                <c:pt idx="540">
                  <c:v>-13.056612927049043</c:v>
                </c:pt>
                <c:pt idx="541">
                  <c:v>-12.699089343945795</c:v>
                </c:pt>
                <c:pt idx="542">
                  <c:v>-12.352557306209139</c:v>
                </c:pt>
                <c:pt idx="543">
                  <c:v>-12.016579872967306</c:v>
                </c:pt>
                <c:pt idx="544">
                  <c:v>-11.690741996210155</c:v>
                </c:pt>
                <c:pt idx="545">
                  <c:v>-11.374649213200922</c:v>
                </c:pt>
                <c:pt idx="546">
                  <c:v>-11.067926429546073</c:v>
                </c:pt>
                <c:pt idx="547">
                  <c:v>-10.770216785788914</c:v>
                </c:pt>
                <c:pt idx="548">
                  <c:v>-10.481180601019528</c:v>
                </c:pt>
                <c:pt idx="549">
                  <c:v>-10.20049438756018</c:v>
                </c:pt>
                <c:pt idx="550">
                  <c:v>-9.9278499312969757</c:v>
                </c:pt>
                <c:pt idx="551">
                  <c:v>-9.6629534326922109</c:v>
                </c:pt>
                <c:pt idx="552">
                  <c:v>-9.4055247039313805</c:v>
                </c:pt>
                <c:pt idx="553">
                  <c:v>-9.1552964180393186</c:v>
                </c:pt>
                <c:pt idx="554">
                  <c:v>-8.9120134061456096</c:v>
                </c:pt>
                <c:pt idx="555">
                  <c:v>-8.6754319993930427</c:v>
                </c:pt>
                <c:pt idx="556">
                  <c:v>-8.4453194122683435</c:v>
                </c:pt>
                <c:pt idx="557">
                  <c:v>-8.2214531643941537</c:v>
                </c:pt>
                <c:pt idx="558">
                  <c:v>-8.003620538057918</c:v>
                </c:pt>
                <c:pt idx="559">
                  <c:v>-7.7916180689689973</c:v>
                </c:pt>
                <c:pt idx="560">
                  <c:v>-7.5852510679323597</c:v>
                </c:pt>
                <c:pt idx="561">
                  <c:v>-7.3843331713070439</c:v>
                </c:pt>
                <c:pt idx="562">
                  <c:v>-7.1886859182817853</c:v>
                </c:pt>
                <c:pt idx="563">
                  <c:v>-6.9981383531510124</c:v>
                </c:pt>
                <c:pt idx="564">
                  <c:v>-6.812526650911674</c:v>
                </c:pt>
                <c:pt idx="565">
                  <c:v>-6.6316937646279737</c:v>
                </c:pt>
                <c:pt idx="566">
                  <c:v>-6.4554890931264701</c:v>
                </c:pt>
                <c:pt idx="567">
                  <c:v>-6.2837681676904511</c:v>
                </c:pt>
                <c:pt idx="568">
                  <c:v>-6.1163923565199392</c:v>
                </c:pt>
                <c:pt idx="569">
                  <c:v>-5.9532285858132497</c:v>
                </c:pt>
                <c:pt idx="570">
                  <c:v>-5.7941490764086918</c:v>
                </c:pt>
                <c:pt idx="571">
                  <c:v>-5.6390310950006457</c:v>
                </c:pt>
                <c:pt idx="572">
                  <c:v>-5.487756719014353</c:v>
                </c:pt>
                <c:pt idx="573">
                  <c:v>-5.3402126142880633</c:v>
                </c:pt>
                <c:pt idx="574">
                  <c:v>-5.1962898247706386</c:v>
                </c:pt>
                <c:pt idx="575">
                  <c:v>-5.0558835734975922</c:v>
                </c:pt>
                <c:pt idx="576">
                  <c:v>-4.918893074159099</c:v>
                </c:pt>
                <c:pt idx="577">
                  <c:v>-4.7852213526203817</c:v>
                </c:pt>
                <c:pt idx="578">
                  <c:v>-4.6547750777981687</c:v>
                </c:pt>
                <c:pt idx="579">
                  <c:v>-4.5274644013368768</c:v>
                </c:pt>
                <c:pt idx="580">
                  <c:v>-4.4032028055653365</c:v>
                </c:pt>
                <c:pt idx="581">
                  <c:v>-4.2819069592491728</c:v>
                </c:pt>
                <c:pt idx="582">
                  <c:v>-4.1634965806857949</c:v>
                </c:pt>
                <c:pt idx="583">
                  <c:v>-4.0478943077184821</c:v>
                </c:pt>
                <c:pt idx="584">
                  <c:v>-3.935025574273443</c:v>
                </c:pt>
                <c:pt idx="585">
                  <c:v>-3.8248184930491802</c:v>
                </c:pt>
                <c:pt idx="586">
                  <c:v>-3.7172037440111376</c:v>
                </c:pt>
                <c:pt idx="587">
                  <c:v>-3.6121144683665261</c:v>
                </c:pt>
                <c:pt idx="588">
                  <c:v>-3.5094861677147526</c:v>
                </c:pt>
                <c:pt idx="589">
                  <c:v>-3.4092566080877833</c:v>
                </c:pt>
                <c:pt idx="590">
                  <c:v>-3.3113657286125968</c:v>
                </c:pt>
                <c:pt idx="591">
                  <c:v>-3.2157555545442635</c:v>
                </c:pt>
                <c:pt idx="592">
                  <c:v>-3.1223701144336449</c:v>
                </c:pt>
                <c:pt idx="593">
                  <c:v>-3.0311553612080018</c:v>
                </c:pt>
                <c:pt idx="594">
                  <c:v>-2.9420590969561715</c:v>
                </c:pt>
                <c:pt idx="595">
                  <c:v>-2.8550309012224688</c:v>
                </c:pt>
                <c:pt idx="596">
                  <c:v>-2.7700220626251562</c:v>
                </c:pt>
                <c:pt idx="597">
                  <c:v>-2.6869855136261096</c:v>
                </c:pt>
                <c:pt idx="598">
                  <c:v>-2.6058757682886475</c:v>
                </c:pt>
                <c:pt idx="599">
                  <c:v>-2.5266488628698616</c:v>
                </c:pt>
                <c:pt idx="600">
                  <c:v>-2.4492622991028052</c:v>
                </c:pt>
                <c:pt idx="601">
                  <c:v>-2.3736749900321392</c:v>
                </c:pt>
                <c:pt idx="602">
                  <c:v>-2.2998472082747541</c:v>
                </c:pt>
                <c:pt idx="603">
                  <c:v>-2.227740536584081</c:v>
                </c:pt>
                <c:pt idx="604">
                  <c:v>-2.1573178206037502</c:v>
                </c:pt>
                <c:pt idx="605">
                  <c:v>-2.0885431237026428</c:v>
                </c:pt>
                <c:pt idx="606">
                  <c:v>-2.0213816837894201</c:v>
                </c:pt>
                <c:pt idx="607">
                  <c:v>-1.9557998720102712</c:v>
                </c:pt>
                <c:pt idx="608">
                  <c:v>-1.8917651532389383</c:v>
                </c:pt>
                <c:pt idx="609">
                  <c:v>-1.8292460482730506</c:v>
                </c:pt>
                <c:pt idx="610">
                  <c:v>-1.7682120976555165</c:v>
                </c:pt>
                <c:pt idx="611">
                  <c:v>-1.7086338270440757</c:v>
                </c:pt>
                <c:pt idx="612">
                  <c:v>-1.6504827140563274</c:v>
                </c:pt>
                <c:pt idx="613">
                  <c:v>-1.5937311565213661</c:v>
                </c:pt>
                <c:pt idx="614">
                  <c:v>-1.5383524420728873</c:v>
                </c:pt>
                <c:pt idx="615">
                  <c:v>-1.4843207190220222</c:v>
                </c:pt>
                <c:pt idx="616">
                  <c:v>-1.4316109684514491</c:v>
                </c:pt>
                <c:pt idx="617">
                  <c:v>-1.380198977475354</c:v>
                </c:pt>
                <c:pt idx="618">
                  <c:v>-1.3300613136127086</c:v>
                </c:pt>
                <c:pt idx="619">
                  <c:v>-1.2811753002240283</c:v>
                </c:pt>
                <c:pt idx="620">
                  <c:v>-1.2335189929643531</c:v>
                </c:pt>
                <c:pt idx="621">
                  <c:v>-1.1870711572075758</c:v>
                </c:pt>
                <c:pt idx="622">
                  <c:v>-1.1418112463995165</c:v>
                </c:pt>
                <c:pt idx="623">
                  <c:v>-1.0977193812992805</c:v>
                </c:pt>
                <c:pt idx="624">
                  <c:v>-1.0547763300704511</c:v>
                </c:pt>
                <c:pt idx="625">
                  <c:v>-1.0129634891855503</c:v>
                </c:pt>
                <c:pt idx="626">
                  <c:v>-0.97226286510899373</c:v>
                </c:pt>
                <c:pt idx="627">
                  <c:v>-0.93265705672543153</c:v>
                </c:pt>
                <c:pt idx="628">
                  <c:v>-0.89412923848195347</c:v>
                </c:pt>
                <c:pt idx="629">
                  <c:v>-0.85666314421409739</c:v>
                </c:pt>
                <c:pt idx="630">
                  <c:v>-0.82024305162699163</c:v>
                </c:pt>
                <c:pt idx="631">
                  <c:v>-0.78485376740425539</c:v>
                </c:pt>
                <c:pt idx="632">
                  <c:v>-0.75048061291846724</c:v>
                </c:pt>
                <c:pt idx="633">
                  <c:v>-0.71710941051815014</c:v>
                </c:pt>
                <c:pt idx="634">
                  <c:v>-0.68472647036722034</c:v>
                </c:pt>
                <c:pt idx="635">
                  <c:v>-0.65331857781381353</c:v>
                </c:pt>
                <c:pt idx="636">
                  <c:v>-0.62287298126623281</c:v>
                </c:pt>
                <c:pt idx="637">
                  <c:v>-0.59337738055452893</c:v>
                </c:pt>
                <c:pt idx="638">
                  <c:v>-0.56481991575689183</c:v>
                </c:pt>
                <c:pt idx="639">
                  <c:v>-0.53718915647058496</c:v>
                </c:pt>
                <c:pt idx="640">
                  <c:v>-0.51047409150761414</c:v>
                </c:pt>
                <c:pt idx="641">
                  <c:v>-0.48466411899566147</c:v>
                </c:pt>
                <c:pt idx="642">
                  <c:v>-0.45974903686501095</c:v>
                </c:pt>
                <c:pt idx="643">
                  <c:v>-0.43571903370225779</c:v>
                </c:pt>
                <c:pt idx="644">
                  <c:v>-0.41256467995148904</c:v>
                </c:pt>
                <c:pt idx="645">
                  <c:v>-0.39027691944331944</c:v>
                </c:pt>
                <c:pt idx="646">
                  <c:v>-0.36884706123166</c:v>
                </c:pt>
                <c:pt idx="647">
                  <c:v>-0.34826677171732479</c:v>
                </c:pt>
                <c:pt idx="648">
                  <c:v>-0.3285280670365156</c:v>
                </c:pt>
                <c:pt idx="649">
                  <c:v>-0.30962330569081908</c:v>
                </c:pt>
                <c:pt idx="650">
                  <c:v>-0.29154518139351815</c:v>
                </c:pt>
                <c:pt idx="651">
                  <c:v>-0.27428671610473221</c:v>
                </c:pt>
                <c:pt idx="652">
                  <c:v>-0.25784125322502871</c:v>
                </c:pt>
                <c:pt idx="653">
                  <c:v>-0.24220245091363177</c:v>
                </c:pt>
                <c:pt idx="654">
                  <c:v>-0.22736427549307994</c:v>
                </c:pt>
                <c:pt idx="655">
                  <c:v>-0.21332099489703174</c:v>
                </c:pt>
                <c:pt idx="656">
                  <c:v>-0.20006717211179223</c:v>
                </c:pt>
                <c:pt idx="657">
                  <c:v>-0.1875976585549369</c:v>
                </c:pt>
                <c:pt idx="658">
                  <c:v>-0.17590758732605358</c:v>
                </c:pt>
                <c:pt idx="659">
                  <c:v>-0.16499236625513836</c:v>
                </c:pt>
                <c:pt idx="660">
                  <c:v>-0.15484767066362859</c:v>
                </c:pt>
                <c:pt idx="661">
                  <c:v>-0.14546943574171389</c:v>
                </c:pt>
                <c:pt idx="662">
                  <c:v>-0.1368538484339174</c:v>
                </c:pt>
                <c:pt idx="663">
                  <c:v>-0.12899733871379779</c:v>
                </c:pt>
                <c:pt idx="664">
                  <c:v>-0.12189657011923338</c:v>
                </c:pt>
                <c:pt idx="665">
                  <c:v>-0.11554842941383457</c:v>
                </c:pt>
                <c:pt idx="666">
                  <c:v>-0.10995001523985924</c:v>
                </c:pt>
                <c:pt idx="667">
                  <c:v>-0.10509862563626805</c:v>
                </c:pt>
                <c:pt idx="668">
                  <c:v>-0.10099174431514372</c:v>
                </c:pt>
                <c:pt idx="669">
                  <c:v>-9.7627025623190949E-2</c:v>
                </c:pt>
                <c:pt idx="670">
                  <c:v>-9.5002278163991427E-2</c:v>
                </c:pt>
                <c:pt idx="671">
                  <c:v>-9.3115447120762918E-2</c:v>
                </c:pt>
                <c:pt idx="672">
                  <c:v>-9.1964595395468515E-2</c:v>
                </c:pt>
                <c:pt idx="673">
                  <c:v>-9.1547883762021817E-2</c:v>
                </c:pt>
                <c:pt idx="674">
                  <c:v>-9.1863550309988218E-2</c:v>
                </c:pt>
                <c:pt idx="675">
                  <c:v>-9.2909889520099861E-2</c:v>
                </c:pt>
                <c:pt idx="676">
                  <c:v>-9.4685231354246127E-2</c:v>
                </c:pt>
                <c:pt idx="677">
                  <c:v>-9.7187920753627616E-2</c:v>
                </c:pt>
                <c:pt idx="678">
                  <c:v>-0.10041629791759007</c:v>
                </c:pt>
                <c:pt idx="679">
                  <c:v>-0.10436867968583741</c:v>
                </c:pt>
                <c:pt idx="680">
                  <c:v>-0.10904334227623258</c:v>
                </c:pt>
                <c:pt idx="681">
                  <c:v>-0.11443850554955827</c:v>
                </c:pt>
                <c:pt idx="682">
                  <c:v>-0.12055231889170344</c:v>
                </c:pt>
                <c:pt idx="683">
                  <c:v>-0.12738284873102873</c:v>
                </c:pt>
                <c:pt idx="684">
                  <c:v>-0.13492806764940293</c:v>
                </c:pt>
                <c:pt idx="685">
                  <c:v>-0.14318584500172779</c:v>
                </c:pt>
                <c:pt idx="686">
                  <c:v>-0.1521539389303242</c:v>
                </c:pt>
                <c:pt idx="687">
                  <c:v>-0.1618299896453321</c:v>
                </c:pt>
                <c:pt idx="688">
                  <c:v>-0.17221151383750866</c:v>
                </c:pt>
                <c:pt idx="689">
                  <c:v>-0.18329590009259589</c:v>
                </c:pt>
                <c:pt idx="690">
                  <c:v>-0.19508040518418879</c:v>
                </c:pt>
                <c:pt idx="691">
                  <c:v>-0.20756215113263854</c:v>
                </c:pt>
                <c:pt idx="692">
                  <c:v>-0.22073812292942249</c:v>
                </c:pt>
                <c:pt idx="693">
                  <c:v>-0.23460516683849003</c:v>
                </c:pt>
                <c:pt idx="694">
                  <c:v>-0.24915998919765717</c:v>
                </c:pt>
                <c:pt idx="695">
                  <c:v>-0.26439915565377686</c:v>
                </c:pt>
                <c:pt idx="696">
                  <c:v>-0.28031909077495409</c:v>
                </c:pt>
                <c:pt idx="697">
                  <c:v>-0.29691607799144926</c:v>
                </c:pt>
                <c:pt idx="698">
                  <c:v>-0.31418625982417858</c:v>
                </c:pt>
                <c:pt idx="699">
                  <c:v>-0.3321256383659239</c:v>
                </c:pt>
                <c:pt idx="700">
                  <c:v>-0.35073007598564443</c:v>
                </c:pt>
                <c:pt idx="701">
                  <c:v>-0.36999529623073879</c:v>
                </c:pt>
                <c:pt idx="702">
                  <c:v>-0.38991688490585114</c:v>
                </c:pt>
                <c:pt idx="703">
                  <c:v>-0.41049029130995601</c:v>
                </c:pt>
                <c:pt idx="704">
                  <c:v>-0.43171082961608159</c:v>
                </c:pt>
                <c:pt idx="705">
                  <c:v>-0.45357368038023144</c:v>
                </c:pt>
                <c:pt idx="706">
                  <c:v>-0.47607389216789109</c:v>
                </c:pt>
                <c:pt idx="707">
                  <c:v>-0.49920638328804307</c:v>
                </c:pt>
                <c:pt idx="708">
                  <c:v>-0.52296594362588822</c:v>
                </c:pt>
                <c:pt idx="709">
                  <c:v>-0.54734723656654416</c:v>
                </c:pt>
                <c:pt idx="710">
                  <c:v>-0.57234480100288065</c:v>
                </c:pt>
                <c:pt idx="711">
                  <c:v>-0.59795305342140703</c:v>
                </c:pt>
                <c:pt idx="712">
                  <c:v>-0.62416629006075275</c:v>
                </c:pt>
                <c:pt idx="713">
                  <c:v>-0.65097868913780343</c:v>
                </c:pt>
                <c:pt idx="714">
                  <c:v>-0.67838431313701419</c:v>
                </c:pt>
                <c:pt idx="715">
                  <c:v>-0.70637711115877921</c:v>
                </c:pt>
                <c:pt idx="716">
                  <c:v>-0.7349509213230625</c:v>
                </c:pt>
                <c:pt idx="717">
                  <c:v>-0.76409947322476213</c:v>
                </c:pt>
                <c:pt idx="718">
                  <c:v>-0.79381639043750052</c:v>
                </c:pt>
                <c:pt idx="719">
                  <c:v>-0.82409519306273804</c:v>
                </c:pt>
                <c:pt idx="720">
                  <c:v>-0.85492930032125503</c:v>
                </c:pt>
                <c:pt idx="721">
                  <c:v>-0.88631203318420448</c:v>
                </c:pt>
                <c:pt idx="722">
                  <c:v>-0.91823661704104975</c:v>
                </c:pt>
                <c:pt idx="723">
                  <c:v>-0.95069618440180781</c:v>
                </c:pt>
                <c:pt idx="724">
                  <c:v>-0.98368377763110693</c:v>
                </c:pt>
                <c:pt idx="725">
                  <c:v>-1.0171923517116539</c:v>
                </c:pt>
                <c:pt idx="726">
                  <c:v>-1.0512147770347602</c:v>
                </c:pt>
                <c:pt idx="727">
                  <c:v>-1.0857438422156593</c:v>
                </c:pt>
                <c:pt idx="728">
                  <c:v>-1.1207722569313763</c:v>
                </c:pt>
                <c:pt idx="729">
                  <c:v>-1.1562926547789816</c:v>
                </c:pt>
                <c:pt idx="730">
                  <c:v>-1.1922975961520914</c:v>
                </c:pt>
                <c:pt idx="731">
                  <c:v>-1.2287795711335221</c:v>
                </c:pt>
                <c:pt idx="732">
                  <c:v>-1.2657310024020472</c:v>
                </c:pt>
                <c:pt idx="733">
                  <c:v>-1.3031442481512256</c:v>
                </c:pt>
                <c:pt idx="734">
                  <c:v>-1.3410116050183296</c:v>
                </c:pt>
                <c:pt idx="735">
                  <c:v>-1.3793253110213974</c:v>
                </c:pt>
                <c:pt idx="736">
                  <c:v>-1.4180775485025068</c:v>
                </c:pt>
                <c:pt idx="737">
                  <c:v>-1.4572604470753436</c:v>
                </c:pt>
                <c:pt idx="738">
                  <c:v>-1.496866086575233</c:v>
                </c:pt>
                <c:pt idx="739">
                  <c:v>-1.536886500009758</c:v>
                </c:pt>
                <c:pt idx="740">
                  <c:v>-1.5773136765081814</c:v>
                </c:pt>
                <c:pt idx="741">
                  <c:v>-1.6181395642678804</c:v>
                </c:pt>
                <c:pt idx="742">
                  <c:v>-1.6593560734960295</c:v>
                </c:pt>
                <c:pt idx="743">
                  <c:v>-1.7009550793448209</c:v>
                </c:pt>
                <c:pt idx="744">
                  <c:v>-1.7429284248385155</c:v>
                </c:pt>
                <c:pt idx="745">
                  <c:v>-1.785267923790665</c:v>
                </c:pt>
                <c:pt idx="746">
                  <c:v>-1.8279653637098583</c:v>
                </c:pt>
                <c:pt idx="747">
                  <c:v>-1.8710125086923957</c:v>
                </c:pt>
                <c:pt idx="748">
                  <c:v>-1.9144011023003005</c:v>
                </c:pt>
                <c:pt idx="749">
                  <c:v>-1.9581228704231357</c:v>
                </c:pt>
                <c:pt idx="750">
                  <c:v>-2.0021695241221078</c:v>
                </c:pt>
                <c:pt idx="751">
                  <c:v>-2.0465327624549747</c:v>
                </c:pt>
                <c:pt idx="752">
                  <c:v>-2.0912042752803006</c:v>
                </c:pt>
                <c:pt idx="753">
                  <c:v>-2.1361757460396777</c:v>
                </c:pt>
                <c:pt idx="754">
                  <c:v>-2.1814388545164816</c:v>
                </c:pt>
                <c:pt idx="755">
                  <c:v>-2.2269852795698588</c:v>
                </c:pt>
                <c:pt idx="756">
                  <c:v>-2.272806701842621</c:v>
                </c:pt>
                <c:pt idx="757">
                  <c:v>-2.3188948064417554</c:v>
                </c:pt>
                <c:pt idx="758">
                  <c:v>-2.3652412855903444</c:v>
                </c:pt>
                <c:pt idx="759">
                  <c:v>-2.4118378412496564</c:v>
                </c:pt>
                <c:pt idx="760">
                  <c:v>-2.4586761877102719</c:v>
                </c:pt>
                <c:pt idx="761">
                  <c:v>-2.5057480541511001</c:v>
                </c:pt>
                <c:pt idx="762">
                  <c:v>-2.5530451871652002</c:v>
                </c:pt>
                <c:pt idx="763">
                  <c:v>-2.6005593532513549</c:v>
                </c:pt>
                <c:pt idx="764">
                  <c:v>-2.648282341270384</c:v>
                </c:pt>
                <c:pt idx="765">
                  <c:v>-2.6962059648652241</c:v>
                </c:pt>
                <c:pt idx="766">
                  <c:v>-2.7443220648438298</c:v>
                </c:pt>
                <c:pt idx="767">
                  <c:v>-2.7926225115240095</c:v>
                </c:pt>
                <c:pt idx="768">
                  <c:v>-2.841099207039337</c:v>
                </c:pt>
                <c:pt idx="769">
                  <c:v>-2.8897440876053051</c:v>
                </c:pt>
                <c:pt idx="770">
                  <c:v>-2.9385491257449687</c:v>
                </c:pt>
                <c:pt idx="771">
                  <c:v>-2.9875063324733109</c:v>
                </c:pt>
                <c:pt idx="772">
                  <c:v>-3.0366077594396579</c:v>
                </c:pt>
                <c:pt idx="773">
                  <c:v>-3.0858455010274488</c:v>
                </c:pt>
                <c:pt idx="774">
                  <c:v>-3.135211696410777</c:v>
                </c:pt>
                <c:pt idx="775">
                  <c:v>-3.1846985315670926</c:v>
                </c:pt>
                <c:pt idx="776">
                  <c:v>-3.2342982412455403</c:v>
                </c:pt>
                <c:pt idx="777">
                  <c:v>-3.284003110890414</c:v>
                </c:pt>
                <c:pt idx="778">
                  <c:v>-3.3338054785192752</c:v>
                </c:pt>
                <c:pt idx="779">
                  <c:v>-3.383697736555312</c:v>
                </c:pt>
                <c:pt idx="780">
                  <c:v>-3.4336723336135249</c:v>
                </c:pt>
                <c:pt idx="781">
                  <c:v>-3.4837217762404307</c:v>
                </c:pt>
                <c:pt idx="782">
                  <c:v>-3.5338386306069305</c:v>
                </c:pt>
                <c:pt idx="783">
                  <c:v>-3.5840155241541041</c:v>
                </c:pt>
                <c:pt idx="784">
                  <c:v>-3.6342451471916513</c:v>
                </c:pt>
                <c:pt idx="785">
                  <c:v>-3.6845202544488194</c:v>
                </c:pt>
                <c:pt idx="786">
                  <c:v>-3.7348336665776256</c:v>
                </c:pt>
                <c:pt idx="787">
                  <c:v>-3.7851782716082578</c:v>
                </c:pt>
                <c:pt idx="788">
                  <c:v>-3.8355470263565374</c:v>
                </c:pt>
                <c:pt idx="789">
                  <c:v>-3.8859329577834201</c:v>
                </c:pt>
                <c:pt idx="790">
                  <c:v>-3.9363291643064588</c:v>
                </c:pt>
                <c:pt idx="791">
                  <c:v>-3.9867288170632955</c:v>
                </c:pt>
                <c:pt idx="792">
                  <c:v>-4.0371251611271592</c:v>
                </c:pt>
                <c:pt idx="793">
                  <c:v>-4.0875115166744971</c:v>
                </c:pt>
                <c:pt idx="794">
                  <c:v>-4.1378812801047733</c:v>
                </c:pt>
                <c:pt idx="795">
                  <c:v>-4.1882279251126837</c:v>
                </c:pt>
                <c:pt idx="796">
                  <c:v>-4.2385450037127974</c:v>
                </c:pt>
                <c:pt idx="797">
                  <c:v>-4.2888261472169695</c:v>
                </c:pt>
                <c:pt idx="798">
                  <c:v>-4.3390650671646256</c:v>
                </c:pt>
                <c:pt idx="799">
                  <c:v>-4.3892555562062583</c:v>
                </c:pt>
                <c:pt idx="800">
                  <c:v>-4.4393914889403572</c:v>
                </c:pt>
                <c:pt idx="801">
                  <c:v>-4.4894668227040926</c:v>
                </c:pt>
                <c:pt idx="802">
                  <c:v>-4.5394755983181083</c:v>
                </c:pt>
                <c:pt idx="803">
                  <c:v>-4.5894119407857286</c:v>
                </c:pt>
                <c:pt idx="804">
                  <c:v>-4.6392700599470018</c:v>
                </c:pt>
                <c:pt idx="805">
                  <c:v>-4.6890442510879708</c:v>
                </c:pt>
                <c:pt idx="806">
                  <c:v>-4.73872889550558</c:v>
                </c:pt>
                <c:pt idx="807">
                  <c:v>-4.7883184610286813</c:v>
                </c:pt>
                <c:pt idx="808">
                  <c:v>-4.8378075024956235</c:v>
                </c:pt>
                <c:pt idx="809">
                  <c:v>-4.8871906621888686</c:v>
                </c:pt>
                <c:pt idx="810">
                  <c:v>-4.9364626702271899</c:v>
                </c:pt>
                <c:pt idx="811">
                  <c:v>-4.9856183449159444</c:v>
                </c:pt>
                <c:pt idx="812">
                  <c:v>-5.0346525930559887</c:v>
                </c:pt>
                <c:pt idx="813">
                  <c:v>-5.0835604102117875</c:v>
                </c:pt>
                <c:pt idx="814">
                  <c:v>-5.1323368809392838</c:v>
                </c:pt>
                <c:pt idx="815">
                  <c:v>-5.1809771789741559</c:v>
                </c:pt>
                <c:pt idx="816">
                  <c:v>-5.2294765673810257</c:v>
                </c:pt>
                <c:pt idx="817">
                  <c:v>-5.2778303986642685</c:v>
                </c:pt>
                <c:pt idx="818">
                  <c:v>-5.3260341148410699</c:v>
                </c:pt>
                <c:pt idx="819">
                  <c:v>-5.3740832474773264</c:v>
                </c:pt>
                <c:pt idx="820">
                  <c:v>-5.4219734176871084</c:v>
                </c:pt>
                <c:pt idx="821">
                  <c:v>-5.4697003360963308</c:v>
                </c:pt>
                <c:pt idx="822">
                  <c:v>-5.5172598027712612</c:v>
                </c:pt>
                <c:pt idx="823">
                  <c:v>-5.5646477071126563</c:v>
                </c:pt>
                <c:pt idx="824">
                  <c:v>-5.6118600277161308</c:v>
                </c:pt>
                <c:pt idx="825">
                  <c:v>-5.6588928321995109</c:v>
                </c:pt>
                <c:pt idx="826">
                  <c:v>-5.7057422769978485</c:v>
                </c:pt>
                <c:pt idx="827">
                  <c:v>-5.7524046071268771</c:v>
                </c:pt>
                <c:pt idx="828">
                  <c:v>-5.7988761559155391</c:v>
                </c:pt>
                <c:pt idx="829">
                  <c:v>-5.8451533447083985</c:v>
                </c:pt>
                <c:pt idx="830">
                  <c:v>-5.8912326825386216</c:v>
                </c:pt>
                <c:pt idx="831">
                  <c:v>-5.9371107657722737</c:v>
                </c:pt>
                <c:pt idx="832">
                  <c:v>-5.9827842777246598</c:v>
                </c:pt>
                <c:pt idx="833">
                  <c:v>-6.0282499882494838</c:v>
                </c:pt>
                <c:pt idx="834">
                  <c:v>-6.0735047533015214</c:v>
                </c:pt>
                <c:pt idx="835">
                  <c:v>-6.1185455144735696</c:v>
                </c:pt>
                <c:pt idx="836">
                  <c:v>-6.1633692985084254</c:v>
                </c:pt>
                <c:pt idx="837">
                  <c:v>-6.2079732167866348</c:v>
                </c:pt>
                <c:pt idx="838">
                  <c:v>-6.252354464790705</c:v>
                </c:pt>
                <c:pt idx="839">
                  <c:v>-6.296510321546628</c:v>
                </c:pt>
                <c:pt idx="840">
                  <c:v>-6.3404381490433188</c:v>
                </c:pt>
                <c:pt idx="841">
                  <c:v>-6.3841353916307915</c:v>
                </c:pt>
                <c:pt idx="842">
                  <c:v>-6.4275995753978243</c:v>
                </c:pt>
                <c:pt idx="843">
                  <c:v>-6.4708283075297368</c:v>
                </c:pt>
                <c:pt idx="844">
                  <c:v>-6.513819275647128</c:v>
                </c:pt>
                <c:pt idx="845">
                  <c:v>-6.5565702471262082</c:v>
                </c:pt>
                <c:pt idx="846">
                  <c:v>-6.5990790684014717</c:v>
                </c:pt>
                <c:pt idx="847">
                  <c:v>-6.6413436642514352</c:v>
                </c:pt>
                <c:pt idx="848">
                  <c:v>-6.6833620370681279</c:v>
                </c:pt>
                <c:pt idx="849">
                  <c:v>-6.7251322661110233</c:v>
                </c:pt>
                <c:pt idx="850">
                  <c:v>-6.7666525067461363</c:v>
                </c:pt>
                <c:pt idx="851">
                  <c:v>-6.8079209896709374</c:v>
                </c:pt>
                <c:pt idx="852">
                  <c:v>-6.8489360201257812</c:v>
                </c:pt>
                <c:pt idx="853">
                  <c:v>-6.8896959770925257</c:v>
                </c:pt>
                <c:pt idx="854">
                  <c:v>-6.9301993124809798</c:v>
                </c:pt>
                <c:pt idx="855">
                  <c:v>-6.9704445503038697</c:v>
                </c:pt>
                <c:pt idx="856">
                  <c:v>-7.0104302858409211</c:v>
                </c:pt>
                <c:pt idx="857">
                  <c:v>-7.0501551847927564</c:v>
                </c:pt>
                <c:pt idx="858">
                  <c:v>-7.089617982425179</c:v>
                </c:pt>
                <c:pt idx="859">
                  <c:v>-7.1288174827045081</c:v>
                </c:pt>
                <c:pt idx="860">
                  <c:v>-7.1677525574245395</c:v>
                </c:pt>
                <c:pt idx="861">
                  <c:v>-7.206422145325738</c:v>
                </c:pt>
                <c:pt idx="862">
                  <c:v>-7.2448252512073061</c:v>
                </c:pt>
                <c:pt idx="863">
                  <c:v>-7.2829609450326149</c:v>
                </c:pt>
                <c:pt idx="864">
                  <c:v>-7.3208283610286529</c:v>
                </c:pt>
                <c:pt idx="865">
                  <c:v>-7.3584266967799872</c:v>
                </c:pt>
                <c:pt idx="866">
                  <c:v>-7.3957552123178631</c:v>
                </c:pt>
                <c:pt idx="867">
                  <c:v>-7.4328132292049096</c:v>
                </c:pt>
                <c:pt idx="868">
                  <c:v>-7.4696001296159773</c:v>
                </c:pt>
                <c:pt idx="869">
                  <c:v>-7.5061153554157327</c:v>
                </c:pt>
                <c:pt idx="870">
                  <c:v>-7.5423584072333547</c:v>
                </c:pt>
                <c:pt idx="871">
                  <c:v>-7.5783288435349787</c:v>
                </c:pt>
                <c:pt idx="872">
                  <c:v>-7.6140262796942801</c:v>
                </c:pt>
                <c:pt idx="873">
                  <c:v>-7.6494503870616839</c:v>
                </c:pt>
                <c:pt idx="874">
                  <c:v>-7.6846008920327282</c:v>
                </c:pt>
                <c:pt idx="875">
                  <c:v>-7.7194775751159233</c:v>
                </c:pt>
                <c:pt idx="876">
                  <c:v>-7.7540802700006752</c:v>
                </c:pt>
                <c:pt idx="877">
                  <c:v>-7.788408862625559</c:v>
                </c:pt>
                <c:pt idx="878">
                  <c:v>-7.8224632902475184</c:v>
                </c:pt>
                <c:pt idx="879">
                  <c:v>-7.8562435405122555</c:v>
                </c:pt>
                <c:pt idx="880">
                  <c:v>-7.8897496505262925</c:v>
                </c:pt>
                <c:pt idx="881">
                  <c:v>-7.922981705931079</c:v>
                </c:pt>
                <c:pt idx="882">
                  <c:v>-7.9559398399794956</c:v>
                </c:pt>
                <c:pt idx="883">
                  <c:v>-7.9886242326151073</c:v>
                </c:pt>
                <c:pt idx="884">
                  <c:v>-8.021035109554596</c:v>
                </c:pt>
                <c:pt idx="885">
                  <c:v>-8.0531727413735883</c:v>
                </c:pt>
                <c:pt idx="886">
                  <c:v>-8.0850374425963487</c:v>
                </c:pt>
                <c:pt idx="887">
                  <c:v>-8.1166295707895095</c:v>
                </c:pt>
                <c:pt idx="888">
                  <c:v>-8.147949525660291</c:v>
                </c:pt>
                <c:pt idx="889">
                  <c:v>-8.1789977481594178</c:v>
                </c:pt>
                <c:pt idx="890">
                  <c:v>-8.2097747195890332</c:v>
                </c:pt>
                <c:pt idx="891">
                  <c:v>-8.2402809607159231</c:v>
                </c:pt>
                <c:pt idx="892">
                  <c:v>-8.2705170308902716</c:v>
                </c:pt>
                <c:pt idx="893">
                  <c:v>-8.3004835271702433</c:v>
                </c:pt>
                <c:pt idx="894">
                  <c:v>-8.330181083452624</c:v>
                </c:pt>
                <c:pt idx="895">
                  <c:v>-8.3596103696097419</c:v>
                </c:pt>
                <c:pt idx="896">
                  <c:v>-8.3887720906329459</c:v>
                </c:pt>
                <c:pt idx="897">
                  <c:v>-8.4176669857827697</c:v>
                </c:pt>
                <c:pt idx="898">
                  <c:v>-8.446295827746102</c:v>
                </c:pt>
                <c:pt idx="899">
                  <c:v>-8.4746594218004727</c:v>
                </c:pt>
                <c:pt idx="900">
                  <c:v>-8.502758604985674</c:v>
                </c:pt>
                <c:pt idx="901">
                  <c:v>-8.53059424528292</c:v>
                </c:pt>
                <c:pt idx="902">
                  <c:v>-8.5581672408016622</c:v>
                </c:pt>
                <c:pt idx="903">
                  <c:v>-8.5854785189743037</c:v>
                </c:pt>
                <c:pt idx="904">
                  <c:v>-8.6125290357588771</c:v>
                </c:pt>
                <c:pt idx="905">
                  <c:v>-8.6393197748498736</c:v>
                </c:pt>
                <c:pt idx="906">
                  <c:v>-8.6658517468974114</c:v>
                </c:pt>
                <c:pt idx="907">
                  <c:v>-8.6921259887347464</c:v>
                </c:pt>
                <c:pt idx="908">
                  <c:v>-8.7181435626143795</c:v>
                </c:pt>
                <c:pt idx="909">
                  <c:v>-8.7439055554527929</c:v>
                </c:pt>
                <c:pt idx="910">
                  <c:v>-8.769413078083927</c:v>
                </c:pt>
                <c:pt idx="911">
                  <c:v>-8.79466726452155</c:v>
                </c:pt>
                <c:pt idx="912">
                  <c:v>-8.8196692712305289</c:v>
                </c:pt>
                <c:pt idx="913">
                  <c:v>-8.8444202764071438</c:v>
                </c:pt>
                <c:pt idx="914">
                  <c:v>-8.8689214792685345</c:v>
                </c:pt>
                <c:pt idx="915">
                  <c:v>-8.8931740993512669</c:v>
                </c:pt>
                <c:pt idx="916">
                  <c:v>-8.9171793758191633</c:v>
                </c:pt>
                <c:pt idx="917">
                  <c:v>-8.9409385667804244</c:v>
                </c:pt>
                <c:pt idx="918">
                  <c:v>-8.9644529486140883</c:v>
                </c:pt>
                <c:pt idx="919">
                  <c:v>-8.9877238153058716</c:v>
                </c:pt>
                <c:pt idx="920">
                  <c:v>-9.010752477793412</c:v>
                </c:pt>
                <c:pt idx="921">
                  <c:v>-9.0335402633209796</c:v>
                </c:pt>
                <c:pt idx="922">
                  <c:v>-9.0560885148037009</c:v>
                </c:pt>
                <c:pt idx="923">
                  <c:v>-9.0783985902011892</c:v>
                </c:pt>
                <c:pt idx="924">
                  <c:v>-9.1004718619007665</c:v>
                </c:pt>
                <c:pt idx="925">
                  <c:v>-9.1223097161101769</c:v>
                </c:pt>
                <c:pt idx="926">
                  <c:v>-9.1439135522598054</c:v>
                </c:pt>
                <c:pt idx="927">
                  <c:v>-9.1652847824144494</c:v>
                </c:pt>
                <c:pt idx="928">
                  <c:v>-9.1864248306945839</c:v>
                </c:pt>
                <c:pt idx="929">
                  <c:v>-9.2073351327071524</c:v>
                </c:pt>
                <c:pt idx="930">
                  <c:v>-9.2280171349858353</c:v>
                </c:pt>
                <c:pt idx="931">
                  <c:v>-9.248472294440786</c:v>
                </c:pt>
                <c:pt idx="932">
                  <c:v>-9.2687020778178262</c:v>
                </c:pt>
                <c:pt idx="933">
                  <c:v>-9.2887079611670416</c:v>
                </c:pt>
                <c:pt idx="934">
                  <c:v>-9.3084914293208172</c:v>
                </c:pt>
                <c:pt idx="935">
                  <c:v>-9.3280539753811613</c:v>
                </c:pt>
                <c:pt idx="936">
                  <c:v>-9.3473971002163569</c:v>
                </c:pt>
                <c:pt idx="937">
                  <c:v>-9.3665223119669374</c:v>
                </c:pt>
                <c:pt idx="938">
                  <c:v>-9.385431125560844</c:v>
                </c:pt>
                <c:pt idx="939">
                  <c:v>-9.4041250622377266</c:v>
                </c:pt>
                <c:pt idx="940">
                  <c:v>-9.4226056490824597</c:v>
                </c:pt>
                <c:pt idx="941">
                  <c:v>-9.4408744185676259</c:v>
                </c:pt>
                <c:pt idx="942">
                  <c:v>-9.4589329081051137</c:v>
                </c:pt>
                <c:pt idx="943">
                  <c:v>-9.4767826596065419</c:v>
                </c:pt>
                <c:pt idx="944">
                  <c:v>-9.4944252190527134</c:v>
                </c:pt>
                <c:pt idx="945">
                  <c:v>-9.5118621360717537</c:v>
                </c:pt>
                <c:pt idx="946">
                  <c:v>-9.5290949635261164</c:v>
                </c:pt>
                <c:pt idx="947">
                  <c:v>-9.5461252571081658</c:v>
                </c:pt>
                <c:pt idx="948">
                  <c:v>-9.562954574944456</c:v>
                </c:pt>
                <c:pt idx="949">
                  <c:v>-9.5795844772085026</c:v>
                </c:pt>
                <c:pt idx="950">
                  <c:v>-9.5960165257420069</c:v>
                </c:pt>
                <c:pt idx="951">
                  <c:v>-9.612252283684489</c:v>
                </c:pt>
                <c:pt idx="952">
                  <c:v>-9.6282933151111774</c:v>
                </c:pt>
                <c:pt idx="953">
                  <c:v>-9.6441411846791674</c:v>
                </c:pt>
                <c:pt idx="954">
                  <c:v>-9.6597974572816607</c:v>
                </c:pt>
                <c:pt idx="955">
                  <c:v>-9.6752636977103048</c:v>
                </c:pt>
                <c:pt idx="956">
                  <c:v>-9.6905414703254742</c:v>
                </c:pt>
                <c:pt idx="957">
                  <c:v>-9.7056323387343912</c:v>
                </c:pt>
                <c:pt idx="958">
                  <c:v>-9.7205378654771035</c:v>
                </c:pt>
                <c:pt idx="959">
                  <c:v>-9.7352596117201209</c:v>
                </c:pt>
                <c:pt idx="960">
                  <c:v>-9.7497991369576553</c:v>
                </c:pt>
                <c:pt idx="961">
                  <c:v>-9.7641579987204086</c:v>
                </c:pt>
                <c:pt idx="962">
                  <c:v>-9.7783377522917476</c:v>
                </c:pt>
                <c:pt idx="963">
                  <c:v>-9.792339950431229</c:v>
                </c:pt>
                <c:pt idx="964">
                  <c:v>-9.806166143105381</c:v>
                </c:pt>
                <c:pt idx="965">
                  <c:v>-9.8198178772256082</c:v>
                </c:pt>
                <c:pt idx="966">
                  <c:v>-9.8332966963931341</c:v>
                </c:pt>
                <c:pt idx="967">
                  <c:v>-9.8466041406509444</c:v>
                </c:pt>
                <c:pt idx="968">
                  <c:v>-9.8597417462425501</c:v>
                </c:pt>
                <c:pt idx="969">
                  <c:v>-9.87271104537753</c:v>
                </c:pt>
                <c:pt idx="970">
                  <c:v>-9.8855135660037412</c:v>
                </c:pt>
                <c:pt idx="971">
                  <c:v>-9.8981508315861095</c:v>
                </c:pt>
                <c:pt idx="972">
                  <c:v>-9.9106243608918678</c:v>
                </c:pt>
                <c:pt idx="973">
                  <c:v>-9.9229356677822569</c:v>
                </c:pt>
                <c:pt idx="974">
                  <c:v>-9.9350862610103601</c:v>
                </c:pt>
                <c:pt idx="975">
                  <c:v>-9.9470776440253008</c:v>
                </c:pt>
                <c:pt idx="976">
                  <c:v>-9.9589113147824015</c:v>
                </c:pt>
                <c:pt idx="977">
                  <c:v>-9.9705887655594214</c:v>
                </c:pt>
                <c:pt idx="978">
                  <c:v>-9.9821114827786328</c:v>
                </c:pt>
                <c:pt idx="979">
                  <c:v>-9.9934809468347492</c:v>
                </c:pt>
                <c:pt idx="980">
                  <c:v>-9.9934921589098842</c:v>
                </c:pt>
                <c:pt idx="981">
                  <c:v>-9.9935033708352385</c:v>
                </c:pt>
                <c:pt idx="982">
                  <c:v>-9.9935145826108069</c:v>
                </c:pt>
                <c:pt idx="983">
                  <c:v>-9.9935257942365947</c:v>
                </c:pt>
                <c:pt idx="984">
                  <c:v>-9.9935370057126089</c:v>
                </c:pt>
                <c:pt idx="985">
                  <c:v>-9.9935482170388354</c:v>
                </c:pt>
                <c:pt idx="986">
                  <c:v>-9.9935594282152831</c:v>
                </c:pt>
                <c:pt idx="987">
                  <c:v>-9.9935706392419643</c:v>
                </c:pt>
                <c:pt idx="988">
                  <c:v>-9.9935818501188596</c:v>
                </c:pt>
                <c:pt idx="989">
                  <c:v>-9.9935930608459884</c:v>
                </c:pt>
                <c:pt idx="990">
                  <c:v>-9.9936042714233366</c:v>
                </c:pt>
                <c:pt idx="991">
                  <c:v>-9.993615481850922</c:v>
                </c:pt>
                <c:pt idx="992">
                  <c:v>-9.9936266921287356</c:v>
                </c:pt>
                <c:pt idx="993">
                  <c:v>-9.9936379022567863</c:v>
                </c:pt>
                <c:pt idx="994">
                  <c:v>-9.9936491122350652</c:v>
                </c:pt>
                <c:pt idx="995">
                  <c:v>-9.9936603220635867</c:v>
                </c:pt>
                <c:pt idx="996">
                  <c:v>-9.993671531742331</c:v>
                </c:pt>
                <c:pt idx="997">
                  <c:v>-9.9936827412713232</c:v>
                </c:pt>
                <c:pt idx="998">
                  <c:v>-9.9936939506505578</c:v>
                </c:pt>
                <c:pt idx="999">
                  <c:v>-9.9937051598800313</c:v>
                </c:pt>
                <c:pt idx="1000">
                  <c:v>-9.9937163689597472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3-45DE-97F3-E9553C49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75168"/>
        <c:axId val="149577088"/>
      </c:scatterChart>
      <c:valAx>
        <c:axId val="149575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577088"/>
        <c:crosses val="autoZero"/>
        <c:crossBetween val="midCat"/>
      </c:valAx>
      <c:valAx>
        <c:axId val="14957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Accélérations [m/s²]_</a:t>
                </a:r>
              </a:p>
            </c:rich>
          </c:tx>
          <c:layout>
            <c:manualLayout>
              <c:xMode val="edge"/>
              <c:yMode val="edge"/>
              <c:x val="2.712264150943397E-2"/>
              <c:y val="0.297386526684164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575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95018075570744"/>
          <c:y val="0.25777777777777783"/>
          <c:w val="0.30974867528351424"/>
          <c:h val="0.157777777777777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Positions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674528301886802"/>
          <c:y val="9.4771544282144501E-2"/>
          <c:w val="0.86438679245283023"/>
          <c:h val="0.738564448543608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Courbes!$B$144</c:f>
              <c:strCache>
                <c:ptCount val="1"/>
                <c:pt idx="0">
                  <c:v>Portée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5.0999999999999375</c:v>
                </c:pt>
                <c:pt idx="502">
                  <c:v>5.1999999999999371</c:v>
                </c:pt>
                <c:pt idx="503">
                  <c:v>5.2999999999999368</c:v>
                </c:pt>
                <c:pt idx="504">
                  <c:v>5.3999999999999364</c:v>
                </c:pt>
                <c:pt idx="505">
                  <c:v>5.4999999999999361</c:v>
                </c:pt>
                <c:pt idx="506">
                  <c:v>5.5999999999999357</c:v>
                </c:pt>
                <c:pt idx="507">
                  <c:v>5.6999999999999353</c:v>
                </c:pt>
                <c:pt idx="508">
                  <c:v>5.799999999999935</c:v>
                </c:pt>
                <c:pt idx="509">
                  <c:v>5.8999999999999346</c:v>
                </c:pt>
                <c:pt idx="510">
                  <c:v>5.9999999999999343</c:v>
                </c:pt>
                <c:pt idx="511">
                  <c:v>6.0999999999999339</c:v>
                </c:pt>
                <c:pt idx="512">
                  <c:v>6.1999999999999336</c:v>
                </c:pt>
                <c:pt idx="513">
                  <c:v>6.2999999999999332</c:v>
                </c:pt>
                <c:pt idx="514">
                  <c:v>6.3999999999999329</c:v>
                </c:pt>
                <c:pt idx="515">
                  <c:v>6.4999999999999325</c:v>
                </c:pt>
                <c:pt idx="516">
                  <c:v>6.5999999999999321</c:v>
                </c:pt>
                <c:pt idx="517">
                  <c:v>6.6999999999999318</c:v>
                </c:pt>
                <c:pt idx="518">
                  <c:v>6.7999999999999314</c:v>
                </c:pt>
                <c:pt idx="519">
                  <c:v>6.8999999999999311</c:v>
                </c:pt>
                <c:pt idx="520">
                  <c:v>6.9999999999999307</c:v>
                </c:pt>
                <c:pt idx="521">
                  <c:v>7.0999999999999304</c:v>
                </c:pt>
                <c:pt idx="522">
                  <c:v>7.19999999999993</c:v>
                </c:pt>
                <c:pt idx="523">
                  <c:v>7.2999999999999297</c:v>
                </c:pt>
                <c:pt idx="524">
                  <c:v>7.3999999999999293</c:v>
                </c:pt>
                <c:pt idx="525">
                  <c:v>7.4999999999999289</c:v>
                </c:pt>
                <c:pt idx="526">
                  <c:v>7.5999999999999286</c:v>
                </c:pt>
                <c:pt idx="527">
                  <c:v>7.6999999999999282</c:v>
                </c:pt>
                <c:pt idx="528">
                  <c:v>7.7999999999999279</c:v>
                </c:pt>
                <c:pt idx="529">
                  <c:v>7.8999999999999275</c:v>
                </c:pt>
                <c:pt idx="530">
                  <c:v>7.9999999999999272</c:v>
                </c:pt>
                <c:pt idx="531">
                  <c:v>8.0999999999999268</c:v>
                </c:pt>
                <c:pt idx="532">
                  <c:v>8.1999999999999265</c:v>
                </c:pt>
                <c:pt idx="533">
                  <c:v>8.2999999999999261</c:v>
                </c:pt>
                <c:pt idx="534">
                  <c:v>8.3999999999999257</c:v>
                </c:pt>
                <c:pt idx="535">
                  <c:v>8.4999999999999254</c:v>
                </c:pt>
                <c:pt idx="536">
                  <c:v>8.599999999999925</c:v>
                </c:pt>
                <c:pt idx="537">
                  <c:v>8.6999999999999247</c:v>
                </c:pt>
                <c:pt idx="538">
                  <c:v>8.7999999999999243</c:v>
                </c:pt>
                <c:pt idx="539">
                  <c:v>8.899999999999924</c:v>
                </c:pt>
                <c:pt idx="540">
                  <c:v>8.9999999999999236</c:v>
                </c:pt>
                <c:pt idx="541">
                  <c:v>9.0999999999999233</c:v>
                </c:pt>
                <c:pt idx="542">
                  <c:v>9.1999999999999229</c:v>
                </c:pt>
                <c:pt idx="543">
                  <c:v>9.2999999999999226</c:v>
                </c:pt>
                <c:pt idx="544">
                  <c:v>9.3999999999999222</c:v>
                </c:pt>
                <c:pt idx="545">
                  <c:v>9.4999999999999218</c:v>
                </c:pt>
                <c:pt idx="546">
                  <c:v>9.5999999999999215</c:v>
                </c:pt>
                <c:pt idx="547">
                  <c:v>9.6999999999999211</c:v>
                </c:pt>
                <c:pt idx="548">
                  <c:v>9.7999999999999208</c:v>
                </c:pt>
                <c:pt idx="549">
                  <c:v>9.8999999999999204</c:v>
                </c:pt>
                <c:pt idx="550">
                  <c:v>9.9999999999999201</c:v>
                </c:pt>
                <c:pt idx="551">
                  <c:v>10.09999999999992</c:v>
                </c:pt>
                <c:pt idx="552">
                  <c:v>10.199999999999919</c:v>
                </c:pt>
                <c:pt idx="553">
                  <c:v>10.299999999999919</c:v>
                </c:pt>
                <c:pt idx="554">
                  <c:v>10.399999999999919</c:v>
                </c:pt>
                <c:pt idx="555">
                  <c:v>10.499999999999918</c:v>
                </c:pt>
                <c:pt idx="556">
                  <c:v>10.599999999999918</c:v>
                </c:pt>
                <c:pt idx="557">
                  <c:v>10.699999999999918</c:v>
                </c:pt>
                <c:pt idx="558">
                  <c:v>10.799999999999917</c:v>
                </c:pt>
                <c:pt idx="559">
                  <c:v>10.899999999999917</c:v>
                </c:pt>
                <c:pt idx="560">
                  <c:v>10.999999999999917</c:v>
                </c:pt>
                <c:pt idx="561">
                  <c:v>11.099999999999916</c:v>
                </c:pt>
                <c:pt idx="562">
                  <c:v>11.199999999999916</c:v>
                </c:pt>
                <c:pt idx="563">
                  <c:v>11.299999999999915</c:v>
                </c:pt>
                <c:pt idx="564">
                  <c:v>11.399999999999915</c:v>
                </c:pt>
                <c:pt idx="565">
                  <c:v>11.499999999999915</c:v>
                </c:pt>
                <c:pt idx="566">
                  <c:v>11.599999999999914</c:v>
                </c:pt>
                <c:pt idx="567">
                  <c:v>11.699999999999914</c:v>
                </c:pt>
                <c:pt idx="568">
                  <c:v>11.799999999999914</c:v>
                </c:pt>
                <c:pt idx="569">
                  <c:v>11.899999999999913</c:v>
                </c:pt>
                <c:pt idx="570">
                  <c:v>11.999999999999913</c:v>
                </c:pt>
                <c:pt idx="571">
                  <c:v>12.099999999999913</c:v>
                </c:pt>
                <c:pt idx="572">
                  <c:v>12.199999999999912</c:v>
                </c:pt>
                <c:pt idx="573">
                  <c:v>12.299999999999912</c:v>
                </c:pt>
                <c:pt idx="574">
                  <c:v>12.399999999999912</c:v>
                </c:pt>
                <c:pt idx="575">
                  <c:v>12.499999999999911</c:v>
                </c:pt>
                <c:pt idx="576">
                  <c:v>12.599999999999911</c:v>
                </c:pt>
                <c:pt idx="577">
                  <c:v>12.69999999999991</c:v>
                </c:pt>
                <c:pt idx="578">
                  <c:v>12.79999999999991</c:v>
                </c:pt>
                <c:pt idx="579">
                  <c:v>12.89999999999991</c:v>
                </c:pt>
                <c:pt idx="580">
                  <c:v>12.999999999999909</c:v>
                </c:pt>
                <c:pt idx="581">
                  <c:v>13.099999999999909</c:v>
                </c:pt>
                <c:pt idx="582">
                  <c:v>13.199999999999909</c:v>
                </c:pt>
                <c:pt idx="583">
                  <c:v>13.299999999999908</c:v>
                </c:pt>
                <c:pt idx="584">
                  <c:v>13.399999999999908</c:v>
                </c:pt>
                <c:pt idx="585">
                  <c:v>13.499999999999908</c:v>
                </c:pt>
                <c:pt idx="586">
                  <c:v>13.599999999999907</c:v>
                </c:pt>
                <c:pt idx="587">
                  <c:v>13.699999999999907</c:v>
                </c:pt>
                <c:pt idx="588">
                  <c:v>13.799999999999907</c:v>
                </c:pt>
                <c:pt idx="589">
                  <c:v>13.899999999999906</c:v>
                </c:pt>
                <c:pt idx="590">
                  <c:v>13.999999999999906</c:v>
                </c:pt>
                <c:pt idx="591">
                  <c:v>14.099999999999905</c:v>
                </c:pt>
                <c:pt idx="592">
                  <c:v>14.199999999999905</c:v>
                </c:pt>
                <c:pt idx="593">
                  <c:v>14.299999999999905</c:v>
                </c:pt>
                <c:pt idx="594">
                  <c:v>14.399999999999904</c:v>
                </c:pt>
                <c:pt idx="595">
                  <c:v>14.499999999999904</c:v>
                </c:pt>
                <c:pt idx="596">
                  <c:v>14.599999999999904</c:v>
                </c:pt>
                <c:pt idx="597">
                  <c:v>14.699999999999903</c:v>
                </c:pt>
                <c:pt idx="598">
                  <c:v>14.799999999999903</c:v>
                </c:pt>
                <c:pt idx="599">
                  <c:v>14.899999999999903</c:v>
                </c:pt>
                <c:pt idx="600">
                  <c:v>14.999999999999902</c:v>
                </c:pt>
                <c:pt idx="601">
                  <c:v>15.099999999999902</c:v>
                </c:pt>
                <c:pt idx="602">
                  <c:v>15.199999999999902</c:v>
                </c:pt>
                <c:pt idx="603">
                  <c:v>15.299999999999901</c:v>
                </c:pt>
                <c:pt idx="604">
                  <c:v>15.399999999999901</c:v>
                </c:pt>
                <c:pt idx="605">
                  <c:v>15.499999999999901</c:v>
                </c:pt>
                <c:pt idx="606">
                  <c:v>15.5999999999999</c:v>
                </c:pt>
                <c:pt idx="607">
                  <c:v>15.6999999999999</c:v>
                </c:pt>
                <c:pt idx="608">
                  <c:v>15.799999999999899</c:v>
                </c:pt>
                <c:pt idx="609">
                  <c:v>15.899999999999899</c:v>
                </c:pt>
                <c:pt idx="610">
                  <c:v>15.999999999999899</c:v>
                </c:pt>
                <c:pt idx="611">
                  <c:v>16.099999999999898</c:v>
                </c:pt>
                <c:pt idx="612">
                  <c:v>16.1999999999999</c:v>
                </c:pt>
                <c:pt idx="613">
                  <c:v>16.299999999999901</c:v>
                </c:pt>
                <c:pt idx="614">
                  <c:v>16.399999999999903</c:v>
                </c:pt>
                <c:pt idx="615">
                  <c:v>16.499999999999904</c:v>
                </c:pt>
                <c:pt idx="616">
                  <c:v>16.599999999999905</c:v>
                </c:pt>
                <c:pt idx="617">
                  <c:v>16.699999999999907</c:v>
                </c:pt>
                <c:pt idx="618">
                  <c:v>16.799999999999908</c:v>
                </c:pt>
                <c:pt idx="619">
                  <c:v>16.89999999999991</c:v>
                </c:pt>
                <c:pt idx="620">
                  <c:v>16.999999999999911</c:v>
                </c:pt>
                <c:pt idx="621">
                  <c:v>17.099999999999913</c:v>
                </c:pt>
                <c:pt idx="622">
                  <c:v>17.199999999999914</c:v>
                </c:pt>
                <c:pt idx="623">
                  <c:v>17.299999999999915</c:v>
                </c:pt>
                <c:pt idx="624">
                  <c:v>17.399999999999917</c:v>
                </c:pt>
                <c:pt idx="625">
                  <c:v>17.499999999999918</c:v>
                </c:pt>
                <c:pt idx="626">
                  <c:v>17.59999999999992</c:v>
                </c:pt>
                <c:pt idx="627">
                  <c:v>17.699999999999921</c:v>
                </c:pt>
                <c:pt idx="628">
                  <c:v>17.799999999999923</c:v>
                </c:pt>
                <c:pt idx="629">
                  <c:v>17.899999999999924</c:v>
                </c:pt>
                <c:pt idx="630">
                  <c:v>17.999999999999925</c:v>
                </c:pt>
                <c:pt idx="631">
                  <c:v>18.099999999999927</c:v>
                </c:pt>
                <c:pt idx="632">
                  <c:v>18.199999999999928</c:v>
                </c:pt>
                <c:pt idx="633">
                  <c:v>18.29999999999993</c:v>
                </c:pt>
                <c:pt idx="634">
                  <c:v>18.399999999999931</c:v>
                </c:pt>
                <c:pt idx="635">
                  <c:v>18.499999999999932</c:v>
                </c:pt>
                <c:pt idx="636">
                  <c:v>18.599999999999934</c:v>
                </c:pt>
                <c:pt idx="637">
                  <c:v>18.699999999999935</c:v>
                </c:pt>
                <c:pt idx="638">
                  <c:v>18.799999999999937</c:v>
                </c:pt>
                <c:pt idx="639">
                  <c:v>18.899999999999938</c:v>
                </c:pt>
                <c:pt idx="640">
                  <c:v>18.99999999999994</c:v>
                </c:pt>
                <c:pt idx="641">
                  <c:v>19.099999999999941</c:v>
                </c:pt>
                <c:pt idx="642">
                  <c:v>19.199999999999942</c:v>
                </c:pt>
                <c:pt idx="643">
                  <c:v>19.299999999999944</c:v>
                </c:pt>
                <c:pt idx="644">
                  <c:v>19.399999999999945</c:v>
                </c:pt>
                <c:pt idx="645">
                  <c:v>19.499999999999947</c:v>
                </c:pt>
                <c:pt idx="646">
                  <c:v>19.599999999999948</c:v>
                </c:pt>
                <c:pt idx="647">
                  <c:v>19.69999999999995</c:v>
                </c:pt>
                <c:pt idx="648">
                  <c:v>19.799999999999951</c:v>
                </c:pt>
                <c:pt idx="649">
                  <c:v>19.899999999999952</c:v>
                </c:pt>
                <c:pt idx="650">
                  <c:v>19.999999999999954</c:v>
                </c:pt>
                <c:pt idx="651">
                  <c:v>20.099999999999955</c:v>
                </c:pt>
                <c:pt idx="652">
                  <c:v>20.199999999999957</c:v>
                </c:pt>
                <c:pt idx="653">
                  <c:v>20.299999999999958</c:v>
                </c:pt>
                <c:pt idx="654">
                  <c:v>20.399999999999959</c:v>
                </c:pt>
                <c:pt idx="655">
                  <c:v>20.499999999999961</c:v>
                </c:pt>
                <c:pt idx="656">
                  <c:v>20.599999999999962</c:v>
                </c:pt>
                <c:pt idx="657">
                  <c:v>20.699999999999964</c:v>
                </c:pt>
                <c:pt idx="658">
                  <c:v>20.799999999999965</c:v>
                </c:pt>
                <c:pt idx="659">
                  <c:v>20.899999999999967</c:v>
                </c:pt>
                <c:pt idx="660">
                  <c:v>20.999999999999968</c:v>
                </c:pt>
                <c:pt idx="661">
                  <c:v>21.099999999999969</c:v>
                </c:pt>
                <c:pt idx="662">
                  <c:v>21.199999999999971</c:v>
                </c:pt>
                <c:pt idx="663">
                  <c:v>21.299999999999972</c:v>
                </c:pt>
                <c:pt idx="664">
                  <c:v>21.399999999999974</c:v>
                </c:pt>
                <c:pt idx="665">
                  <c:v>21.499999999999975</c:v>
                </c:pt>
                <c:pt idx="666">
                  <c:v>21.599999999999977</c:v>
                </c:pt>
                <c:pt idx="667">
                  <c:v>21.699999999999978</c:v>
                </c:pt>
                <c:pt idx="668">
                  <c:v>21.799999999999979</c:v>
                </c:pt>
                <c:pt idx="669">
                  <c:v>21.899999999999981</c:v>
                </c:pt>
                <c:pt idx="670">
                  <c:v>21.999999999999982</c:v>
                </c:pt>
                <c:pt idx="671">
                  <c:v>22.099999999999984</c:v>
                </c:pt>
                <c:pt idx="672">
                  <c:v>22.199999999999985</c:v>
                </c:pt>
                <c:pt idx="673">
                  <c:v>22.299999999999986</c:v>
                </c:pt>
                <c:pt idx="674">
                  <c:v>22.399999999999988</c:v>
                </c:pt>
                <c:pt idx="675">
                  <c:v>22.499999999999989</c:v>
                </c:pt>
                <c:pt idx="676">
                  <c:v>22.599999999999991</c:v>
                </c:pt>
                <c:pt idx="677">
                  <c:v>22.699999999999992</c:v>
                </c:pt>
                <c:pt idx="678">
                  <c:v>22.799999999999994</c:v>
                </c:pt>
                <c:pt idx="679">
                  <c:v>22.899999999999995</c:v>
                </c:pt>
                <c:pt idx="680">
                  <c:v>22.999999999999996</c:v>
                </c:pt>
                <c:pt idx="681">
                  <c:v>23.099999999999998</c:v>
                </c:pt>
                <c:pt idx="682">
                  <c:v>23.2</c:v>
                </c:pt>
                <c:pt idx="683">
                  <c:v>23.3</c:v>
                </c:pt>
                <c:pt idx="684">
                  <c:v>23.400000000000002</c:v>
                </c:pt>
                <c:pt idx="685">
                  <c:v>23.500000000000004</c:v>
                </c:pt>
                <c:pt idx="686">
                  <c:v>23.600000000000005</c:v>
                </c:pt>
                <c:pt idx="687">
                  <c:v>23.700000000000006</c:v>
                </c:pt>
                <c:pt idx="688">
                  <c:v>23.800000000000008</c:v>
                </c:pt>
                <c:pt idx="689">
                  <c:v>23.900000000000009</c:v>
                </c:pt>
                <c:pt idx="690">
                  <c:v>24.000000000000011</c:v>
                </c:pt>
                <c:pt idx="691">
                  <c:v>24.100000000000012</c:v>
                </c:pt>
                <c:pt idx="692">
                  <c:v>24.200000000000014</c:v>
                </c:pt>
                <c:pt idx="693">
                  <c:v>24.300000000000015</c:v>
                </c:pt>
                <c:pt idx="694">
                  <c:v>24.400000000000016</c:v>
                </c:pt>
                <c:pt idx="695">
                  <c:v>24.500000000000018</c:v>
                </c:pt>
                <c:pt idx="696">
                  <c:v>24.600000000000019</c:v>
                </c:pt>
                <c:pt idx="697">
                  <c:v>24.700000000000021</c:v>
                </c:pt>
                <c:pt idx="698">
                  <c:v>24.800000000000022</c:v>
                </c:pt>
                <c:pt idx="699">
                  <c:v>24.900000000000023</c:v>
                </c:pt>
                <c:pt idx="700">
                  <c:v>25.000000000000025</c:v>
                </c:pt>
                <c:pt idx="701">
                  <c:v>25.100000000000026</c:v>
                </c:pt>
                <c:pt idx="702">
                  <c:v>25.200000000000028</c:v>
                </c:pt>
                <c:pt idx="703">
                  <c:v>25.300000000000029</c:v>
                </c:pt>
                <c:pt idx="704">
                  <c:v>25.400000000000031</c:v>
                </c:pt>
                <c:pt idx="705">
                  <c:v>25.500000000000032</c:v>
                </c:pt>
                <c:pt idx="706">
                  <c:v>25.600000000000033</c:v>
                </c:pt>
                <c:pt idx="707">
                  <c:v>25.700000000000035</c:v>
                </c:pt>
                <c:pt idx="708">
                  <c:v>25.800000000000036</c:v>
                </c:pt>
                <c:pt idx="709">
                  <c:v>25.900000000000038</c:v>
                </c:pt>
                <c:pt idx="710">
                  <c:v>26.000000000000039</c:v>
                </c:pt>
                <c:pt idx="711">
                  <c:v>26.100000000000041</c:v>
                </c:pt>
                <c:pt idx="712">
                  <c:v>26.200000000000042</c:v>
                </c:pt>
                <c:pt idx="713">
                  <c:v>26.300000000000043</c:v>
                </c:pt>
                <c:pt idx="714">
                  <c:v>26.400000000000045</c:v>
                </c:pt>
                <c:pt idx="715">
                  <c:v>26.500000000000046</c:v>
                </c:pt>
                <c:pt idx="716">
                  <c:v>26.600000000000048</c:v>
                </c:pt>
                <c:pt idx="717">
                  <c:v>26.700000000000049</c:v>
                </c:pt>
                <c:pt idx="718">
                  <c:v>26.80000000000005</c:v>
                </c:pt>
                <c:pt idx="719">
                  <c:v>26.900000000000052</c:v>
                </c:pt>
                <c:pt idx="720">
                  <c:v>27.000000000000053</c:v>
                </c:pt>
                <c:pt idx="721">
                  <c:v>27.100000000000055</c:v>
                </c:pt>
                <c:pt idx="722">
                  <c:v>27.200000000000056</c:v>
                </c:pt>
                <c:pt idx="723">
                  <c:v>27.300000000000058</c:v>
                </c:pt>
                <c:pt idx="724">
                  <c:v>27.400000000000059</c:v>
                </c:pt>
                <c:pt idx="725">
                  <c:v>27.50000000000006</c:v>
                </c:pt>
                <c:pt idx="726">
                  <c:v>27.600000000000062</c:v>
                </c:pt>
                <c:pt idx="727">
                  <c:v>27.700000000000063</c:v>
                </c:pt>
                <c:pt idx="728">
                  <c:v>27.800000000000065</c:v>
                </c:pt>
                <c:pt idx="729">
                  <c:v>27.900000000000066</c:v>
                </c:pt>
                <c:pt idx="730">
                  <c:v>28.000000000000068</c:v>
                </c:pt>
                <c:pt idx="731">
                  <c:v>28.100000000000069</c:v>
                </c:pt>
                <c:pt idx="732">
                  <c:v>28.20000000000007</c:v>
                </c:pt>
                <c:pt idx="733">
                  <c:v>28.300000000000072</c:v>
                </c:pt>
                <c:pt idx="734">
                  <c:v>28.400000000000073</c:v>
                </c:pt>
                <c:pt idx="735">
                  <c:v>28.500000000000075</c:v>
                </c:pt>
                <c:pt idx="736">
                  <c:v>28.600000000000076</c:v>
                </c:pt>
                <c:pt idx="737">
                  <c:v>28.700000000000077</c:v>
                </c:pt>
                <c:pt idx="738">
                  <c:v>28.800000000000079</c:v>
                </c:pt>
                <c:pt idx="739">
                  <c:v>28.90000000000008</c:v>
                </c:pt>
                <c:pt idx="740">
                  <c:v>29.000000000000082</c:v>
                </c:pt>
                <c:pt idx="741">
                  <c:v>29.100000000000083</c:v>
                </c:pt>
                <c:pt idx="742">
                  <c:v>29.200000000000085</c:v>
                </c:pt>
                <c:pt idx="743">
                  <c:v>29.300000000000086</c:v>
                </c:pt>
                <c:pt idx="744">
                  <c:v>29.400000000000087</c:v>
                </c:pt>
                <c:pt idx="745">
                  <c:v>29.500000000000089</c:v>
                </c:pt>
                <c:pt idx="746">
                  <c:v>29.60000000000009</c:v>
                </c:pt>
                <c:pt idx="747">
                  <c:v>29.700000000000092</c:v>
                </c:pt>
                <c:pt idx="748">
                  <c:v>29.800000000000093</c:v>
                </c:pt>
                <c:pt idx="749">
                  <c:v>29.900000000000095</c:v>
                </c:pt>
                <c:pt idx="750">
                  <c:v>30.000000000000096</c:v>
                </c:pt>
                <c:pt idx="751">
                  <c:v>30.100000000000097</c:v>
                </c:pt>
                <c:pt idx="752">
                  <c:v>30.200000000000099</c:v>
                </c:pt>
                <c:pt idx="753">
                  <c:v>30.3000000000001</c:v>
                </c:pt>
                <c:pt idx="754">
                  <c:v>30.400000000000102</c:v>
                </c:pt>
                <c:pt idx="755">
                  <c:v>30.500000000000103</c:v>
                </c:pt>
                <c:pt idx="756">
                  <c:v>30.600000000000104</c:v>
                </c:pt>
                <c:pt idx="757">
                  <c:v>30.700000000000106</c:v>
                </c:pt>
                <c:pt idx="758">
                  <c:v>30.800000000000107</c:v>
                </c:pt>
                <c:pt idx="759">
                  <c:v>30.900000000000109</c:v>
                </c:pt>
                <c:pt idx="760">
                  <c:v>31.00000000000011</c:v>
                </c:pt>
                <c:pt idx="761">
                  <c:v>31.100000000000112</c:v>
                </c:pt>
                <c:pt idx="762">
                  <c:v>31.200000000000113</c:v>
                </c:pt>
                <c:pt idx="763">
                  <c:v>31.300000000000114</c:v>
                </c:pt>
                <c:pt idx="764">
                  <c:v>31.400000000000116</c:v>
                </c:pt>
                <c:pt idx="765">
                  <c:v>31.500000000000117</c:v>
                </c:pt>
                <c:pt idx="766">
                  <c:v>31.600000000000119</c:v>
                </c:pt>
                <c:pt idx="767">
                  <c:v>31.70000000000012</c:v>
                </c:pt>
                <c:pt idx="768">
                  <c:v>31.800000000000122</c:v>
                </c:pt>
                <c:pt idx="769">
                  <c:v>31.900000000000123</c:v>
                </c:pt>
                <c:pt idx="770">
                  <c:v>32.000000000000121</c:v>
                </c:pt>
                <c:pt idx="771">
                  <c:v>32.100000000000122</c:v>
                </c:pt>
                <c:pt idx="772">
                  <c:v>32.200000000000124</c:v>
                </c:pt>
                <c:pt idx="773">
                  <c:v>32.300000000000125</c:v>
                </c:pt>
                <c:pt idx="774">
                  <c:v>32.400000000000126</c:v>
                </c:pt>
                <c:pt idx="775">
                  <c:v>32.500000000000128</c:v>
                </c:pt>
                <c:pt idx="776">
                  <c:v>32.600000000000129</c:v>
                </c:pt>
                <c:pt idx="777">
                  <c:v>32.700000000000131</c:v>
                </c:pt>
                <c:pt idx="778">
                  <c:v>32.800000000000132</c:v>
                </c:pt>
                <c:pt idx="779">
                  <c:v>32.900000000000134</c:v>
                </c:pt>
                <c:pt idx="780">
                  <c:v>33.000000000000135</c:v>
                </c:pt>
                <c:pt idx="781">
                  <c:v>33.100000000000136</c:v>
                </c:pt>
                <c:pt idx="782">
                  <c:v>33.200000000000138</c:v>
                </c:pt>
                <c:pt idx="783">
                  <c:v>33.300000000000139</c:v>
                </c:pt>
                <c:pt idx="784">
                  <c:v>33.400000000000141</c:v>
                </c:pt>
                <c:pt idx="785">
                  <c:v>33.500000000000142</c:v>
                </c:pt>
                <c:pt idx="786">
                  <c:v>33.600000000000144</c:v>
                </c:pt>
                <c:pt idx="787">
                  <c:v>33.700000000000145</c:v>
                </c:pt>
                <c:pt idx="788">
                  <c:v>33.800000000000146</c:v>
                </c:pt>
                <c:pt idx="789">
                  <c:v>33.900000000000148</c:v>
                </c:pt>
                <c:pt idx="790">
                  <c:v>34.000000000000149</c:v>
                </c:pt>
                <c:pt idx="791">
                  <c:v>34.100000000000151</c:v>
                </c:pt>
                <c:pt idx="792">
                  <c:v>34.200000000000152</c:v>
                </c:pt>
                <c:pt idx="793">
                  <c:v>34.300000000000153</c:v>
                </c:pt>
                <c:pt idx="794">
                  <c:v>34.400000000000155</c:v>
                </c:pt>
                <c:pt idx="795">
                  <c:v>34.500000000000156</c:v>
                </c:pt>
                <c:pt idx="796">
                  <c:v>34.600000000000158</c:v>
                </c:pt>
                <c:pt idx="797">
                  <c:v>34.700000000000159</c:v>
                </c:pt>
                <c:pt idx="798">
                  <c:v>34.800000000000161</c:v>
                </c:pt>
                <c:pt idx="799">
                  <c:v>34.900000000000162</c:v>
                </c:pt>
                <c:pt idx="800">
                  <c:v>35.000000000000163</c:v>
                </c:pt>
                <c:pt idx="801">
                  <c:v>35.100000000000165</c:v>
                </c:pt>
                <c:pt idx="802">
                  <c:v>35.200000000000166</c:v>
                </c:pt>
                <c:pt idx="803">
                  <c:v>35.300000000000168</c:v>
                </c:pt>
                <c:pt idx="804">
                  <c:v>35.400000000000169</c:v>
                </c:pt>
                <c:pt idx="805">
                  <c:v>35.500000000000171</c:v>
                </c:pt>
                <c:pt idx="806">
                  <c:v>35.600000000000172</c:v>
                </c:pt>
                <c:pt idx="807">
                  <c:v>35.700000000000173</c:v>
                </c:pt>
                <c:pt idx="808">
                  <c:v>35.800000000000175</c:v>
                </c:pt>
                <c:pt idx="809">
                  <c:v>35.900000000000176</c:v>
                </c:pt>
                <c:pt idx="810">
                  <c:v>36.000000000000178</c:v>
                </c:pt>
                <c:pt idx="811">
                  <c:v>36.100000000000179</c:v>
                </c:pt>
                <c:pt idx="812">
                  <c:v>36.20000000000018</c:v>
                </c:pt>
                <c:pt idx="813">
                  <c:v>36.300000000000182</c:v>
                </c:pt>
                <c:pt idx="814">
                  <c:v>36.400000000000183</c:v>
                </c:pt>
                <c:pt idx="815">
                  <c:v>36.500000000000185</c:v>
                </c:pt>
                <c:pt idx="816">
                  <c:v>36.600000000000186</c:v>
                </c:pt>
                <c:pt idx="817">
                  <c:v>36.700000000000188</c:v>
                </c:pt>
                <c:pt idx="818">
                  <c:v>36.800000000000189</c:v>
                </c:pt>
                <c:pt idx="819">
                  <c:v>36.90000000000019</c:v>
                </c:pt>
                <c:pt idx="820">
                  <c:v>37.000000000000192</c:v>
                </c:pt>
                <c:pt idx="821">
                  <c:v>37.100000000000193</c:v>
                </c:pt>
                <c:pt idx="822">
                  <c:v>37.200000000000195</c:v>
                </c:pt>
                <c:pt idx="823">
                  <c:v>37.300000000000196</c:v>
                </c:pt>
                <c:pt idx="824">
                  <c:v>37.400000000000198</c:v>
                </c:pt>
                <c:pt idx="825">
                  <c:v>37.500000000000199</c:v>
                </c:pt>
                <c:pt idx="826">
                  <c:v>37.6000000000002</c:v>
                </c:pt>
                <c:pt idx="827">
                  <c:v>37.700000000000202</c:v>
                </c:pt>
                <c:pt idx="828">
                  <c:v>37.800000000000203</c:v>
                </c:pt>
                <c:pt idx="829">
                  <c:v>37.900000000000205</c:v>
                </c:pt>
                <c:pt idx="830">
                  <c:v>38.000000000000206</c:v>
                </c:pt>
                <c:pt idx="831">
                  <c:v>38.100000000000207</c:v>
                </c:pt>
                <c:pt idx="832">
                  <c:v>38.200000000000209</c:v>
                </c:pt>
                <c:pt idx="833">
                  <c:v>38.30000000000021</c:v>
                </c:pt>
                <c:pt idx="834">
                  <c:v>38.400000000000212</c:v>
                </c:pt>
                <c:pt idx="835">
                  <c:v>38.500000000000213</c:v>
                </c:pt>
                <c:pt idx="836">
                  <c:v>38.600000000000215</c:v>
                </c:pt>
                <c:pt idx="837">
                  <c:v>38.700000000000216</c:v>
                </c:pt>
                <c:pt idx="838">
                  <c:v>38.800000000000217</c:v>
                </c:pt>
                <c:pt idx="839">
                  <c:v>38.900000000000219</c:v>
                </c:pt>
                <c:pt idx="840">
                  <c:v>39.00000000000022</c:v>
                </c:pt>
                <c:pt idx="841">
                  <c:v>39.100000000000222</c:v>
                </c:pt>
                <c:pt idx="842">
                  <c:v>39.200000000000223</c:v>
                </c:pt>
                <c:pt idx="843">
                  <c:v>39.300000000000225</c:v>
                </c:pt>
                <c:pt idx="844">
                  <c:v>39.400000000000226</c:v>
                </c:pt>
                <c:pt idx="845">
                  <c:v>39.500000000000227</c:v>
                </c:pt>
                <c:pt idx="846">
                  <c:v>39.600000000000229</c:v>
                </c:pt>
                <c:pt idx="847">
                  <c:v>39.70000000000023</c:v>
                </c:pt>
                <c:pt idx="848">
                  <c:v>39.800000000000232</c:v>
                </c:pt>
                <c:pt idx="849">
                  <c:v>39.900000000000233</c:v>
                </c:pt>
                <c:pt idx="850">
                  <c:v>40.000000000000234</c:v>
                </c:pt>
                <c:pt idx="851">
                  <c:v>40.100000000000236</c:v>
                </c:pt>
                <c:pt idx="852">
                  <c:v>40.200000000000237</c:v>
                </c:pt>
                <c:pt idx="853">
                  <c:v>40.300000000000239</c:v>
                </c:pt>
                <c:pt idx="854">
                  <c:v>40.40000000000024</c:v>
                </c:pt>
                <c:pt idx="855">
                  <c:v>40.500000000000242</c:v>
                </c:pt>
                <c:pt idx="856">
                  <c:v>40.600000000000243</c:v>
                </c:pt>
                <c:pt idx="857">
                  <c:v>40.700000000000244</c:v>
                </c:pt>
                <c:pt idx="858">
                  <c:v>40.800000000000246</c:v>
                </c:pt>
                <c:pt idx="859">
                  <c:v>40.900000000000247</c:v>
                </c:pt>
                <c:pt idx="860">
                  <c:v>41.000000000000249</c:v>
                </c:pt>
                <c:pt idx="861">
                  <c:v>41.10000000000025</c:v>
                </c:pt>
                <c:pt idx="862">
                  <c:v>41.200000000000252</c:v>
                </c:pt>
                <c:pt idx="863">
                  <c:v>41.300000000000253</c:v>
                </c:pt>
                <c:pt idx="864">
                  <c:v>41.400000000000254</c:v>
                </c:pt>
                <c:pt idx="865">
                  <c:v>41.500000000000256</c:v>
                </c:pt>
                <c:pt idx="866">
                  <c:v>41.600000000000257</c:v>
                </c:pt>
                <c:pt idx="867">
                  <c:v>41.700000000000259</c:v>
                </c:pt>
                <c:pt idx="868">
                  <c:v>41.80000000000026</c:v>
                </c:pt>
                <c:pt idx="869">
                  <c:v>41.900000000000261</c:v>
                </c:pt>
                <c:pt idx="870">
                  <c:v>42.000000000000263</c:v>
                </c:pt>
                <c:pt idx="871">
                  <c:v>42.100000000000264</c:v>
                </c:pt>
                <c:pt idx="872">
                  <c:v>42.200000000000266</c:v>
                </c:pt>
                <c:pt idx="873">
                  <c:v>42.300000000000267</c:v>
                </c:pt>
                <c:pt idx="874">
                  <c:v>42.400000000000269</c:v>
                </c:pt>
                <c:pt idx="875">
                  <c:v>42.50000000000027</c:v>
                </c:pt>
                <c:pt idx="876">
                  <c:v>42.600000000000271</c:v>
                </c:pt>
                <c:pt idx="877">
                  <c:v>42.700000000000273</c:v>
                </c:pt>
                <c:pt idx="878">
                  <c:v>42.800000000000274</c:v>
                </c:pt>
                <c:pt idx="879">
                  <c:v>42.900000000000276</c:v>
                </c:pt>
                <c:pt idx="880">
                  <c:v>43.000000000000277</c:v>
                </c:pt>
                <c:pt idx="881">
                  <c:v>43.100000000000279</c:v>
                </c:pt>
                <c:pt idx="882">
                  <c:v>43.20000000000028</c:v>
                </c:pt>
                <c:pt idx="883">
                  <c:v>43.300000000000281</c:v>
                </c:pt>
                <c:pt idx="884">
                  <c:v>43.400000000000283</c:v>
                </c:pt>
                <c:pt idx="885">
                  <c:v>43.500000000000284</c:v>
                </c:pt>
                <c:pt idx="886">
                  <c:v>43.600000000000286</c:v>
                </c:pt>
                <c:pt idx="887">
                  <c:v>43.700000000000287</c:v>
                </c:pt>
                <c:pt idx="888">
                  <c:v>43.800000000000288</c:v>
                </c:pt>
                <c:pt idx="889">
                  <c:v>43.90000000000029</c:v>
                </c:pt>
                <c:pt idx="890">
                  <c:v>44.000000000000291</c:v>
                </c:pt>
                <c:pt idx="891">
                  <c:v>44.100000000000293</c:v>
                </c:pt>
                <c:pt idx="892">
                  <c:v>44.200000000000294</c:v>
                </c:pt>
                <c:pt idx="893">
                  <c:v>44.300000000000296</c:v>
                </c:pt>
                <c:pt idx="894">
                  <c:v>44.400000000000297</c:v>
                </c:pt>
                <c:pt idx="895">
                  <c:v>44.500000000000298</c:v>
                </c:pt>
                <c:pt idx="896">
                  <c:v>44.6000000000003</c:v>
                </c:pt>
                <c:pt idx="897">
                  <c:v>44.700000000000301</c:v>
                </c:pt>
                <c:pt idx="898">
                  <c:v>44.800000000000303</c:v>
                </c:pt>
                <c:pt idx="899">
                  <c:v>44.900000000000304</c:v>
                </c:pt>
                <c:pt idx="900">
                  <c:v>45.000000000000306</c:v>
                </c:pt>
                <c:pt idx="901">
                  <c:v>45.100000000000307</c:v>
                </c:pt>
                <c:pt idx="902">
                  <c:v>45.200000000000308</c:v>
                </c:pt>
                <c:pt idx="903">
                  <c:v>45.30000000000031</c:v>
                </c:pt>
                <c:pt idx="904">
                  <c:v>45.400000000000311</c:v>
                </c:pt>
                <c:pt idx="905">
                  <c:v>45.500000000000313</c:v>
                </c:pt>
                <c:pt idx="906">
                  <c:v>45.600000000000314</c:v>
                </c:pt>
                <c:pt idx="907">
                  <c:v>45.700000000000315</c:v>
                </c:pt>
                <c:pt idx="908">
                  <c:v>45.800000000000317</c:v>
                </c:pt>
                <c:pt idx="909">
                  <c:v>45.900000000000318</c:v>
                </c:pt>
                <c:pt idx="910">
                  <c:v>46.00000000000032</c:v>
                </c:pt>
                <c:pt idx="911">
                  <c:v>46.100000000000321</c:v>
                </c:pt>
                <c:pt idx="912">
                  <c:v>46.200000000000323</c:v>
                </c:pt>
                <c:pt idx="913">
                  <c:v>46.300000000000324</c:v>
                </c:pt>
                <c:pt idx="914">
                  <c:v>46.400000000000325</c:v>
                </c:pt>
                <c:pt idx="915">
                  <c:v>46.500000000000327</c:v>
                </c:pt>
                <c:pt idx="916">
                  <c:v>46.600000000000328</c:v>
                </c:pt>
                <c:pt idx="917">
                  <c:v>46.70000000000033</c:v>
                </c:pt>
                <c:pt idx="918">
                  <c:v>46.800000000000331</c:v>
                </c:pt>
                <c:pt idx="919">
                  <c:v>46.900000000000333</c:v>
                </c:pt>
                <c:pt idx="920">
                  <c:v>47.000000000000334</c:v>
                </c:pt>
                <c:pt idx="921">
                  <c:v>47.100000000000335</c:v>
                </c:pt>
                <c:pt idx="922">
                  <c:v>47.200000000000337</c:v>
                </c:pt>
                <c:pt idx="923">
                  <c:v>47.300000000000338</c:v>
                </c:pt>
                <c:pt idx="924">
                  <c:v>47.40000000000034</c:v>
                </c:pt>
                <c:pt idx="925">
                  <c:v>47.500000000000341</c:v>
                </c:pt>
                <c:pt idx="926">
                  <c:v>47.600000000000342</c:v>
                </c:pt>
                <c:pt idx="927">
                  <c:v>47.700000000000344</c:v>
                </c:pt>
                <c:pt idx="928">
                  <c:v>47.800000000000345</c:v>
                </c:pt>
                <c:pt idx="929">
                  <c:v>47.900000000000347</c:v>
                </c:pt>
                <c:pt idx="930">
                  <c:v>48.000000000000348</c:v>
                </c:pt>
                <c:pt idx="931">
                  <c:v>48.10000000000035</c:v>
                </c:pt>
                <c:pt idx="932">
                  <c:v>48.200000000000351</c:v>
                </c:pt>
                <c:pt idx="933">
                  <c:v>48.300000000000352</c:v>
                </c:pt>
                <c:pt idx="934">
                  <c:v>48.400000000000354</c:v>
                </c:pt>
                <c:pt idx="935">
                  <c:v>48.500000000000355</c:v>
                </c:pt>
                <c:pt idx="936">
                  <c:v>48.600000000000357</c:v>
                </c:pt>
                <c:pt idx="937">
                  <c:v>48.700000000000358</c:v>
                </c:pt>
                <c:pt idx="938">
                  <c:v>48.80000000000036</c:v>
                </c:pt>
                <c:pt idx="939">
                  <c:v>48.900000000000361</c:v>
                </c:pt>
                <c:pt idx="940">
                  <c:v>49.000000000000362</c:v>
                </c:pt>
                <c:pt idx="941">
                  <c:v>49.100000000000364</c:v>
                </c:pt>
                <c:pt idx="942">
                  <c:v>49.200000000000365</c:v>
                </c:pt>
                <c:pt idx="943">
                  <c:v>49.300000000000367</c:v>
                </c:pt>
                <c:pt idx="944">
                  <c:v>49.400000000000368</c:v>
                </c:pt>
                <c:pt idx="945">
                  <c:v>49.500000000000369</c:v>
                </c:pt>
                <c:pt idx="946">
                  <c:v>49.600000000000371</c:v>
                </c:pt>
                <c:pt idx="947">
                  <c:v>49.700000000000372</c:v>
                </c:pt>
                <c:pt idx="948">
                  <c:v>49.800000000000374</c:v>
                </c:pt>
                <c:pt idx="949">
                  <c:v>49.900000000000375</c:v>
                </c:pt>
                <c:pt idx="950">
                  <c:v>50.000000000000377</c:v>
                </c:pt>
                <c:pt idx="951">
                  <c:v>50.100000000000378</c:v>
                </c:pt>
                <c:pt idx="952">
                  <c:v>50.200000000000379</c:v>
                </c:pt>
                <c:pt idx="953">
                  <c:v>50.300000000000381</c:v>
                </c:pt>
                <c:pt idx="954">
                  <c:v>50.400000000000382</c:v>
                </c:pt>
                <c:pt idx="955">
                  <c:v>50.500000000000384</c:v>
                </c:pt>
                <c:pt idx="956">
                  <c:v>50.600000000000385</c:v>
                </c:pt>
                <c:pt idx="957">
                  <c:v>50.700000000000387</c:v>
                </c:pt>
                <c:pt idx="958">
                  <c:v>50.800000000000388</c:v>
                </c:pt>
                <c:pt idx="959">
                  <c:v>50.900000000000389</c:v>
                </c:pt>
                <c:pt idx="960">
                  <c:v>51.000000000000391</c:v>
                </c:pt>
                <c:pt idx="961">
                  <c:v>51.100000000000392</c:v>
                </c:pt>
                <c:pt idx="962">
                  <c:v>51.200000000000394</c:v>
                </c:pt>
                <c:pt idx="963">
                  <c:v>51.300000000000395</c:v>
                </c:pt>
                <c:pt idx="964">
                  <c:v>51.400000000000396</c:v>
                </c:pt>
                <c:pt idx="965">
                  <c:v>51.500000000000398</c:v>
                </c:pt>
                <c:pt idx="966">
                  <c:v>51.600000000000399</c:v>
                </c:pt>
                <c:pt idx="967">
                  <c:v>51.700000000000401</c:v>
                </c:pt>
                <c:pt idx="968">
                  <c:v>51.800000000000402</c:v>
                </c:pt>
                <c:pt idx="969">
                  <c:v>51.900000000000404</c:v>
                </c:pt>
                <c:pt idx="970">
                  <c:v>52.000000000000405</c:v>
                </c:pt>
                <c:pt idx="971">
                  <c:v>52.100000000000406</c:v>
                </c:pt>
                <c:pt idx="972">
                  <c:v>52.200000000000408</c:v>
                </c:pt>
                <c:pt idx="973">
                  <c:v>52.300000000000409</c:v>
                </c:pt>
                <c:pt idx="974">
                  <c:v>52.400000000000411</c:v>
                </c:pt>
                <c:pt idx="975">
                  <c:v>52.500000000000412</c:v>
                </c:pt>
                <c:pt idx="976">
                  <c:v>52.600000000000414</c:v>
                </c:pt>
                <c:pt idx="977">
                  <c:v>52.700000000000415</c:v>
                </c:pt>
                <c:pt idx="978">
                  <c:v>52.800000000000416</c:v>
                </c:pt>
                <c:pt idx="979">
                  <c:v>52.80010000000042</c:v>
                </c:pt>
                <c:pt idx="980">
                  <c:v>52.800200000000423</c:v>
                </c:pt>
                <c:pt idx="981">
                  <c:v>52.800300000000426</c:v>
                </c:pt>
                <c:pt idx="982">
                  <c:v>52.80040000000043</c:v>
                </c:pt>
                <c:pt idx="983">
                  <c:v>52.800500000000433</c:v>
                </c:pt>
                <c:pt idx="984">
                  <c:v>52.800600000000436</c:v>
                </c:pt>
                <c:pt idx="985">
                  <c:v>52.80070000000044</c:v>
                </c:pt>
                <c:pt idx="986">
                  <c:v>52.800800000000443</c:v>
                </c:pt>
                <c:pt idx="987">
                  <c:v>52.800900000000446</c:v>
                </c:pt>
                <c:pt idx="988">
                  <c:v>52.80100000000045</c:v>
                </c:pt>
                <c:pt idx="989">
                  <c:v>52.801100000000453</c:v>
                </c:pt>
                <c:pt idx="990">
                  <c:v>52.801200000000456</c:v>
                </c:pt>
                <c:pt idx="991">
                  <c:v>52.80130000000046</c:v>
                </c:pt>
                <c:pt idx="992">
                  <c:v>52.801400000000463</c:v>
                </c:pt>
                <c:pt idx="993">
                  <c:v>52.801500000000466</c:v>
                </c:pt>
                <c:pt idx="994">
                  <c:v>52.801600000000469</c:v>
                </c:pt>
                <c:pt idx="995">
                  <c:v>52.801700000000473</c:v>
                </c:pt>
                <c:pt idx="996">
                  <c:v>52.801800000000476</c:v>
                </c:pt>
                <c:pt idx="997">
                  <c:v>52.801900000000479</c:v>
                </c:pt>
                <c:pt idx="998">
                  <c:v>52.802000000000483</c:v>
                </c:pt>
                <c:pt idx="999">
                  <c:v>52.802100000000486</c:v>
                </c:pt>
                <c:pt idx="1000">
                  <c:v>52.802200000000489</c:v>
                </c:pt>
              </c:numCache>
            </c:numRef>
          </c:xVal>
          <c:yVal>
            <c:numRef>
              <c:f>Calculs!$J$4:$J$1004</c:f>
              <c:numCache>
                <c:formatCode>0.00</c:formatCode>
                <c:ptCount val="1001"/>
                <c:pt idx="0">
                  <c:v>0</c:v>
                </c:pt>
                <c:pt idx="1">
                  <c:v>6.9592588447546909E-5</c:v>
                </c:pt>
                <c:pt idx="2">
                  <c:v>4.0215545034946119E-4</c:v>
                </c:pt>
                <c:pt idx="3">
                  <c:v>1.172879364978986E-3</c:v>
                </c:pt>
                <c:pt idx="4">
                  <c:v>2.48462852950594E-3</c:v>
                </c:pt>
                <c:pt idx="5">
                  <c:v>4.4403812879911337E-3</c:v>
                </c:pt>
                <c:pt idx="6">
                  <c:v>7.1432469867924141E-3</c:v>
                </c:pt>
                <c:pt idx="7">
                  <c:v>1.0696482611053213E-2</c:v>
                </c:pt>
                <c:pt idx="8">
                  <c:v>1.520350920987577E-2</c:v>
                </c:pt>
                <c:pt idx="9">
                  <c:v>2.0767928117394252E-2</c:v>
                </c:pt>
                <c:pt idx="10">
                  <c:v>2.7493536976588039E-2</c:v>
                </c:pt>
                <c:pt idx="11">
                  <c:v>3.5454727107106954E-2</c:v>
                </c:pt>
                <c:pt idx="12">
                  <c:v>4.4666784179443614E-2</c:v>
                </c:pt>
                <c:pt idx="13">
                  <c:v>5.5115147665367327E-2</c:v>
                </c:pt>
                <c:pt idx="14">
                  <c:v>6.6784758758921925E-2</c:v>
                </c:pt>
                <c:pt idx="15">
                  <c:v>7.9660285857115168E-2</c:v>
                </c:pt>
                <c:pt idx="16">
                  <c:v>9.3726350724150087E-2</c:v>
                </c:pt>
                <c:pt idx="17">
                  <c:v>0.10896752933945941</c:v>
                </c:pt>
                <c:pt idx="18">
                  <c:v>0.12536835274620342</c:v>
                </c:pt>
                <c:pt idx="19">
                  <c:v>0.14291330790003251</c:v>
                </c:pt>
                <c:pt idx="20">
                  <c:v>0.16158683851791722</c:v>
                </c:pt>
                <c:pt idx="21">
                  <c:v>0.18137334592684917</c:v>
                </c:pt>
                <c:pt idx="22">
                  <c:v>0.20225718991221789</c:v>
                </c:pt>
                <c:pt idx="23">
                  <c:v>0.22422268956566926</c:v>
                </c:pt>
                <c:pt idx="24">
                  <c:v>0.24725412413225328</c:v>
                </c:pt>
                <c:pt idx="25">
                  <c:v>0.27133573385666948</c:v>
                </c:pt>
                <c:pt idx="26">
                  <c:v>0.29645172082842031</c:v>
                </c:pt>
                <c:pt idx="27">
                  <c:v>0.32259024264908276</c:v>
                </c:pt>
                <c:pt idx="28">
                  <c:v>0.34974741509684504</c:v>
                </c:pt>
                <c:pt idx="29">
                  <c:v>0.37796594717522364</c:v>
                </c:pt>
                <c:pt idx="30">
                  <c:v>0.40729014882851039</c:v>
                </c:pt>
                <c:pt idx="31">
                  <c:v>0.4377232935016816</c:v>
                </c:pt>
                <c:pt idx="32">
                  <c:v>0.46926857357445217</c:v>
                </c:pt>
                <c:pt idx="33">
                  <c:v>0.50192907823296296</c:v>
                </c:pt>
                <c:pt idx="34">
                  <c:v>0.53570779902684318</c:v>
                </c:pt>
                <c:pt idx="35">
                  <c:v>0.57060763492669575</c:v>
                </c:pt>
                <c:pt idx="36">
                  <c:v>0.60663139694023893</c:v>
                </c:pt>
                <c:pt idx="37">
                  <c:v>0.64378181233707399</c:v>
                </c:pt>
                <c:pt idx="38">
                  <c:v>0.68206152852515933</c:v>
                </c:pt>
                <c:pt idx="39">
                  <c:v>0.72147311661629165</c:v>
                </c:pt>
                <c:pt idx="40">
                  <c:v>0.76201907471302455</c:v>
                </c:pt>
                <c:pt idx="41">
                  <c:v>0.80370183094532943</c:v>
                </c:pt>
                <c:pt idx="42">
                  <c:v>0.84652374628179472</c:v>
                </c:pt>
                <c:pt idx="43">
                  <c:v>0.89048711713715833</c:v>
                </c:pt>
                <c:pt idx="44">
                  <c:v>0.935594177795398</c:v>
                </c:pt>
                <c:pt idx="45">
                  <c:v>0.98184710266538588</c:v>
                </c:pt>
                <c:pt idx="46">
                  <c:v>1.0292480083841988</c:v>
                </c:pt>
                <c:pt idx="47">
                  <c:v>1.0777989557815135</c:v>
                </c:pt>
                <c:pt idx="48">
                  <c:v>1.1275019517170699</c:v>
                </c:pt>
                <c:pt idx="49">
                  <c:v>1.1783589508019219</c:v>
                </c:pt>
                <c:pt idx="50">
                  <c:v>1.2303718570130888</c:v>
                </c:pt>
                <c:pt idx="51">
                  <c:v>1.2835425252102501</c:v>
                </c:pt>
                <c:pt idx="52">
                  <c:v>1.3378727625622671</c:v>
                </c:pt>
                <c:pt idx="53">
                  <c:v>1.3933643298905627</c:v>
                </c:pt>
                <c:pt idx="54">
                  <c:v>1.4500189429357204</c:v>
                </c:pt>
                <c:pt idx="55">
                  <c:v>1.5078382735530662</c:v>
                </c:pt>
                <c:pt idx="56">
                  <c:v>1.5668239508424726</c:v>
                </c:pt>
                <c:pt idx="57">
                  <c:v>1.6269775622171505</c:v>
                </c:pt>
                <c:pt idx="58">
                  <c:v>1.6883006544157739</c:v>
                </c:pt>
                <c:pt idx="59">
                  <c:v>1.7507947344619046</c:v>
                </c:pt>
                <c:pt idx="60">
                  <c:v>1.8144612705743457</c:v>
                </c:pt>
                <c:pt idx="61">
                  <c:v>1.8793016930317497</c:v>
                </c:pt>
                <c:pt idx="62">
                  <c:v>1.9453173949945302</c:v>
                </c:pt>
                <c:pt idx="63">
                  <c:v>2.0125097332868811</c:v>
                </c:pt>
                <c:pt idx="64">
                  <c:v>2.0808800291414813</c:v>
                </c:pt>
                <c:pt idx="65">
                  <c:v>2.1504295689092645</c:v>
                </c:pt>
                <c:pt idx="66">
                  <c:v>2.2211596047364424</c:v>
                </c:pt>
                <c:pt idx="67">
                  <c:v>2.2930713552108126</c:v>
                </c:pt>
                <c:pt idx="68">
                  <c:v>2.3661660059792204</c:v>
                </c:pt>
                <c:pt idx="69">
                  <c:v>2.4404447103379141</c:v>
                </c:pt>
                <c:pt idx="70">
                  <c:v>2.5159085897974016</c:v>
                </c:pt>
                <c:pt idx="71">
                  <c:v>2.5925587346233026</c:v>
                </c:pt>
                <c:pt idx="72">
                  <c:v>2.6703961545319097</c:v>
                </c:pt>
                <c:pt idx="73">
                  <c:v>2.7494217290962908</c:v>
                </c:pt>
                <c:pt idx="74">
                  <c:v>2.8296362576969791</c:v>
                </c:pt>
                <c:pt idx="75">
                  <c:v>2.9110405097301584</c:v>
                </c:pt>
                <c:pt idx="76">
                  <c:v>2.9936352250639677</c:v>
                </c:pt>
                <c:pt idx="77">
                  <c:v>3.0774211144773687</c:v>
                </c:pt>
                <c:pt idx="78">
                  <c:v>3.1623988600825217</c:v>
                </c:pt>
                <c:pt idx="79">
                  <c:v>3.2485691157315499</c:v>
                </c:pt>
                <c:pt idx="80">
                  <c:v>3.3359325074085171</c:v>
                </c:pt>
                <c:pt idx="81">
                  <c:v>3.424489633607394</c:v>
                </c:pt>
                <c:pt idx="82">
                  <c:v>3.5142410656967424</c:v>
                </c:pt>
                <c:pt idx="83">
                  <c:v>3.6051873482717895</c:v>
                </c:pt>
                <c:pt idx="84">
                  <c:v>3.6973289994945433</c:v>
                </c:pt>
                <c:pt idx="85">
                  <c:v>3.7906665114225402</c:v>
                </c:pt>
                <c:pt idx="86">
                  <c:v>3.8852003503267976</c:v>
                </c:pt>
                <c:pt idx="87">
                  <c:v>3.9809309569995008</c:v>
                </c:pt>
                <c:pt idx="88">
                  <c:v>4.0778587470519261</c:v>
                </c:pt>
                <c:pt idx="89">
                  <c:v>4.175984111203074</c:v>
                </c:pt>
                <c:pt idx="90">
                  <c:v>4.2753074155594586</c:v>
                </c:pt>
                <c:pt idx="91">
                  <c:v>4.3758290018864727</c:v>
                </c:pt>
                <c:pt idx="92">
                  <c:v>4.4775491878717277</c:v>
                </c:pt>
                <c:pt idx="93">
                  <c:v>4.580468267380744</c:v>
                </c:pt>
                <c:pt idx="94">
                  <c:v>4.6845865107053486</c:v>
                </c:pt>
                <c:pt idx="95">
                  <c:v>4.7899041648051126</c:v>
                </c:pt>
                <c:pt idx="96">
                  <c:v>4.8964214535421533</c:v>
                </c:pt>
                <c:pt idx="97">
                  <c:v>5.0041385779095942</c:v>
                </c:pt>
                <c:pt idx="98">
                  <c:v>5.113055716253978</c:v>
                </c:pt>
                <c:pt idx="99">
                  <c:v>5.2231730244918975</c:v>
                </c:pt>
                <c:pt idx="100">
                  <c:v>5.3344906363211049</c:v>
                </c:pt>
                <c:pt idx="101">
                  <c:v>5.4470086634263417</c:v>
                </c:pt>
                <c:pt idx="102">
                  <c:v>5.5607271956801236</c:v>
                </c:pt>
                <c:pt idx="103">
                  <c:v>5.6756463013386975</c:v>
                </c:pt>
                <c:pt idx="104">
                  <c:v>5.7917660272333862</c:v>
                </c:pt>
                <c:pt idx="105">
                  <c:v>5.9090863989575135</c:v>
                </c:pt>
                <c:pt idx="106">
                  <c:v>6.0276074210491046</c:v>
                </c:pt>
                <c:pt idx="107">
                  <c:v>6.1473290771695392</c:v>
                </c:pt>
                <c:pt idx="108">
                  <c:v>6.2682513302783303</c:v>
                </c:pt>
                <c:pt idx="109">
                  <c:v>6.3903741228041948</c:v>
                </c:pt>
                <c:pt idx="110">
                  <c:v>6.5136973768125692</c:v>
                </c:pt>
                <c:pt idx="111">
                  <c:v>6.6382209941697186</c:v>
                </c:pt>
                <c:pt idx="112">
                  <c:v>6.7639448567035885</c:v>
                </c:pt>
                <c:pt idx="113">
                  <c:v>6.8908688263615234</c:v>
                </c:pt>
                <c:pt idx="114">
                  <c:v>7.0189927453649918</c:v>
                </c:pt>
                <c:pt idx="115">
                  <c:v>7.148316436361438</c:v>
                </c:pt>
                <c:pt idx="116">
                  <c:v>7.2788397025733733</c:v>
                </c:pt>
                <c:pt idx="117">
                  <c:v>7.4105623279448301</c:v>
                </c:pt>
                <c:pt idx="118">
                  <c:v>7.543484077285278</c:v>
                </c:pt>
                <c:pt idx="119">
                  <c:v>7.6776046964111089</c:v>
                </c:pt>
                <c:pt idx="120">
                  <c:v>7.8129239122847869</c:v>
                </c:pt>
                <c:pt idx="121">
                  <c:v>7.9494414331517635</c:v>
                </c:pt>
                <c:pt idx="122">
                  <c:v>8.0871569486752399</c:v>
                </c:pt>
                <c:pt idx="123">
                  <c:v>8.2260701300688712</c:v>
                </c:pt>
                <c:pt idx="124">
                  <c:v>8.3661806302274897</c:v>
                </c:pt>
                <c:pt idx="125">
                  <c:v>8.5074880838559253</c:v>
                </c:pt>
                <c:pt idx="126">
                  <c:v>8.6499921075960096</c:v>
                </c:pt>
                <c:pt idx="127">
                  <c:v>8.7936923001518181</c:v>
                </c:pt>
                <c:pt idx="128">
                  <c:v>8.9385882424132426</c:v>
                </c:pt>
                <c:pt idx="129">
                  <c:v>9.0846792530837046</c:v>
                </c:pt>
                <c:pt idx="130">
                  <c:v>9.2319641435110977</c:v>
                </c:pt>
                <c:pt idx="131">
                  <c:v>9.380441461367548</c:v>
                </c:pt>
                <c:pt idx="132">
                  <c:v>9.5301097351468904</c:v>
                </c:pt>
                <c:pt idx="133">
                  <c:v>9.680967474328412</c:v>
                </c:pt>
                <c:pt idx="134">
                  <c:v>9.8330131695388623</c:v>
                </c:pt>
                <c:pt idx="135">
                  <c:v>9.9862452927127787</c:v>
                </c:pt>
                <c:pt idx="136">
                  <c:v>10.140662297251204</c:v>
                </c:pt>
                <c:pt idx="137">
                  <c:v>10.296262618178851</c:v>
                </c:pt>
                <c:pt idx="138">
                  <c:v>10.453044672299761</c:v>
                </c:pt>
                <c:pt idx="139">
                  <c:v>10.611006858351525</c:v>
                </c:pt>
                <c:pt idx="140">
                  <c:v>10.770147557158101</c:v>
                </c:pt>
                <c:pt idx="141">
                  <c:v>10.930465131781297</c:v>
                </c:pt>
                <c:pt idx="142">
                  <c:v>11.091957927670951</c:v>
                </c:pt>
                <c:pt idx="143">
                  <c:v>11.254624272813855</c:v>
                </c:pt>
                <c:pt idx="144">
                  <c:v>11.41846247788148</c:v>
                </c:pt>
                <c:pt idx="145">
                  <c:v>11.58347083637652</c:v>
                </c:pt>
                <c:pt idx="146">
                  <c:v>11.749647624778321</c:v>
                </c:pt>
                <c:pt idx="147">
                  <c:v>11.916991102687208</c:v>
                </c:pt>
                <c:pt idx="148">
                  <c:v>12.085499512967761</c:v>
                </c:pt>
                <c:pt idx="149">
                  <c:v>12.25517108189108</c:v>
                </c:pt>
                <c:pt idx="150">
                  <c:v>12.426004019276046</c:v>
                </c:pt>
                <c:pt idx="151">
                  <c:v>12.59799651862965</c:v>
                </c:pt>
                <c:pt idx="152">
                  <c:v>12.771146757286374</c:v>
                </c:pt>
                <c:pt idx="153">
                  <c:v>12.945452896546692</c:v>
                </c:pt>
                <c:pt idx="154">
                  <c:v>13.120913081814706</c:v>
                </c:pt>
                <c:pt idx="155">
                  <c:v>13.297525442734928</c:v>
                </c:pt>
                <c:pt idx="156">
                  <c:v>13.47528809332826</c:v>
                </c:pt>
                <c:pt idx="157">
                  <c:v>13.654199132127173</c:v>
                </c:pt>
                <c:pt idx="158">
                  <c:v>13.834256642310132</c:v>
                </c:pt>
                <c:pt idx="159">
                  <c:v>14.015458691835258</c:v>
                </c:pt>
                <c:pt idx="160">
                  <c:v>14.197803333573288</c:v>
                </c:pt>
                <c:pt idx="161">
                  <c:v>14.38128860543981</c:v>
                </c:pt>
                <c:pt idx="162">
                  <c:v>14.565912530526832</c:v>
                </c:pt>
                <c:pt idx="163">
                  <c:v>14.751673117233675</c:v>
                </c:pt>
                <c:pt idx="164">
                  <c:v>14.938568359397225</c:v>
                </c:pt>
                <c:pt idx="165">
                  <c:v>15.12659623642155</c:v>
                </c:pt>
                <c:pt idx="166">
                  <c:v>15.315754713406909</c:v>
                </c:pt>
                <c:pt idx="167">
                  <c:v>15.506041741278155</c:v>
                </c:pt>
                <c:pt idx="168">
                  <c:v>15.69745525691256</c:v>
                </c:pt>
                <c:pt idx="169">
                  <c:v>15.889993183267071</c:v>
                </c:pt>
                <c:pt idx="170">
                  <c:v>16.083653429505006</c:v>
                </c:pt>
                <c:pt idx="171">
                  <c:v>16.278433891122202</c:v>
                </c:pt>
                <c:pt idx="172">
                  <c:v>16.474332450072644</c:v>
                </c:pt>
                <c:pt idx="173">
                  <c:v>16.671346974893574</c:v>
                </c:pt>
                <c:pt idx="174">
                  <c:v>16.86947532083007</c:v>
                </c:pt>
                <c:pt idx="175">
                  <c:v>17.068715329959151</c:v>
                </c:pt>
                <c:pt idx="176">
                  <c:v>17.269064831313393</c:v>
                </c:pt>
                <c:pt idx="177">
                  <c:v>17.470521641004044</c:v>
                </c:pt>
                <c:pt idx="178">
                  <c:v>17.673083562343688</c:v>
                </c:pt>
                <c:pt idx="179">
                  <c:v>17.876748385968448</c:v>
                </c:pt>
                <c:pt idx="180">
                  <c:v>18.081513889959727</c:v>
                </c:pt>
                <c:pt idx="181">
                  <c:v>18.287377839965512</c:v>
                </c:pt>
                <c:pt idx="182">
                  <c:v>18.494337989321224</c:v>
                </c:pt>
                <c:pt idx="183">
                  <c:v>18.70239207917016</c:v>
                </c:pt>
                <c:pt idx="184">
                  <c:v>18.911537838583495</c:v>
                </c:pt>
                <c:pt idx="185">
                  <c:v>19.121772984679858</c:v>
                </c:pt>
                <c:pt idx="186">
                  <c:v>19.333095222744515</c:v>
                </c:pt>
                <c:pt idx="187">
                  <c:v>19.545502246348125</c:v>
                </c:pt>
                <c:pt idx="188">
                  <c:v>19.758991737465106</c:v>
                </c:pt>
                <c:pt idx="189">
                  <c:v>19.973561366591593</c:v>
                </c:pt>
                <c:pt idx="190">
                  <c:v>20.18920879286301</c:v>
                </c:pt>
                <c:pt idx="191">
                  <c:v>20.405931664171241</c:v>
                </c:pt>
                <c:pt idx="192">
                  <c:v>20.623727617281432</c:v>
                </c:pt>
                <c:pt idx="193">
                  <c:v>20.84259427794839</c:v>
                </c:pt>
                <c:pt idx="194">
                  <c:v>21.062529261032623</c:v>
                </c:pt>
                <c:pt idx="195">
                  <c:v>21.283530170615986</c:v>
                </c:pt>
                <c:pt idx="196">
                  <c:v>21.505594600116972</c:v>
                </c:pt>
                <c:pt idx="197">
                  <c:v>21.728720132405602</c:v>
                </c:pt>
                <c:pt idx="198">
                  <c:v>21.952904339917989</c:v>
                </c:pt>
                <c:pt idx="199">
                  <c:v>22.178144784770492</c:v>
                </c:pt>
                <c:pt idx="200">
                  <c:v>22.404439018873539</c:v>
                </c:pt>
                <c:pt idx="201">
                  <c:v>22.631784584045068</c:v>
                </c:pt>
                <c:pt idx="202">
                  <c:v>22.860179012123609</c:v>
                </c:pt>
                <c:pt idx="203">
                  <c:v>23.089619825081016</c:v>
                </c:pt>
                <c:pt idx="204">
                  <c:v>23.320104535134824</c:v>
                </c:pt>
                <c:pt idx="205">
                  <c:v>23.551630644860264</c:v>
                </c:pt>
                <c:pt idx="206">
                  <c:v>23.784195584116681</c:v>
                </c:pt>
                <c:pt idx="207">
                  <c:v>24.017796646870739</c:v>
                </c:pt>
                <c:pt idx="208">
                  <c:v>24.252431054422377</c:v>
                </c:pt>
                <c:pt idx="209">
                  <c:v>24.488096018737899</c:v>
                </c:pt>
                <c:pt idx="210">
                  <c:v>24.724788742569402</c:v>
                </c:pt>
                <c:pt idx="211">
                  <c:v>24.962506419573788</c:v>
                </c:pt>
                <c:pt idx="212">
                  <c:v>25.201246234431348</c:v>
                </c:pt>
                <c:pt idx="213">
                  <c:v>25.441005362963917</c:v>
                </c:pt>
                <c:pt idx="214">
                  <c:v>25.681780972252614</c:v>
                </c:pt>
                <c:pt idx="215">
                  <c:v>25.923570220755156</c:v>
                </c:pt>
                <c:pt idx="216">
                  <c:v>26.166370258422738</c:v>
                </c:pt>
                <c:pt idx="217">
                  <c:v>26.410178226816502</c:v>
                </c:pt>
                <c:pt idx="218">
                  <c:v>26.654991259223564</c:v>
                </c:pt>
                <c:pt idx="219">
                  <c:v>26.90080648077263</c:v>
                </c:pt>
                <c:pt idx="220">
                  <c:v>27.147621008549173</c:v>
                </c:pt>
                <c:pt idx="221">
                  <c:v>27.395431951710176</c:v>
                </c:pt>
                <c:pt idx="222">
                  <c:v>27.644236411598456</c:v>
                </c:pt>
                <c:pt idx="223">
                  <c:v>27.894031481856558</c:v>
                </c:pt>
                <c:pt idx="224">
                  <c:v>28.144814248540204</c:v>
                </c:pt>
                <c:pt idx="225">
                  <c:v>28.396581790231306</c:v>
                </c:pt>
                <c:pt idx="226">
                  <c:v>28.649331178150565</c:v>
                </c:pt>
                <c:pt idx="227">
                  <c:v>28.903059476269611</c:v>
                </c:pt>
                <c:pt idx="228">
                  <c:v>29.157763741422716</c:v>
                </c:pt>
                <c:pt idx="229">
                  <c:v>29.413441023418052</c:v>
                </c:pt>
                <c:pt idx="230">
                  <c:v>29.67008836514853</c:v>
                </c:pt>
                <c:pt idx="231">
                  <c:v>29.927702802702171</c:v>
                </c:pt>
                <c:pt idx="232">
                  <c:v>30.186281365472063</c:v>
                </c:pt>
                <c:pt idx="233">
                  <c:v>30.445821076265826</c:v>
                </c:pt>
                <c:pt idx="234">
                  <c:v>30.706318951414669</c:v>
                </c:pt>
                <c:pt idx="235">
                  <c:v>30.967772000881983</c:v>
                </c:pt>
                <c:pt idx="236">
                  <c:v>31.230177228371463</c:v>
                </c:pt>
                <c:pt idx="237">
                  <c:v>31.493531631434813</c:v>
                </c:pt>
                <c:pt idx="238">
                  <c:v>31.75783220157895</c:v>
                </c:pt>
                <c:pt idx="239">
                  <c:v>32.02307592437279</c:v>
                </c:pt>
                <c:pt idx="240">
                  <c:v>32.289259779553554</c:v>
                </c:pt>
                <c:pt idx="241">
                  <c:v>32.5563807411326</c:v>
                </c:pt>
                <c:pt idx="242">
                  <c:v>32.824435553993276</c:v>
                </c:pt>
                <c:pt idx="243">
                  <c:v>33.093420510255243</c:v>
                </c:pt>
                <c:pt idx="244">
                  <c:v>33.363331672865371</c:v>
                </c:pt>
                <c:pt idx="245">
                  <c:v>33.634165099435975</c:v>
                </c:pt>
                <c:pt idx="246">
                  <c:v>33.905916842377763</c:v>
                </c:pt>
                <c:pt idx="247">
                  <c:v>34.17858294903202</c:v>
                </c:pt>
                <c:pt idx="248">
                  <c:v>34.452159461802019</c:v>
                </c:pt>
                <c:pt idx="249">
                  <c:v>34.726642418283717</c:v>
                </c:pt>
                <c:pt idx="250">
                  <c:v>35.002027851395674</c:v>
                </c:pt>
                <c:pt idx="251">
                  <c:v>35.278311789508209</c:v>
                </c:pt>
                <c:pt idx="252">
                  <c:v>35.555490256571801</c:v>
                </c:pt>
                <c:pt idx="253">
                  <c:v>35.833559272244749</c:v>
                </c:pt>
                <c:pt idx="254">
                  <c:v>36.112514852020006</c:v>
                </c:pt>
                <c:pt idx="255">
                  <c:v>36.392353007351311</c:v>
                </c:pt>
                <c:pt idx="256">
                  <c:v>36.673069745778527</c:v>
                </c:pt>
                <c:pt idx="257">
                  <c:v>36.954661071052179</c:v>
                </c:pt>
                <c:pt idx="258">
                  <c:v>37.237122983257258</c:v>
                </c:pt>
                <c:pt idx="259">
                  <c:v>37.520451478936238</c:v>
                </c:pt>
                <c:pt idx="260">
                  <c:v>37.804642551211295</c:v>
                </c:pt>
                <c:pt idx="261">
                  <c:v>38.089692189905762</c:v>
                </c:pt>
                <c:pt idx="262">
                  <c:v>38.375596381664799</c:v>
                </c:pt>
                <c:pt idx="263">
                  <c:v>38.662351110075278</c:v>
                </c:pt>
                <c:pt idx="264">
                  <c:v>38.94995235578488</c:v>
                </c:pt>
                <c:pt idx="265">
                  <c:v>39.238396096620406</c:v>
                </c:pt>
                <c:pt idx="266">
                  <c:v>39.527678307705294</c:v>
                </c:pt>
                <c:pt idx="267">
                  <c:v>39.817794961576332</c:v>
                </c:pt>
                <c:pt idx="268">
                  <c:v>40.108742028299623</c:v>
                </c:pt>
                <c:pt idx="269">
                  <c:v>40.400515475585692</c:v>
                </c:pt>
                <c:pt idx="270">
                  <c:v>40.693111268903834</c:v>
                </c:pt>
                <c:pt idx="271">
                  <c:v>40.986525371595668</c:v>
                </c:pt>
                <c:pt idx="272">
                  <c:v>41.280753744987869</c:v>
                </c:pt>
                <c:pt idx="273">
                  <c:v>41.575792348504102</c:v>
                </c:pt>
                <c:pt idx="274">
                  <c:v>41.871637139776169</c:v>
                </c:pt>
                <c:pt idx="275">
                  <c:v>42.168284074754339</c:v>
                </c:pt>
                <c:pt idx="276">
                  <c:v>42.465729107816877</c:v>
                </c:pt>
                <c:pt idx="277">
                  <c:v>42.76396819187876</c:v>
                </c:pt>
                <c:pt idx="278">
                  <c:v>43.062997278499587</c:v>
                </c:pt>
                <c:pt idx="279">
                  <c:v>43.362812317990695</c:v>
                </c:pt>
                <c:pt idx="280">
                  <c:v>43.663409259521437</c:v>
                </c:pt>
                <c:pt idx="281">
                  <c:v>43.964784051224676</c:v>
                </c:pt>
                <c:pt idx="282">
                  <c:v>44.266932640301455</c:v>
                </c:pt>
                <c:pt idx="283">
                  <c:v>44.569850973124836</c:v>
                </c:pt>
                <c:pt idx="284">
                  <c:v>44.87353526424522</c:v>
                </c:pt>
                <c:pt idx="285">
                  <c:v>45.177982265501512</c:v>
                </c:pt>
                <c:pt idx="286">
                  <c:v>45.483188996947497</c:v>
                </c:pt>
                <c:pt idx="287">
                  <c:v>45.789152477656756</c:v>
                </c:pt>
                <c:pt idx="288">
                  <c:v>46.095869725794813</c:v>
                </c:pt>
                <c:pt idx="289">
                  <c:v>46.403337758690789</c:v>
                </c:pt>
                <c:pt idx="290">
                  <c:v>46.711553592908544</c:v>
                </c:pt>
                <c:pt idx="291">
                  <c:v>47.020514244317354</c:v>
                </c:pt>
                <c:pt idx="292">
                  <c:v>47.330216728162085</c:v>
                </c:pt>
                <c:pt idx="293">
                  <c:v>47.640658059132882</c:v>
                </c:pt>
                <c:pt idx="294">
                  <c:v>47.951835251434353</c:v>
                </c:pt>
                <c:pt idx="295">
                  <c:v>48.263745318854291</c:v>
                </c:pt>
                <c:pt idx="296">
                  <c:v>48.576385274831857</c:v>
                </c:pt>
                <c:pt idx="297">
                  <c:v>48.889752132525317</c:v>
                </c:pt>
                <c:pt idx="298">
                  <c:v>49.203842904879252</c:v>
                </c:pt>
                <c:pt idx="299">
                  <c:v>49.518654604691299</c:v>
                </c:pt>
                <c:pt idx="300">
                  <c:v>49.834184244678383</c:v>
                </c:pt>
                <c:pt idx="301">
                  <c:v>50.150428837542442</c:v>
                </c:pt>
                <c:pt idx="302">
                  <c:v>50.467385396035695</c:v>
                </c:pt>
                <c:pt idx="303">
                  <c:v>50.785050933025381</c:v>
                </c:pt>
                <c:pt idx="304">
                  <c:v>51.103422461558011</c:v>
                </c:pt>
                <c:pt idx="305">
                  <c:v>51.422496994923151</c:v>
                </c:pt>
                <c:pt idx="306">
                  <c:v>51.742271546716673</c:v>
                </c:pt>
                <c:pt idx="307">
                  <c:v>52.06274313090352</c:v>
                </c:pt>
                <c:pt idx="308">
                  <c:v>52.383908761879994</c:v>
                </c:pt>
                <c:pt idx="309">
                  <c:v>52.705765454535538</c:v>
                </c:pt>
                <c:pt idx="310">
                  <c:v>53.028310224314026</c:v>
                </c:pt>
                <c:pt idx="311">
                  <c:v>53.351540087274536</c:v>
                </c:pt>
                <c:pt idx="312">
                  <c:v>53.675452060151663</c:v>
                </c:pt>
                <c:pt idx="313">
                  <c:v>54.000043160415323</c:v>
                </c:pt>
                <c:pt idx="314">
                  <c:v>54.325310406330047</c:v>
                </c:pt>
                <c:pt idx="315">
                  <c:v>54.651250817013803</c:v>
                </c:pt>
                <c:pt idx="316">
                  <c:v>54.977861412496324</c:v>
                </c:pt>
                <c:pt idx="317">
                  <c:v>55.305139213776911</c:v>
                </c:pt>
                <c:pt idx="318">
                  <c:v>55.633081242881794</c:v>
                </c:pt>
                <c:pt idx="319">
                  <c:v>55.961684522920947</c:v>
                </c:pt>
                <c:pt idx="320">
                  <c:v>56.290946078144458</c:v>
                </c:pt>
                <c:pt idx="321">
                  <c:v>56.620862933998353</c:v>
                </c:pt>
                <c:pt idx="322">
                  <c:v>56.951432117179998</c:v>
                </c:pt>
                <c:pt idx="323">
                  <c:v>57.282650655692933</c:v>
                </c:pt>
                <c:pt idx="324">
                  <c:v>57.614515578901283</c:v>
                </c:pt>
                <c:pt idx="325">
                  <c:v>57.947023917583635</c:v>
                </c:pt>
                <c:pt idx="326">
                  <c:v>58.280172720881552</c:v>
                </c:pt>
                <c:pt idx="327">
                  <c:v>58.613959073246448</c:v>
                </c:pt>
                <c:pt idx="328">
                  <c:v>58.948380077565936</c:v>
                </c:pt>
                <c:pt idx="329">
                  <c:v>59.283432838290281</c:v>
                </c:pt>
                <c:pt idx="330">
                  <c:v>59.619114461482582</c:v>
                </c:pt>
                <c:pt idx="331">
                  <c:v>59.955422054868478</c:v>
                </c:pt>
                <c:pt idx="332">
                  <c:v>60.292352727885401</c:v>
                </c:pt>
                <c:pt idx="333">
                  <c:v>60.629903591731342</c:v>
                </c:pt>
                <c:pt idx="334">
                  <c:v>60.968071759413192</c:v>
                </c:pt>
                <c:pt idx="335">
                  <c:v>61.306854345794562</c:v>
                </c:pt>
                <c:pt idx="336">
                  <c:v>61.646248467643176</c:v>
                </c:pt>
                <c:pt idx="337">
                  <c:v>61.986251243677799</c:v>
                </c:pt>
                <c:pt idx="338">
                  <c:v>62.326859794614677</c:v>
                </c:pt>
                <c:pt idx="339">
                  <c:v>62.668071243213546</c:v>
                </c:pt>
                <c:pt idx="340">
                  <c:v>63.009882714323162</c:v>
                </c:pt>
                <c:pt idx="341">
                  <c:v>63.35229133492637</c:v>
                </c:pt>
                <c:pt idx="342">
                  <c:v>63.695294234184722</c:v>
                </c:pt>
                <c:pt idx="343">
                  <c:v>64.038888543482628</c:v>
                </c:pt>
                <c:pt idx="344">
                  <c:v>64.383071396471081</c:v>
                </c:pt>
                <c:pt idx="345">
                  <c:v>64.727839929110857</c:v>
                </c:pt>
                <c:pt idx="346">
                  <c:v>65.07319127971536</c:v>
                </c:pt>
                <c:pt idx="347">
                  <c:v>65.419122588992906</c:v>
                </c:pt>
                <c:pt idx="348">
                  <c:v>65.765631000088632</c:v>
                </c:pt>
                <c:pt idx="349">
                  <c:v>66.112713658625935</c:v>
                </c:pt>
                <c:pt idx="350">
                  <c:v>66.460367712747427</c:v>
                </c:pt>
                <c:pt idx="351">
                  <c:v>66.808590313155506</c:v>
                </c:pt>
                <c:pt idx="352">
                  <c:v>67.157378613152417</c:v>
                </c:pt>
                <c:pt idx="353">
                  <c:v>67.50672976867989</c:v>
                </c:pt>
                <c:pt idx="354">
                  <c:v>67.856640938358353</c:v>
                </c:pt>
                <c:pt idx="355">
                  <c:v>68.207109283525668</c:v>
                </c:pt>
                <c:pt idx="356">
                  <c:v>68.558131968275433</c:v>
                </c:pt>
                <c:pt idx="357">
                  <c:v>68.90970615949486</c:v>
                </c:pt>
                <c:pt idx="358">
                  <c:v>69.26182902690222</c:v>
                </c:pt>
                <c:pt idx="359">
                  <c:v>69.614497743083817</c:v>
                </c:pt>
                <c:pt idx="360">
                  <c:v>69.967709483530527</c:v>
                </c:pt>
                <c:pt idx="361">
                  <c:v>70.321461426673935</c:v>
                </c:pt>
                <c:pt idx="362">
                  <c:v>70.675750753922017</c:v>
                </c:pt>
                <c:pt idx="363">
                  <c:v>71.030574649694387</c:v>
                </c:pt>
                <c:pt idx="364">
                  <c:v>71.385930301457122</c:v>
                </c:pt>
                <c:pt idx="365">
                  <c:v>71.741814899757145</c:v>
                </c:pt>
                <c:pt idx="366">
                  <c:v>72.098226075289318</c:v>
                </c:pt>
                <c:pt idx="367">
                  <c:v>72.45516233576997</c:v>
                </c:pt>
                <c:pt idx="368">
                  <c:v>72.812622627854566</c:v>
                </c:pt>
                <c:pt idx="369">
                  <c:v>73.170605899237927</c:v>
                </c:pt>
                <c:pt idx="370">
                  <c:v>73.529111098666391</c:v>
                </c:pt>
                <c:pt idx="371">
                  <c:v>73.888137175949836</c:v>
                </c:pt>
                <c:pt idx="372">
                  <c:v>74.247683081973619</c:v>
                </c:pt>
                <c:pt idx="373">
                  <c:v>74.607747768710425</c:v>
                </c:pt>
                <c:pt idx="374">
                  <c:v>74.968330189231978</c:v>
                </c:pt>
                <c:pt idx="375">
                  <c:v>75.329429297720736</c:v>
                </c:pt>
                <c:pt idx="376">
                  <c:v>75.691044049481391</c:v>
                </c:pt>
                <c:pt idx="377">
                  <c:v>76.053173400952318</c:v>
                </c:pt>
                <c:pt idx="378">
                  <c:v>76.415816309716959</c:v>
                </c:pt>
                <c:pt idx="379">
                  <c:v>76.778971734515039</c:v>
                </c:pt>
                <c:pt idx="380">
                  <c:v>77.142638635253732</c:v>
                </c:pt>
                <c:pt idx="381">
                  <c:v>77.506815497845281</c:v>
                </c:pt>
                <c:pt idx="382">
                  <c:v>77.871499859292712</c:v>
                </c:pt>
                <c:pt idx="383">
                  <c:v>78.23668878412316</c:v>
                </c:pt>
                <c:pt idx="384">
                  <c:v>78.602379340583241</c:v>
                </c:pt>
                <c:pt idx="385">
                  <c:v>78.968568600670309</c:v>
                </c:pt>
                <c:pt idx="386">
                  <c:v>79.335253640163273</c:v>
                </c:pt>
                <c:pt idx="387">
                  <c:v>79.702431538652959</c:v>
                </c:pt>
                <c:pt idx="388">
                  <c:v>80.070099379572014</c:v>
                </c:pt>
                <c:pt idx="389">
                  <c:v>80.438254250224389</c:v>
                </c:pt>
                <c:pt idx="390">
                  <c:v>80.806893241814379</c:v>
                </c:pt>
                <c:pt idx="391">
                  <c:v>81.176013449475207</c:v>
                </c:pt>
                <c:pt idx="392">
                  <c:v>81.545611972297209</c:v>
                </c:pt>
                <c:pt idx="393">
                  <c:v>81.915685913355532</c:v>
                </c:pt>
                <c:pt idx="394">
                  <c:v>82.286232379737484</c:v>
                </c:pt>
                <c:pt idx="395">
                  <c:v>82.657248482569329</c:v>
                </c:pt>
                <c:pt idx="396">
                  <c:v>83.0287313370428</c:v>
                </c:pt>
                <c:pt idx="397">
                  <c:v>83.400678062441074</c:v>
                </c:pt>
                <c:pt idx="398">
                  <c:v>83.773085782164372</c:v>
                </c:pt>
                <c:pt idx="399">
                  <c:v>84.145951623755124</c:v>
                </c:pt>
                <c:pt idx="400">
                  <c:v>84.519272718922736</c:v>
                </c:pt>
                <c:pt idx="401">
                  <c:v>84.893045827007811</c:v>
                </c:pt>
                <c:pt idx="402">
                  <c:v>85.26726695870785</c:v>
                </c:pt>
                <c:pt idx="403">
                  <c:v>85.641931753764439</c:v>
                </c:pt>
                <c:pt idx="404">
                  <c:v>86.01703585839789</c:v>
                </c:pt>
                <c:pt idx="405">
                  <c:v>86.392574925349251</c:v>
                </c:pt>
                <c:pt idx="406">
                  <c:v>86.768544613921534</c:v>
                </c:pt>
                <c:pt idx="407">
                  <c:v>87.144940590020042</c:v>
                </c:pt>
                <c:pt idx="408">
                  <c:v>87.521758526191945</c:v>
                </c:pt>
                <c:pt idx="409">
                  <c:v>87.898994101664968</c:v>
                </c:pt>
                <c:pt idx="410">
                  <c:v>88.276643002385256</c:v>
                </c:pt>
                <c:pt idx="411">
                  <c:v>88.654698832990491</c:v>
                </c:pt>
                <c:pt idx="412">
                  <c:v>89.033151030493684</c:v>
                </c:pt>
                <c:pt idx="413">
                  <c:v>89.411986958960128</c:v>
                </c:pt>
                <c:pt idx="414">
                  <c:v>89.791194002572951</c:v>
                </c:pt>
                <c:pt idx="415">
                  <c:v>90.170759565866277</c:v>
                </c:pt>
                <c:pt idx="416">
                  <c:v>90.550671073952486</c:v>
                </c:pt>
                <c:pt idx="417">
                  <c:v>90.930915972743534</c:v>
                </c:pt>
                <c:pt idx="418">
                  <c:v>91.311481729166488</c:v>
                </c:pt>
                <c:pt idx="419">
                  <c:v>91.692355831373149</c:v>
                </c:pt>
                <c:pt idx="420">
                  <c:v>92.073524597531019</c:v>
                </c:pt>
                <c:pt idx="421">
                  <c:v>92.454971985879723</c:v>
                </c:pt>
                <c:pt idx="422">
                  <c:v>92.836680790567286</c:v>
                </c:pt>
                <c:pt idx="423">
                  <c:v>93.21863383629811</c:v>
                </c:pt>
                <c:pt idx="424">
                  <c:v>93.600813978688564</c:v>
                </c:pt>
                <c:pt idx="425">
                  <c:v>93.983204104612028</c:v>
                </c:pt>
                <c:pt idx="426">
                  <c:v>94.365787132533342</c:v>
                </c:pt>
                <c:pt idx="427">
                  <c:v>94.748546012832804</c:v>
                </c:pt>
                <c:pt idx="428">
                  <c:v>95.131463728119712</c:v>
                </c:pt>
                <c:pt idx="429">
                  <c:v>95.514523293535589</c:v>
                </c:pt>
                <c:pt idx="430">
                  <c:v>95.897707757047129</c:v>
                </c:pt>
                <c:pt idx="431">
                  <c:v>96.281000199728922</c:v>
                </c:pt>
                <c:pt idx="432">
                  <c:v>96.66438180882497</c:v>
                </c:pt>
                <c:pt idx="433">
                  <c:v>97.047829953626476</c:v>
                </c:pt>
                <c:pt idx="434">
                  <c:v>97.431320120968266</c:v>
                </c:pt>
                <c:pt idx="435">
                  <c:v>97.814827848065576</c:v>
                </c:pt>
                <c:pt idx="436">
                  <c:v>98.198328723094761</c:v>
                </c:pt>
                <c:pt idx="437">
                  <c:v>98.581798385752862</c:v>
                </c:pt>
                <c:pt idx="438">
                  <c:v>98.965212527796282</c:v>
                </c:pt>
                <c:pt idx="439">
                  <c:v>99.348546893558677</c:v>
                </c:pt>
                <c:pt idx="440">
                  <c:v>99.731777280448185</c:v>
                </c:pt>
                <c:pt idx="441">
                  <c:v>100.11487953942422</c:v>
                </c:pt>
                <c:pt idx="442">
                  <c:v>100.49783074939688</c:v>
                </c:pt>
                <c:pt idx="443">
                  <c:v>100.88061038938136</c:v>
                </c:pt>
                <c:pt idx="444">
                  <c:v>101.26319915934153</c:v>
                </c:pt>
                <c:pt idx="445">
                  <c:v>101.64557780314284</c:v>
                </c:pt>
                <c:pt idx="446">
                  <c:v>102.02772710874127</c:v>
                </c:pt>
                <c:pt idx="447">
                  <c:v>102.40962790835982</c:v>
                </c:pt>
                <c:pt idx="448">
                  <c:v>102.79126107865292</c:v>
                </c:pt>
                <c:pt idx="449">
                  <c:v>103.17260754085876</c:v>
                </c:pt>
                <c:pt idx="450">
                  <c:v>103.5536482609396</c:v>
                </c:pt>
                <c:pt idx="451">
                  <c:v>103.93436424971023</c:v>
                </c:pt>
                <c:pt idx="452">
                  <c:v>104.31473656295478</c:v>
                </c:pt>
                <c:pt idx="453">
                  <c:v>104.69474798780902</c:v>
                </c:pt>
                <c:pt idx="454">
                  <c:v>105.07438472539816</c:v>
                </c:pt>
                <c:pt idx="455">
                  <c:v>105.45363469584179</c:v>
                </c:pt>
                <c:pt idx="456">
                  <c:v>105.83248584691881</c:v>
                </c:pt>
                <c:pt idx="457">
                  <c:v>106.21092615400725</c:v>
                </c:pt>
                <c:pt idx="458">
                  <c:v>106.58894362001992</c:v>
                </c:pt>
                <c:pt idx="459">
                  <c:v>106.96652627533621</c:v>
                </c:pt>
                <c:pt idx="460">
                  <c:v>107.34366217772991</c:v>
                </c:pt>
                <c:pt idx="461">
                  <c:v>107.72034093320448</c:v>
                </c:pt>
                <c:pt idx="462">
                  <c:v>108.09655521328821</c:v>
                </c:pt>
                <c:pt idx="463">
                  <c:v>108.47229922592631</c:v>
                </c:pt>
                <c:pt idx="464">
                  <c:v>108.8475671899099</c:v>
                </c:pt>
                <c:pt idx="465">
                  <c:v>109.22235333479566</c:v>
                </c:pt>
                <c:pt idx="466">
                  <c:v>109.59665062132612</c:v>
                </c:pt>
                <c:pt idx="467">
                  <c:v>109.97044946485741</c:v>
                </c:pt>
                <c:pt idx="468">
                  <c:v>110.3437247647491</c:v>
                </c:pt>
                <c:pt idx="469">
                  <c:v>110.71644041757989</c:v>
                </c:pt>
                <c:pt idx="470">
                  <c:v>111.08858106096145</c:v>
                </c:pt>
                <c:pt idx="471">
                  <c:v>111.46014882563458</c:v>
                </c:pt>
                <c:pt idx="472">
                  <c:v>111.83114583058841</c:v>
                </c:pt>
                <c:pt idx="473">
                  <c:v>112.20157418314793</c:v>
                </c:pt>
                <c:pt idx="474">
                  <c:v>112.57143597906058</c:v>
                </c:pt>
                <c:pt idx="475">
                  <c:v>112.94073330258227</c:v>
                </c:pt>
                <c:pt idx="476">
                  <c:v>113.30946822656237</c:v>
                </c:pt>
                <c:pt idx="477">
                  <c:v>113.67764281252802</c:v>
                </c:pt>
                <c:pt idx="478">
                  <c:v>114.04525911076766</c:v>
                </c:pt>
                <c:pt idx="479">
                  <c:v>114.41231916041376</c:v>
                </c:pt>
                <c:pt idx="480">
                  <c:v>114.77882498952478</c:v>
                </c:pt>
                <c:pt idx="481">
                  <c:v>115.1447786151664</c:v>
                </c:pt>
                <c:pt idx="482">
                  <c:v>115.51018204349199</c:v>
                </c:pt>
                <c:pt idx="483">
                  <c:v>115.87503726982231</c:v>
                </c:pt>
                <c:pt idx="484">
                  <c:v>116.23934627872454</c:v>
                </c:pt>
                <c:pt idx="485">
                  <c:v>116.60311104409053</c:v>
                </c:pt>
                <c:pt idx="486">
                  <c:v>116.96633352921435</c:v>
                </c:pt>
                <c:pt idx="487">
                  <c:v>117.3290156868692</c:v>
                </c:pt>
                <c:pt idx="488">
                  <c:v>117.69115945938347</c:v>
                </c:pt>
                <c:pt idx="489">
                  <c:v>118.05276677871628</c:v>
                </c:pt>
                <c:pt idx="490">
                  <c:v>118.41383956653216</c:v>
                </c:pt>
                <c:pt idx="491">
                  <c:v>118.77437973427526</c:v>
                </c:pt>
                <c:pt idx="492">
                  <c:v>119.13438918324269</c:v>
                </c:pt>
                <c:pt idx="493">
                  <c:v>119.49386980465731</c:v>
                </c:pt>
                <c:pt idx="494">
                  <c:v>119.85282347973984</c:v>
                </c:pt>
                <c:pt idx="495">
                  <c:v>120.21125207978032</c:v>
                </c:pt>
                <c:pt idx="496">
                  <c:v>120.56915746620894</c:v>
                </c:pt>
                <c:pt idx="497">
                  <c:v>120.9265414906662</c:v>
                </c:pt>
                <c:pt idx="498">
                  <c:v>121.28340599507248</c:v>
                </c:pt>
                <c:pt idx="499">
                  <c:v>121.63975281169701</c:v>
                </c:pt>
                <c:pt idx="500">
                  <c:v>121.99558376322612</c:v>
                </c:pt>
                <c:pt idx="501">
                  <c:v>125.52566111237144</c:v>
                </c:pt>
                <c:pt idx="502">
                  <c:v>129.00531435236806</c:v>
                </c:pt>
                <c:pt idx="503">
                  <c:v>132.43627952284609</c:v>
                </c:pt>
                <c:pt idx="504">
                  <c:v>135.82020516783027</c:v>
                </c:pt>
                <c:pt idx="505">
                  <c:v>139.15865822168067</c:v>
                </c:pt>
                <c:pt idx="506">
                  <c:v>142.45312940419817</c:v>
                </c:pt>
                <c:pt idx="507">
                  <c:v>145.70503817351332</c:v>
                </c:pt>
                <c:pt idx="508">
                  <c:v>148.91573727982447</c:v>
                </c:pt>
                <c:pt idx="509">
                  <c:v>152.08651695821382</c:v>
                </c:pt>
                <c:pt idx="510">
                  <c:v>155.21860879454582</c:v>
                </c:pt>
                <c:pt idx="511">
                  <c:v>158.31318929475603</c:v>
                </c:pt>
                <c:pt idx="512">
                  <c:v>161.37138318459515</c:v>
                </c:pt>
                <c:pt idx="513">
                  <c:v>164.39426646404206</c:v>
                </c:pt>
                <c:pt idx="514">
                  <c:v>167.3828692380884</c:v>
                </c:pt>
                <c:pt idx="515">
                  <c:v>170.33817834337938</c:v>
                </c:pt>
                <c:pt idx="516">
                  <c:v>173.2611397882352</c:v>
                </c:pt>
                <c:pt idx="517">
                  <c:v>176.15266102183861</c:v>
                </c:pt>
                <c:pt idx="518">
                  <c:v>179.01361304683192</c:v>
                </c:pt>
                <c:pt idx="519">
                  <c:v>181.84483238819362</c:v>
                </c:pt>
                <c:pt idx="520">
                  <c:v>184.64712293004231</c:v>
                </c:pt>
                <c:pt idx="521">
                  <c:v>187.42125763092417</c:v>
                </c:pt>
                <c:pt idx="522">
                  <c:v>190.1679801271645</c:v>
                </c:pt>
                <c:pt idx="523">
                  <c:v>192.88800623299016</c:v>
                </c:pt>
                <c:pt idx="524">
                  <c:v>195.58202534534678</c:v>
                </c:pt>
                <c:pt idx="525">
                  <c:v>198.25070176063011</c:v>
                </c:pt>
                <c:pt idx="526">
                  <c:v>200.89467590991907</c:v>
                </c:pt>
                <c:pt idx="527">
                  <c:v>203.51456551872712</c:v>
                </c:pt>
                <c:pt idx="528">
                  <c:v>206.11096669677511</c:v>
                </c:pt>
                <c:pt idx="529">
                  <c:v>208.68445496282368</c:v>
                </c:pt>
                <c:pt idx="530">
                  <c:v>211.23558620918413</c:v>
                </c:pt>
                <c:pt idx="531">
                  <c:v>213.76489761014562</c:v>
                </c:pt>
                <c:pt idx="532">
                  <c:v>216.27290847821212</c:v>
                </c:pt>
                <c:pt idx="533">
                  <c:v>218.76012107172929</c:v>
                </c:pt>
                <c:pt idx="534">
                  <c:v>221.22702135719754</c:v>
                </c:pt>
                <c:pt idx="535">
                  <c:v>223.67407972930769</c:v>
                </c:pt>
                <c:pt idx="536">
                  <c:v>226.10175169150071</c:v>
                </c:pt>
                <c:pt idx="537">
                  <c:v>228.51047849963757</c:v>
                </c:pt>
                <c:pt idx="538">
                  <c:v>230.90068777116909</c:v>
                </c:pt>
                <c:pt idx="539">
                  <c:v>233.27279406201578</c:v>
                </c:pt>
                <c:pt idx="540">
                  <c:v>235.62719941320441</c:v>
                </c:pt>
                <c:pt idx="541">
                  <c:v>237.96429386915696</c:v>
                </c:pt>
                <c:pt idx="542">
                  <c:v>240.28445596938997</c:v>
                </c:pt>
                <c:pt idx="543">
                  <c:v>242.58805321525625</c:v>
                </c:pt>
                <c:pt idx="544">
                  <c:v>244.87544251324445</c:v>
                </c:pt>
                <c:pt idx="545">
                  <c:v>247.14697059624535</c:v>
                </c:pt>
                <c:pt idx="546">
                  <c:v>249.40297442409556</c:v>
                </c:pt>
                <c:pt idx="547">
                  <c:v>251.64378156461896</c:v>
                </c:pt>
                <c:pt idx="548">
                  <c:v>253.86971055630266</c:v>
                </c:pt>
                <c:pt idx="549">
                  <c:v>256.08107125366763</c:v>
                </c:pt>
                <c:pt idx="550">
                  <c:v>258.27816515632287</c:v>
                </c:pt>
                <c:pt idx="551">
                  <c:v>260.46128572262677</c:v>
                </c:pt>
                <c:pt idx="552">
                  <c:v>262.63071866881825</c:v>
                </c:pt>
                <c:pt idx="553">
                  <c:v>264.78674225442461</c:v>
                </c:pt>
                <c:pt idx="554">
                  <c:v>266.92962755470052</c:v>
                </c:pt>
                <c:pt idx="555">
                  <c:v>269.05963872080486</c:v>
                </c:pt>
                <c:pt idx="556">
                  <c:v>271.17703322837713</c:v>
                </c:pt>
                <c:pt idx="557">
                  <c:v>273.2820621151339</c:v>
                </c:pt>
                <c:pt idx="558">
                  <c:v>275.37497020806688</c:v>
                </c:pt>
                <c:pt idx="559">
                  <c:v>277.45599634078911</c:v>
                </c:pt>
                <c:pt idx="560">
                  <c:v>279.52537356154147</c:v>
                </c:pt>
                <c:pt idx="561">
                  <c:v>281.58332933234146</c:v>
                </c:pt>
                <c:pt idx="562">
                  <c:v>283.63008571972716</c:v>
                </c:pt>
                <c:pt idx="563">
                  <c:v>285.66585957752204</c:v>
                </c:pt>
                <c:pt idx="564">
                  <c:v>287.69086272202179</c:v>
                </c:pt>
                <c:pt idx="565">
                  <c:v>289.70530209998037</c:v>
                </c:pt>
                <c:pt idx="566">
                  <c:v>291.70937994975077</c:v>
                </c:pt>
                <c:pt idx="567">
                  <c:v>293.7032939559158</c:v>
                </c:pt>
                <c:pt idx="568">
                  <c:v>295.68723739772463</c:v>
                </c:pt>
                <c:pt idx="569">
                  <c:v>297.66139929163364</c:v>
                </c:pt>
                <c:pt idx="570">
                  <c:v>299.62596452823254</c:v>
                </c:pt>
                <c:pt idx="571">
                  <c:v>301.58111400382182</c:v>
                </c:pt>
                <c:pt idx="572">
                  <c:v>303.52702474689261</c:v>
                </c:pt>
                <c:pt idx="573">
                  <c:v>305.46387003974587</c:v>
                </c:pt>
                <c:pt idx="574">
                  <c:v>307.39181953547603</c:v>
                </c:pt>
                <c:pt idx="575">
                  <c:v>309.31103937053047</c:v>
                </c:pt>
                <c:pt idx="576">
                  <c:v>311.22169227304653</c:v>
                </c:pt>
                <c:pt idx="577">
                  <c:v>313.12393766715581</c:v>
                </c:pt>
                <c:pt idx="578">
                  <c:v>315.01793177343592</c:v>
                </c:pt>
                <c:pt idx="579">
                  <c:v>316.90382770568056</c:v>
                </c:pt>
                <c:pt idx="580">
                  <c:v>318.78177556414937</c:v>
                </c:pt>
                <c:pt idx="581">
                  <c:v>320.65192252545131</c:v>
                </c:pt>
                <c:pt idx="582">
                  <c:v>322.51441292920663</c:v>
                </c:pt>
                <c:pt idx="583">
                  <c:v>324.36938836162574</c:v>
                </c:pt>
                <c:pt idx="584">
                  <c:v>326.21698773613582</c:v>
                </c:pt>
                <c:pt idx="585">
                  <c:v>328.05734737117933</c:v>
                </c:pt>
                <c:pt idx="586">
                  <c:v>329.89060106530286</c:v>
                </c:pt>
                <c:pt idx="587">
                  <c:v>331.71688016964788</c:v>
                </c:pt>
                <c:pt idx="588">
                  <c:v>333.53631365795047</c:v>
                </c:pt>
                <c:pt idx="589">
                  <c:v>335.34902819415061</c:v>
                </c:pt>
                <c:pt idx="590">
                  <c:v>337.1551481977076</c:v>
                </c:pt>
                <c:pt idx="591">
                  <c:v>338.95479590671289</c:v>
                </c:pt>
                <c:pt idx="592">
                  <c:v>340.74809143888683</c:v>
                </c:pt>
                <c:pt idx="593">
                  <c:v>342.5351528505422</c:v>
                </c:pt>
                <c:pt idx="594">
                  <c:v>344.31609619359295</c:v>
                </c:pt>
                <c:pt idx="595">
                  <c:v>346.09103557068238</c:v>
                </c:pt>
                <c:pt idx="596">
                  <c:v>347.86008318850179</c:v>
                </c:pt>
                <c:pt idx="597">
                  <c:v>349.62334940936694</c:v>
                </c:pt>
                <c:pt idx="598">
                  <c:v>351.38094280111591</c:v>
                </c:pt>
                <c:pt idx="599">
                  <c:v>353.13297018538924</c:v>
                </c:pt>
                <c:pt idx="600">
                  <c:v>354.87953668435006</c:v>
                </c:pt>
                <c:pt idx="601">
                  <c:v>356.62074576589811</c:v>
                </c:pt>
                <c:pt idx="602">
                  <c:v>358.35669928743027</c:v>
                </c:pt>
                <c:pt idx="603">
                  <c:v>360.08749753819563</c:v>
                </c:pt>
                <c:pt idx="604">
                  <c:v>361.81323928029207</c:v>
                </c:pt>
                <c:pt idx="605">
                  <c:v>363.53402178834756</c:v>
                </c:pt>
                <c:pt idx="606">
                  <c:v>365.24994088792761</c:v>
                </c:pt>
                <c:pt idx="607">
                  <c:v>366.9610909927074</c:v>
                </c:pt>
                <c:pt idx="608">
                  <c:v>368.66756514044505</c:v>
                </c:pt>
                <c:pt idx="609">
                  <c:v>370.36945502778968</c:v>
                </c:pt>
                <c:pt idx="610">
                  <c:v>372.06685104395632</c:v>
                </c:pt>
                <c:pt idx="611">
                  <c:v>373.75984230329675</c:v>
                </c:pt>
                <c:pt idx="612">
                  <c:v>375.44851667679313</c:v>
                </c:pt>
                <c:pt idx="613">
                  <c:v>377.1329608224994</c:v>
                </c:pt>
                <c:pt idx="614">
                  <c:v>378.81326021495283</c:v>
                </c:pt>
                <c:pt idx="615">
                  <c:v>380.48949917357578</c:v>
                </c:pt>
                <c:pt idx="616">
                  <c:v>382.16176089008525</c:v>
                </c:pt>
                <c:pt idx="617">
                  <c:v>383.83012745492556</c:v>
                </c:pt>
                <c:pt idx="618">
                  <c:v>385.49467988273716</c:v>
                </c:pt>
                <c:pt idx="619">
                  <c:v>387.15549813687113</c:v>
                </c:pt>
                <c:pt idx="620">
                  <c:v>388.8126611529575</c:v>
                </c:pt>
                <c:pt idx="621">
                  <c:v>390.46624686153126</c:v>
                </c:pt>
                <c:pt idx="622">
                  <c:v>392.11633220971828</c:v>
                </c:pt>
                <c:pt idx="623">
                  <c:v>393.76299318197874</c:v>
                </c:pt>
                <c:pt idx="624">
                  <c:v>395.40630481990348</c:v>
                </c:pt>
                <c:pt idx="625">
                  <c:v>397.04634124105439</c:v>
                </c:pt>
                <c:pt idx="626">
                  <c:v>398.6831756568356</c:v>
                </c:pt>
                <c:pt idx="627">
                  <c:v>400.31688038937904</c:v>
                </c:pt>
                <c:pt idx="628">
                  <c:v>401.9475268874213</c:v>
                </c:pt>
                <c:pt idx="629">
                  <c:v>403.57518574114619</c:v>
                </c:pt>
                <c:pt idx="630">
                  <c:v>405.19992669595848</c:v>
                </c:pt>
                <c:pt idx="631">
                  <c:v>406.82181866515077</c:v>
                </c:pt>
                <c:pt idx="632">
                  <c:v>408.44092974141682</c:v>
                </c:pt>
                <c:pt idx="633">
                  <c:v>410.05732720715713</c:v>
                </c:pt>
                <c:pt idx="634">
                  <c:v>411.67107754351423</c:v>
                </c:pt>
                <c:pt idx="635">
                  <c:v>413.28224643806482</c:v>
                </c:pt>
                <c:pt idx="636">
                  <c:v>414.89089879108559</c:v>
                </c:pt>
                <c:pt idx="637">
                  <c:v>416.49709872029655</c:v>
                </c:pt>
                <c:pt idx="638">
                  <c:v>418.10090956397278</c:v>
                </c:pt>
                <c:pt idx="639">
                  <c:v>419.70239388229925</c:v>
                </c:pt>
                <c:pt idx="640">
                  <c:v>421.30161345682609</c:v>
                </c:pt>
                <c:pt idx="641">
                  <c:v>422.89862928786249</c:v>
                </c:pt>
                <c:pt idx="642">
                  <c:v>424.49350158962443</c:v>
                </c:pt>
                <c:pt idx="643">
                  <c:v>426.08628978292739</c:v>
                </c:pt>
                <c:pt idx="644">
                  <c:v>427.67705248518672</c:v>
                </c:pt>
                <c:pt idx="645">
                  <c:v>429.26584749745689</c:v>
                </c:pt>
                <c:pt idx="646">
                  <c:v>430.85273178820654</c:v>
                </c:pt>
                <c:pt idx="647">
                  <c:v>432.43776147348655</c:v>
                </c:pt>
                <c:pt idx="648">
                  <c:v>434.02099179310608</c:v>
                </c:pt>
                <c:pt idx="649">
                  <c:v>435.60247708238398</c:v>
                </c:pt>
                <c:pt idx="650">
                  <c:v>437.18227073899283</c:v>
                </c:pt>
                <c:pt idx="651">
                  <c:v>438.76042518435798</c:v>
                </c:pt>
                <c:pt idx="652">
                  <c:v>440.33699181901881</c:v>
                </c:pt>
                <c:pt idx="653">
                  <c:v>441.91202097130127</c:v>
                </c:pt>
                <c:pt idx="654">
                  <c:v>443.4855618385983</c:v>
                </c:pt>
                <c:pt idx="655">
                  <c:v>445.05766242050544</c:v>
                </c:pt>
                <c:pt idx="656">
                  <c:v>446.62836944302546</c:v>
                </c:pt>
                <c:pt idx="657">
                  <c:v>448.19772827304064</c:v>
                </c:pt>
                <c:pt idx="658">
                  <c:v>449.76578282227058</c:v>
                </c:pt>
                <c:pt idx="659">
                  <c:v>451.33257543999764</c:v>
                </c:pt>
                <c:pt idx="660">
                  <c:v>452.89814679397318</c:v>
                </c:pt>
                <c:pt idx="661">
                  <c:v>454.46253573913475</c:v>
                </c:pt>
                <c:pt idx="662">
                  <c:v>456.0257791740936</c:v>
                </c:pt>
                <c:pt idx="663">
                  <c:v>457.58791188581756</c:v>
                </c:pt>
                <c:pt idx="664">
                  <c:v>459.14896638355714</c:v>
                </c:pt>
                <c:pt idx="665">
                  <c:v>460.70897272385315</c:v>
                </c:pt>
                <c:pt idx="666">
                  <c:v>462.26795832941536</c:v>
                </c:pt>
                <c:pt idx="667">
                  <c:v>463.82594780573095</c:v>
                </c:pt>
                <c:pt idx="668">
                  <c:v>465.38296276037624</c:v>
                </c:pt>
                <c:pt idx="669">
                  <c:v>466.9390216310394</c:v>
                </c:pt>
                <c:pt idx="670">
                  <c:v>468.49413952905536</c:v>
                </c:pt>
                <c:pt idx="671">
                  <c:v>470.04832810562738</c:v>
                </c:pt>
                <c:pt idx="672">
                  <c:v>471.60159544769635</c:v>
                </c:pt>
                <c:pt idx="673">
                  <c:v>473.15394600951606</c:v>
                </c:pt>
                <c:pt idx="674">
                  <c:v>474.70538058440468</c:v>
                </c:pt>
                <c:pt idx="675">
                  <c:v>476.25589631899953</c:v>
                </c:pt>
                <c:pt idx="676">
                  <c:v>477.80548676989218</c:v>
                </c:pt>
                <c:pt idx="677">
                  <c:v>479.35414200008643</c:v>
                </c:pt>
                <c:pt idx="678">
                  <c:v>480.9018487106124</c:v>
                </c:pt>
                <c:pt idx="679">
                  <c:v>482.44859040109537</c:v>
                </c:pt>
                <c:pt idx="680">
                  <c:v>483.99434755223444</c:v>
                </c:pt>
                <c:pt idx="681">
                  <c:v>485.53909782299098</c:v>
                </c:pt>
                <c:pt idx="682">
                  <c:v>487.08281625571004</c:v>
                </c:pt>
                <c:pt idx="683">
                  <c:v>488.62547548322874</c:v>
                </c:pt>
                <c:pt idx="684">
                  <c:v>490.16704593308594</c:v>
                </c:pt>
                <c:pt idx="685">
                  <c:v>491.70749602507209</c:v>
                </c:pt>
                <c:pt idx="686">
                  <c:v>493.24679235943273</c:v>
                </c:pt>
                <c:pt idx="687">
                  <c:v>494.7848998939848</c:v>
                </c:pt>
                <c:pt idx="688">
                  <c:v>496.3217821091871</c:v>
                </c:pt>
                <c:pt idx="689">
                  <c:v>497.85740116081854</c:v>
                </c:pt>
                <c:pt idx="690">
                  <c:v>499.39171802037254</c:v>
                </c:pt>
                <c:pt idx="691">
                  <c:v>500.92469260359354</c:v>
                </c:pt>
                <c:pt idx="692">
                  <c:v>502.45628388779005</c:v>
                </c:pt>
                <c:pt idx="693">
                  <c:v>503.98645001867959</c:v>
                </c:pt>
                <c:pt idx="694">
                  <c:v>505.51514840757937</c:v>
                </c:pt>
                <c:pt idx="695">
                  <c:v>507.04233581976871</c:v>
                </c:pt>
                <c:pt idx="696">
                  <c:v>508.56796845483018</c:v>
                </c:pt>
                <c:pt idx="697">
                  <c:v>510.09200201973852</c:v>
                </c:pt>
                <c:pt idx="698">
                  <c:v>511.61439179541492</c:v>
                </c:pt>
                <c:pt idx="699">
                  <c:v>513.13509269740871</c:v>
                </c:pt>
                <c:pt idx="700">
                  <c:v>514.65405933131012</c:v>
                </c:pt>
                <c:pt idx="701">
                  <c:v>516.17124604343894</c:v>
                </c:pt>
                <c:pt idx="702">
                  <c:v>517.6866069673024</c:v>
                </c:pt>
                <c:pt idx="703">
                  <c:v>519.20009606626013</c:v>
                </c:pt>
                <c:pt idx="704">
                  <c:v>520.71166717278993</c:v>
                </c:pt>
                <c:pt idx="705">
                  <c:v>522.22127402470426</c:v>
                </c:pt>
                <c:pt idx="706">
                  <c:v>523.7288702986275</c:v>
                </c:pt>
                <c:pt idx="707">
                  <c:v>525.23440964101064</c:v>
                </c:pt>
                <c:pt idx="708">
                  <c:v>526.73784569692873</c:v>
                </c:pt>
                <c:pt idx="709">
                  <c:v>528.23913213687786</c:v>
                </c:pt>
                <c:pt idx="710">
                  <c:v>529.73822268176457</c:v>
                </c:pt>
                <c:pt idx="711">
                  <c:v>531.2350711262601</c:v>
                </c:pt>
                <c:pt idx="712">
                  <c:v>532.72963136066983</c:v>
                </c:pt>
                <c:pt idx="713">
                  <c:v>534.22185739145459</c:v>
                </c:pt>
                <c:pt idx="714">
                  <c:v>535.71170336052273</c:v>
                </c:pt>
                <c:pt idx="715">
                  <c:v>537.19912356340103</c:v>
                </c:pt>
                <c:pt idx="716">
                  <c:v>538.68407246637889</c:v>
                </c:pt>
                <c:pt idx="717">
                  <c:v>540.16650472271135</c:v>
                </c:pt>
                <c:pt idx="718">
                  <c:v>541.64637518795678</c:v>
                </c:pt>
                <c:pt idx="719">
                  <c:v>543.12363893451641</c:v>
                </c:pt>
                <c:pt idx="720">
                  <c:v>544.59825126543728</c:v>
                </c:pt>
                <c:pt idx="721">
                  <c:v>546.07016772753298</c:v>
                </c:pt>
                <c:pt idx="722">
                  <c:v>547.53934412387014</c:v>
                </c:pt>
                <c:pt idx="723">
                  <c:v>549.00573652566538</c:v>
                </c:pt>
                <c:pt idx="724">
                  <c:v>550.46930128363181</c:v>
                </c:pt>
                <c:pt idx="725">
                  <c:v>551.92999503881072</c:v>
                </c:pt>
                <c:pt idx="726">
                  <c:v>553.38777473292021</c:v>
                </c:pt>
                <c:pt idx="727">
                  <c:v>554.84259761825001</c:v>
                </c:pt>
                <c:pt idx="728">
                  <c:v>556.29442126712831</c:v>
                </c:pt>
                <c:pt idx="729">
                  <c:v>557.74320358098498</c:v>
                </c:pt>
                <c:pt idx="730">
                  <c:v>559.18890279903144</c:v>
                </c:pt>
                <c:pt idx="731">
                  <c:v>560.63147750657799</c:v>
                </c:pt>
                <c:pt idx="732">
                  <c:v>562.07088664300511</c:v>
                </c:pt>
                <c:pt idx="733">
                  <c:v>563.507089509406</c:v>
                </c:pt>
                <c:pt idx="734">
                  <c:v>564.94004577591409</c:v>
                </c:pt>
                <c:pt idx="735">
                  <c:v>566.36971548872953</c:v>
                </c:pt>
                <c:pt idx="736">
                  <c:v>567.79605907685698</c:v>
                </c:pt>
                <c:pt idx="737">
                  <c:v>569.2190373585654</c:v>
                </c:pt>
                <c:pt idx="738">
                  <c:v>570.63861154758092</c:v>
                </c:pt>
                <c:pt idx="739">
                  <c:v>572.05474325902173</c:v>
                </c:pt>
                <c:pt idx="740">
                  <c:v>573.46739451508415</c:v>
                </c:pt>
                <c:pt idx="741">
                  <c:v>574.87652775048741</c:v>
                </c:pt>
                <c:pt idx="742">
                  <c:v>576.28210581768531</c:v>
                </c:pt>
                <c:pt idx="743">
                  <c:v>577.68409199185101</c:v>
                </c:pt>
                <c:pt idx="744">
                  <c:v>579.08244997564213</c:v>
                </c:pt>
                <c:pt idx="745">
                  <c:v>580.4771439037512</c:v>
                </c:pt>
                <c:pt idx="746">
                  <c:v>581.86813834724796</c:v>
                </c:pt>
                <c:pt idx="747">
                  <c:v>583.25539831771778</c:v>
                </c:pt>
                <c:pt idx="748">
                  <c:v>584.63888927120206</c:v>
                </c:pt>
                <c:pt idx="749">
                  <c:v>586.01857711194464</c:v>
                </c:pt>
                <c:pt idx="750">
                  <c:v>587.39442819594842</c:v>
                </c:pt>
                <c:pt idx="751">
                  <c:v>588.76640933434646</c:v>
                </c:pt>
                <c:pt idx="752">
                  <c:v>590.13448779659166</c:v>
                </c:pt>
                <c:pt idx="753">
                  <c:v>591.49863131346831</c:v>
                </c:pt>
                <c:pt idx="754">
                  <c:v>592.85880807992896</c:v>
                </c:pt>
                <c:pt idx="755">
                  <c:v>594.21498675776013</c:v>
                </c:pt>
                <c:pt idx="756">
                  <c:v>595.56713647808044</c:v>
                </c:pt>
                <c:pt idx="757">
                  <c:v>596.91522684367305</c:v>
                </c:pt>
                <c:pt idx="758">
                  <c:v>598.25922793115649</c:v>
                </c:pt>
                <c:pt idx="759">
                  <c:v>599.5991102929961</c:v>
                </c:pt>
                <c:pt idx="760">
                  <c:v>600.93484495935888</c:v>
                </c:pt>
                <c:pt idx="761">
                  <c:v>602.26640343981489</c:v>
                </c:pt>
                <c:pt idx="762">
                  <c:v>603.5937577248867</c:v>
                </c:pt>
                <c:pt idx="763">
                  <c:v>604.91688028745057</c:v>
                </c:pt>
                <c:pt idx="764">
                  <c:v>606.23574408399099</c:v>
                </c:pt>
                <c:pt idx="765">
                  <c:v>607.55032255571143</c:v>
                </c:pt>
                <c:pt idx="766">
                  <c:v>608.86058962950312</c:v>
                </c:pt>
                <c:pt idx="767">
                  <c:v>610.16651971877491</c:v>
                </c:pt>
                <c:pt idx="768">
                  <c:v>611.46808772414568</c:v>
                </c:pt>
                <c:pt idx="769">
                  <c:v>612.76526903400179</c:v>
                </c:pt>
                <c:pt idx="770">
                  <c:v>614.05803952492238</c:v>
                </c:pt>
                <c:pt idx="771">
                  <c:v>615.34637556197333</c:v>
                </c:pt>
                <c:pt idx="772">
                  <c:v>616.6302539988734</c:v>
                </c:pt>
                <c:pt idx="773">
                  <c:v>617.90965217803398</c:v>
                </c:pt>
                <c:pt idx="774">
                  <c:v>619.18454793047442</c:v>
                </c:pt>
                <c:pt idx="775">
                  <c:v>620.45491957561524</c:v>
                </c:pt>
                <c:pt idx="776">
                  <c:v>621.72074592095157</c:v>
                </c:pt>
                <c:pt idx="777">
                  <c:v>622.98200626160838</c:v>
                </c:pt>
                <c:pt idx="778">
                  <c:v>624.23868037977968</c:v>
                </c:pt>
                <c:pt idx="779">
                  <c:v>625.4907485440541</c:v>
                </c:pt>
                <c:pt idx="780">
                  <c:v>626.73819150862801</c:v>
                </c:pt>
                <c:pt idx="781">
                  <c:v>627.98099051240933</c:v>
                </c:pt>
                <c:pt idx="782">
                  <c:v>629.21912727801327</c:v>
                </c:pt>
                <c:pt idx="783">
                  <c:v>630.45258401065166</c:v>
                </c:pt>
                <c:pt idx="784">
                  <c:v>631.68134339691926</c:v>
                </c:pt>
                <c:pt idx="785">
                  <c:v>632.9053886034776</c:v>
                </c:pt>
                <c:pt idx="786">
                  <c:v>634.12470327563915</c:v>
                </c:pt>
                <c:pt idx="787">
                  <c:v>635.33927153585341</c:v>
                </c:pt>
                <c:pt idx="788">
                  <c:v>636.54907798209706</c:v>
                </c:pt>
                <c:pt idx="789">
                  <c:v>637.7541076861703</c:v>
                </c:pt>
                <c:pt idx="790">
                  <c:v>638.95434619190098</c:v>
                </c:pt>
                <c:pt idx="791">
                  <c:v>640.14977951325886</c:v>
                </c:pt>
                <c:pt idx="792">
                  <c:v>641.34039413238168</c:v>
                </c:pt>
                <c:pt idx="793">
                  <c:v>642.52617699751522</c:v>
                </c:pt>
                <c:pt idx="794">
                  <c:v>643.70711552086914</c:v>
                </c:pt>
                <c:pt idx="795">
                  <c:v>644.88319757639044</c:v>
                </c:pt>
                <c:pt idx="796">
                  <c:v>646.05441149745707</c:v>
                </c:pt>
                <c:pt idx="797">
                  <c:v>647.22074607449269</c:v>
                </c:pt>
                <c:pt idx="798">
                  <c:v>648.38219055250534</c:v>
                </c:pt>
                <c:pt idx="799">
                  <c:v>649.53873462855165</c:v>
                </c:pt>
                <c:pt idx="800">
                  <c:v>650.6903684491283</c:v>
                </c:pt>
                <c:pt idx="801">
                  <c:v>651.83708260749302</c:v>
                </c:pt>
                <c:pt idx="802">
                  <c:v>652.97886814091669</c:v>
                </c:pt>
                <c:pt idx="803">
                  <c:v>654.11571652786881</c:v>
                </c:pt>
                <c:pt idx="804">
                  <c:v>655.24761968513758</c:v>
                </c:pt>
                <c:pt idx="805">
                  <c:v>656.37456996488754</c:v>
                </c:pt>
                <c:pt idx="806">
                  <c:v>657.49656015165544</c:v>
                </c:pt>
                <c:pt idx="807">
                  <c:v>658.61358345928704</c:v>
                </c:pt>
                <c:pt idx="808">
                  <c:v>659.72563352781651</c:v>
                </c:pt>
                <c:pt idx="809">
                  <c:v>660.8327044202897</c:v>
                </c:pt>
                <c:pt idx="810">
                  <c:v>661.93479061953417</c:v>
                </c:pt>
                <c:pt idx="811">
                  <c:v>663.03188702487694</c:v>
                </c:pt>
                <c:pt idx="812">
                  <c:v>664.12398894881187</c:v>
                </c:pt>
                <c:pt idx="813">
                  <c:v>665.21109211361897</c:v>
                </c:pt>
                <c:pt idx="814">
                  <c:v>666.29319264793696</c:v>
                </c:pt>
                <c:pt idx="815">
                  <c:v>667.37028708329046</c:v>
                </c:pt>
                <c:pt idx="816">
                  <c:v>668.44237235057517</c:v>
                </c:pt>
                <c:pt idx="817">
                  <c:v>669.50944577650046</c:v>
                </c:pt>
                <c:pt idx="818">
                  <c:v>670.57150507999302</c:v>
                </c:pt>
                <c:pt idx="819">
                  <c:v>671.62854836856241</c:v>
                </c:pt>
                <c:pt idx="820">
                  <c:v>672.68057413463021</c:v>
                </c:pt>
                <c:pt idx="821">
                  <c:v>673.72758125182452</c:v>
                </c:pt>
                <c:pt idx="822">
                  <c:v>674.76956897124205</c:v>
                </c:pt>
                <c:pt idx="823">
                  <c:v>675.80653691767816</c:v>
                </c:pt>
                <c:pt idx="824">
                  <c:v>676.83848508582764</c:v>
                </c:pt>
                <c:pt idx="825">
                  <c:v>677.86541383645726</c:v>
                </c:pt>
                <c:pt idx="826">
                  <c:v>678.8873238925521</c:v>
                </c:pt>
                <c:pt idx="827">
                  <c:v>679.90421633543644</c:v>
                </c:pt>
                <c:pt idx="828">
                  <c:v>680.91609260087182</c:v>
                </c:pt>
                <c:pt idx="829">
                  <c:v>681.92295447513288</c:v>
                </c:pt>
                <c:pt idx="830">
                  <c:v>682.92480409106292</c:v>
                </c:pt>
                <c:pt idx="831">
                  <c:v>683.92164392411053</c:v>
                </c:pt>
                <c:pt idx="832">
                  <c:v>684.91347678834916</c:v>
                </c:pt>
                <c:pt idx="833">
                  <c:v>685.90030583248029</c:v>
                </c:pt>
                <c:pt idx="834">
                  <c:v>686.88213453582227</c:v>
                </c:pt>
                <c:pt idx="835">
                  <c:v>687.8589667042861</c:v>
                </c:pt>
                <c:pt idx="836">
                  <c:v>688.83080646633948</c:v>
                </c:pt>
                <c:pt idx="837">
                  <c:v>689.79765826896028</c:v>
                </c:pt>
                <c:pt idx="838">
                  <c:v>690.75952687358097</c:v>
                </c:pt>
                <c:pt idx="839">
                  <c:v>691.7164173520257</c:v>
                </c:pt>
                <c:pt idx="840">
                  <c:v>692.66833508244054</c:v>
                </c:pt>
                <c:pt idx="841">
                  <c:v>693.61528574521878</c:v>
                </c:pt>
                <c:pt idx="842">
                  <c:v>694.55727531892217</c:v>
                </c:pt>
                <c:pt idx="843">
                  <c:v>695.49431007619967</c:v>
                </c:pt>
                <c:pt idx="844">
                  <c:v>696.42639657970449</c:v>
                </c:pt>
                <c:pt idx="845">
                  <c:v>697.35354167801131</c:v>
                </c:pt>
                <c:pt idx="846">
                  <c:v>698.2757525015337</c:v>
                </c:pt>
                <c:pt idx="847">
                  <c:v>699.19303645844411</c:v>
                </c:pt>
                <c:pt idx="848">
                  <c:v>700.10540123059661</c:v>
                </c:pt>
                <c:pt idx="849">
                  <c:v>701.01285476945407</c:v>
                </c:pt>
                <c:pt idx="850">
                  <c:v>701.91540529202075</c:v>
                </c:pt>
                <c:pt idx="851">
                  <c:v>702.81306127678067</c:v>
                </c:pt>
                <c:pt idx="852">
                  <c:v>703.70583145964406</c:v>
                </c:pt>
                <c:pt idx="853">
                  <c:v>704.59372482990159</c:v>
                </c:pt>
                <c:pt idx="854">
                  <c:v>705.47675062618816</c:v>
                </c:pt>
                <c:pt idx="855">
                  <c:v>706.35491833245715</c:v>
                </c:pt>
                <c:pt idx="856">
                  <c:v>707.22823767396562</c:v>
                </c:pt>
                <c:pt idx="857">
                  <c:v>708.09671861327149</c:v>
                </c:pt>
                <c:pt idx="858">
                  <c:v>708.9603713462443</c:v>
                </c:pt>
                <c:pt idx="859">
                  <c:v>709.81920629808951</c:v>
                </c:pt>
                <c:pt idx="860">
                  <c:v>710.67323411938719</c:v>
                </c:pt>
                <c:pt idx="861">
                  <c:v>711.52246568214707</c:v>
                </c:pt>
                <c:pt idx="862">
                  <c:v>712.36691207587899</c:v>
                </c:pt>
                <c:pt idx="863">
                  <c:v>713.20658460368122</c:v>
                </c:pt>
                <c:pt idx="864">
                  <c:v>714.04149477834642</c:v>
                </c:pt>
                <c:pt idx="865">
                  <c:v>714.87165431848587</c:v>
                </c:pt>
                <c:pt idx="866">
                  <c:v>715.69707514467348</c:v>
                </c:pt>
                <c:pt idx="867">
                  <c:v>716.51776937560942</c:v>
                </c:pt>
                <c:pt idx="868">
                  <c:v>717.33374932430479</c:v>
                </c:pt>
                <c:pt idx="869">
                  <c:v>718.14502749428721</c:v>
                </c:pt>
                <c:pt idx="870">
                  <c:v>718.95161657582855</c:v>
                </c:pt>
                <c:pt idx="871">
                  <c:v>719.75352944219526</c:v>
                </c:pt>
                <c:pt idx="872">
                  <c:v>720.55077914592164</c:v>
                </c:pt>
                <c:pt idx="873">
                  <c:v>721.34337891510711</c:v>
                </c:pt>
                <c:pt idx="874">
                  <c:v>722.13134214973729</c:v>
                </c:pt>
                <c:pt idx="875">
                  <c:v>722.91468241803</c:v>
                </c:pt>
                <c:pt idx="876">
                  <c:v>723.69341345280668</c:v>
                </c:pt>
                <c:pt idx="877">
                  <c:v>724.46754914788949</c:v>
                </c:pt>
                <c:pt idx="878">
                  <c:v>725.23710355452431</c:v>
                </c:pt>
                <c:pt idx="879">
                  <c:v>726.00209087783094</c:v>
                </c:pt>
                <c:pt idx="880">
                  <c:v>726.76252547327988</c:v>
                </c:pt>
                <c:pt idx="881">
                  <c:v>727.51842184319685</c:v>
                </c:pt>
                <c:pt idx="882">
                  <c:v>728.26979463329519</c:v>
                </c:pt>
                <c:pt idx="883">
                  <c:v>729.0166586292363</c:v>
                </c:pt>
                <c:pt idx="884">
                  <c:v>729.75902875321924</c:v>
                </c:pt>
                <c:pt idx="885">
                  <c:v>730.49692006059843</c:v>
                </c:pt>
                <c:pt idx="886">
                  <c:v>731.23034773653126</c:v>
                </c:pt>
                <c:pt idx="887">
                  <c:v>731.95932709265526</c:v>
                </c:pt>
                <c:pt idx="888">
                  <c:v>732.68387356379469</c:v>
                </c:pt>
                <c:pt idx="889">
                  <c:v>733.40400270469775</c:v>
                </c:pt>
                <c:pt idx="890">
                  <c:v>734.11973018680385</c:v>
                </c:pt>
                <c:pt idx="891">
                  <c:v>734.83107179504157</c:v>
                </c:pt>
                <c:pt idx="892">
                  <c:v>735.53804342465764</c:v>
                </c:pt>
                <c:pt idx="893">
                  <c:v>736.24066107807653</c:v>
                </c:pt>
                <c:pt idx="894">
                  <c:v>736.93894086179205</c:v>
                </c:pt>
                <c:pt idx="895">
                  <c:v>737.63289898328946</c:v>
                </c:pt>
                <c:pt idx="896">
                  <c:v>738.32255174800002</c:v>
                </c:pt>
                <c:pt idx="897">
                  <c:v>739.00791555628666</c:v>
                </c:pt>
                <c:pt idx="898">
                  <c:v>739.68900690046166</c:v>
                </c:pt>
                <c:pt idx="899">
                  <c:v>740.36584236183671</c:v>
                </c:pt>
                <c:pt idx="900">
                  <c:v>741.03843860780455</c:v>
                </c:pt>
                <c:pt idx="901">
                  <c:v>741.70681238895327</c:v>
                </c:pt>
                <c:pt idx="902">
                  <c:v>742.37098053621241</c:v>
                </c:pt>
                <c:pt idx="903">
                  <c:v>743.03095995803176</c:v>
                </c:pt>
                <c:pt idx="904">
                  <c:v>743.68676763759277</c:v>
                </c:pt>
                <c:pt idx="905">
                  <c:v>744.33842063005181</c:v>
                </c:pt>
                <c:pt idx="906">
                  <c:v>744.98593605981637</c:v>
                </c:pt>
                <c:pt idx="907">
                  <c:v>745.62933111785378</c:v>
                </c:pt>
                <c:pt idx="908">
                  <c:v>746.26862305903228</c:v>
                </c:pt>
                <c:pt idx="909">
                  <c:v>746.90382919949479</c:v>
                </c:pt>
                <c:pt idx="910">
                  <c:v>747.53496691406508</c:v>
                </c:pt>
                <c:pt idx="911">
                  <c:v>748.16205363368636</c:v>
                </c:pt>
                <c:pt idx="912">
                  <c:v>748.78510684289279</c:v>
                </c:pt>
                <c:pt idx="913">
                  <c:v>749.40414407731305</c:v>
                </c:pt>
                <c:pt idx="914">
                  <c:v>750.01918292120627</c:v>
                </c:pt>
                <c:pt idx="915">
                  <c:v>750.63024100503048</c:v>
                </c:pt>
                <c:pt idx="916">
                  <c:v>751.2373360030432</c:v>
                </c:pt>
                <c:pt idx="917">
                  <c:v>751.8404856309345</c:v>
                </c:pt>
                <c:pt idx="918">
                  <c:v>752.43970764349183</c:v>
                </c:pt>
                <c:pt idx="919">
                  <c:v>753.03501983229705</c:v>
                </c:pt>
                <c:pt idx="920">
                  <c:v>753.6264400234553</c:v>
                </c:pt>
                <c:pt idx="921">
                  <c:v>754.21398607535571</c:v>
                </c:pt>
                <c:pt idx="922">
                  <c:v>754.79767587646393</c:v>
                </c:pt>
                <c:pt idx="923">
                  <c:v>755.37752734314608</c:v>
                </c:pt>
                <c:pt idx="924">
                  <c:v>755.95355841752428</c:v>
                </c:pt>
                <c:pt idx="925">
                  <c:v>756.52578706536315</c:v>
                </c:pt>
                <c:pt idx="926">
                  <c:v>757.09423127398816</c:v>
                </c:pt>
                <c:pt idx="927">
                  <c:v>757.65890905023434</c:v>
                </c:pt>
                <c:pt idx="928">
                  <c:v>758.21983841842621</c:v>
                </c:pt>
                <c:pt idx="929">
                  <c:v>758.77703741838809</c:v>
                </c:pt>
                <c:pt idx="930">
                  <c:v>759.33052410348557</c:v>
                </c:pt>
                <c:pt idx="931">
                  <c:v>759.88031653869666</c:v>
                </c:pt>
                <c:pt idx="932">
                  <c:v>760.42643279871356</c:v>
                </c:pt>
                <c:pt idx="933">
                  <c:v>760.96889096607435</c:v>
                </c:pt>
                <c:pt idx="934">
                  <c:v>761.50770912932433</c:v>
                </c:pt>
                <c:pt idx="935">
                  <c:v>762.04290538120733</c:v>
                </c:pt>
                <c:pt idx="936">
                  <c:v>762.57449781688604</c:v>
                </c:pt>
                <c:pt idx="937">
                  <c:v>763.10250453219192</c:v>
                </c:pt>
                <c:pt idx="938">
                  <c:v>763.62694362190405</c:v>
                </c:pt>
                <c:pt idx="939">
                  <c:v>764.14783317805666</c:v>
                </c:pt>
                <c:pt idx="940">
                  <c:v>764.66519128827554</c:v>
                </c:pt>
                <c:pt idx="941">
                  <c:v>765.17903603414265</c:v>
                </c:pt>
                <c:pt idx="942">
                  <c:v>765.68938548958886</c:v>
                </c:pt>
                <c:pt idx="943">
                  <c:v>766.19625771931476</c:v>
                </c:pt>
                <c:pt idx="944">
                  <c:v>766.69967077723925</c:v>
                </c:pt>
                <c:pt idx="945">
                  <c:v>767.19964270497553</c:v>
                </c:pt>
                <c:pt idx="946">
                  <c:v>767.69619153033454</c:v>
                </c:pt>
                <c:pt idx="947">
                  <c:v>768.18933526585499</c:v>
                </c:pt>
                <c:pt idx="948">
                  <c:v>768.67909190736088</c:v>
                </c:pt>
                <c:pt idx="949">
                  <c:v>769.165479432545</c:v>
                </c:pt>
                <c:pt idx="950">
                  <c:v>769.64851579957895</c:v>
                </c:pt>
                <c:pt idx="951">
                  <c:v>770.12821894574938</c:v>
                </c:pt>
                <c:pt idx="952">
                  <c:v>770.60460678612003</c:v>
                </c:pt>
                <c:pt idx="953">
                  <c:v>771.07769721221928</c:v>
                </c:pt>
                <c:pt idx="954">
                  <c:v>771.54750809075279</c:v>
                </c:pt>
                <c:pt idx="955">
                  <c:v>772.01405726234213</c:v>
                </c:pt>
                <c:pt idx="956">
                  <c:v>772.47736254028723</c:v>
                </c:pt>
                <c:pt idx="957">
                  <c:v>772.93744170935395</c:v>
                </c:pt>
                <c:pt idx="958">
                  <c:v>773.3943125245861</c:v>
                </c:pt>
                <c:pt idx="959">
                  <c:v>773.8479927101414</c:v>
                </c:pt>
                <c:pt idx="960">
                  <c:v>774.29849995815107</c:v>
                </c:pt>
                <c:pt idx="961">
                  <c:v>774.74585192760355</c:v>
                </c:pt>
                <c:pt idx="962">
                  <c:v>775.19006624325118</c:v>
                </c:pt>
                <c:pt idx="963">
                  <c:v>775.63116049453993</c:v>
                </c:pt>
                <c:pt idx="964">
                  <c:v>776.06915223456213</c:v>
                </c:pt>
                <c:pt idx="965">
                  <c:v>776.50405897903192</c:v>
                </c:pt>
                <c:pt idx="966">
                  <c:v>776.93589820528257</c:v>
                </c:pt>
                <c:pt idx="967">
                  <c:v>777.36468735128653</c:v>
                </c:pt>
                <c:pt idx="968">
                  <c:v>777.79044381469646</c:v>
                </c:pt>
                <c:pt idx="969">
                  <c:v>778.2131849519086</c:v>
                </c:pt>
                <c:pt idx="970">
                  <c:v>778.63292807714708</c:v>
                </c:pt>
                <c:pt idx="971">
                  <c:v>779.04969046156918</c:v>
                </c:pt>
                <c:pt idx="972">
                  <c:v>779.46348933239165</c:v>
                </c:pt>
                <c:pt idx="973">
                  <c:v>779.87434187203723</c:v>
                </c:pt>
                <c:pt idx="974">
                  <c:v>780.28226521730221</c:v>
                </c:pt>
                <c:pt idx="975">
                  <c:v>780.68727645854278</c:v>
                </c:pt>
                <c:pt idx="976">
                  <c:v>781.0893926388826</c:v>
                </c:pt>
                <c:pt idx="977">
                  <c:v>781.48863075343854</c:v>
                </c:pt>
                <c:pt idx="978">
                  <c:v>781.88500774856686</c:v>
                </c:pt>
                <c:pt idx="979">
                  <c:v>781.88500774856686</c:v>
                </c:pt>
                <c:pt idx="980">
                  <c:v>781.88500774856686</c:v>
                </c:pt>
                <c:pt idx="981">
                  <c:v>781.88500774856686</c:v>
                </c:pt>
                <c:pt idx="982">
                  <c:v>781.88500774856686</c:v>
                </c:pt>
                <c:pt idx="983">
                  <c:v>781.88500774856686</c:v>
                </c:pt>
                <c:pt idx="984">
                  <c:v>781.88500774856686</c:v>
                </c:pt>
                <c:pt idx="985">
                  <c:v>781.88500774856686</c:v>
                </c:pt>
                <c:pt idx="986">
                  <c:v>781.88500774856686</c:v>
                </c:pt>
                <c:pt idx="987">
                  <c:v>781.88500774856686</c:v>
                </c:pt>
                <c:pt idx="988">
                  <c:v>781.88500774856686</c:v>
                </c:pt>
                <c:pt idx="989">
                  <c:v>781.88500774856686</c:v>
                </c:pt>
                <c:pt idx="990">
                  <c:v>781.88500774856686</c:v>
                </c:pt>
                <c:pt idx="991">
                  <c:v>781.88500774856686</c:v>
                </c:pt>
                <c:pt idx="992">
                  <c:v>781.88500774856686</c:v>
                </c:pt>
                <c:pt idx="993">
                  <c:v>781.88500774856686</c:v>
                </c:pt>
                <c:pt idx="994">
                  <c:v>781.88500774856686</c:v>
                </c:pt>
                <c:pt idx="995">
                  <c:v>781.88500774856686</c:v>
                </c:pt>
                <c:pt idx="996">
                  <c:v>781.88500774856686</c:v>
                </c:pt>
                <c:pt idx="997">
                  <c:v>781.88500774856686</c:v>
                </c:pt>
                <c:pt idx="998">
                  <c:v>781.88500774856686</c:v>
                </c:pt>
                <c:pt idx="999">
                  <c:v>781.88500774856686</c:v>
                </c:pt>
                <c:pt idx="1000">
                  <c:v>781.88500774856686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0-41C6-97FC-918778B11BA0}"/>
            </c:ext>
          </c:extLst>
        </c:ser>
        <c:ser>
          <c:idx val="1"/>
          <c:order val="1"/>
          <c:tx>
            <c:strRef>
              <c:f>Courbes!$B$143</c:f>
              <c:strCache>
                <c:ptCount val="1"/>
                <c:pt idx="0">
                  <c:v>Altitude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5.0999999999999375</c:v>
                </c:pt>
                <c:pt idx="502">
                  <c:v>5.1999999999999371</c:v>
                </c:pt>
                <c:pt idx="503">
                  <c:v>5.2999999999999368</c:v>
                </c:pt>
                <c:pt idx="504">
                  <c:v>5.3999999999999364</c:v>
                </c:pt>
                <c:pt idx="505">
                  <c:v>5.4999999999999361</c:v>
                </c:pt>
                <c:pt idx="506">
                  <c:v>5.5999999999999357</c:v>
                </c:pt>
                <c:pt idx="507">
                  <c:v>5.6999999999999353</c:v>
                </c:pt>
                <c:pt idx="508">
                  <c:v>5.799999999999935</c:v>
                </c:pt>
                <c:pt idx="509">
                  <c:v>5.8999999999999346</c:v>
                </c:pt>
                <c:pt idx="510">
                  <c:v>5.9999999999999343</c:v>
                </c:pt>
                <c:pt idx="511">
                  <c:v>6.0999999999999339</c:v>
                </c:pt>
                <c:pt idx="512">
                  <c:v>6.1999999999999336</c:v>
                </c:pt>
                <c:pt idx="513">
                  <c:v>6.2999999999999332</c:v>
                </c:pt>
                <c:pt idx="514">
                  <c:v>6.3999999999999329</c:v>
                </c:pt>
                <c:pt idx="515">
                  <c:v>6.4999999999999325</c:v>
                </c:pt>
                <c:pt idx="516">
                  <c:v>6.5999999999999321</c:v>
                </c:pt>
                <c:pt idx="517">
                  <c:v>6.6999999999999318</c:v>
                </c:pt>
                <c:pt idx="518">
                  <c:v>6.7999999999999314</c:v>
                </c:pt>
                <c:pt idx="519">
                  <c:v>6.8999999999999311</c:v>
                </c:pt>
                <c:pt idx="520">
                  <c:v>6.9999999999999307</c:v>
                </c:pt>
                <c:pt idx="521">
                  <c:v>7.0999999999999304</c:v>
                </c:pt>
                <c:pt idx="522">
                  <c:v>7.19999999999993</c:v>
                </c:pt>
                <c:pt idx="523">
                  <c:v>7.2999999999999297</c:v>
                </c:pt>
                <c:pt idx="524">
                  <c:v>7.3999999999999293</c:v>
                </c:pt>
                <c:pt idx="525">
                  <c:v>7.4999999999999289</c:v>
                </c:pt>
                <c:pt idx="526">
                  <c:v>7.5999999999999286</c:v>
                </c:pt>
                <c:pt idx="527">
                  <c:v>7.6999999999999282</c:v>
                </c:pt>
                <c:pt idx="528">
                  <c:v>7.7999999999999279</c:v>
                </c:pt>
                <c:pt idx="529">
                  <c:v>7.8999999999999275</c:v>
                </c:pt>
                <c:pt idx="530">
                  <c:v>7.9999999999999272</c:v>
                </c:pt>
                <c:pt idx="531">
                  <c:v>8.0999999999999268</c:v>
                </c:pt>
                <c:pt idx="532">
                  <c:v>8.1999999999999265</c:v>
                </c:pt>
                <c:pt idx="533">
                  <c:v>8.2999999999999261</c:v>
                </c:pt>
                <c:pt idx="534">
                  <c:v>8.3999999999999257</c:v>
                </c:pt>
                <c:pt idx="535">
                  <c:v>8.4999999999999254</c:v>
                </c:pt>
                <c:pt idx="536">
                  <c:v>8.599999999999925</c:v>
                </c:pt>
                <c:pt idx="537">
                  <c:v>8.6999999999999247</c:v>
                </c:pt>
                <c:pt idx="538">
                  <c:v>8.7999999999999243</c:v>
                </c:pt>
                <c:pt idx="539">
                  <c:v>8.899999999999924</c:v>
                </c:pt>
                <c:pt idx="540">
                  <c:v>8.9999999999999236</c:v>
                </c:pt>
                <c:pt idx="541">
                  <c:v>9.0999999999999233</c:v>
                </c:pt>
                <c:pt idx="542">
                  <c:v>9.1999999999999229</c:v>
                </c:pt>
                <c:pt idx="543">
                  <c:v>9.2999999999999226</c:v>
                </c:pt>
                <c:pt idx="544">
                  <c:v>9.3999999999999222</c:v>
                </c:pt>
                <c:pt idx="545">
                  <c:v>9.4999999999999218</c:v>
                </c:pt>
                <c:pt idx="546">
                  <c:v>9.5999999999999215</c:v>
                </c:pt>
                <c:pt idx="547">
                  <c:v>9.6999999999999211</c:v>
                </c:pt>
                <c:pt idx="548">
                  <c:v>9.7999999999999208</c:v>
                </c:pt>
                <c:pt idx="549">
                  <c:v>9.8999999999999204</c:v>
                </c:pt>
                <c:pt idx="550">
                  <c:v>9.9999999999999201</c:v>
                </c:pt>
                <c:pt idx="551">
                  <c:v>10.09999999999992</c:v>
                </c:pt>
                <c:pt idx="552">
                  <c:v>10.199999999999919</c:v>
                </c:pt>
                <c:pt idx="553">
                  <c:v>10.299999999999919</c:v>
                </c:pt>
                <c:pt idx="554">
                  <c:v>10.399999999999919</c:v>
                </c:pt>
                <c:pt idx="555">
                  <c:v>10.499999999999918</c:v>
                </c:pt>
                <c:pt idx="556">
                  <c:v>10.599999999999918</c:v>
                </c:pt>
                <c:pt idx="557">
                  <c:v>10.699999999999918</c:v>
                </c:pt>
                <c:pt idx="558">
                  <c:v>10.799999999999917</c:v>
                </c:pt>
                <c:pt idx="559">
                  <c:v>10.899999999999917</c:v>
                </c:pt>
                <c:pt idx="560">
                  <c:v>10.999999999999917</c:v>
                </c:pt>
                <c:pt idx="561">
                  <c:v>11.099999999999916</c:v>
                </c:pt>
                <c:pt idx="562">
                  <c:v>11.199999999999916</c:v>
                </c:pt>
                <c:pt idx="563">
                  <c:v>11.299999999999915</c:v>
                </c:pt>
                <c:pt idx="564">
                  <c:v>11.399999999999915</c:v>
                </c:pt>
                <c:pt idx="565">
                  <c:v>11.499999999999915</c:v>
                </c:pt>
                <c:pt idx="566">
                  <c:v>11.599999999999914</c:v>
                </c:pt>
                <c:pt idx="567">
                  <c:v>11.699999999999914</c:v>
                </c:pt>
                <c:pt idx="568">
                  <c:v>11.799999999999914</c:v>
                </c:pt>
                <c:pt idx="569">
                  <c:v>11.899999999999913</c:v>
                </c:pt>
                <c:pt idx="570">
                  <c:v>11.999999999999913</c:v>
                </c:pt>
                <c:pt idx="571">
                  <c:v>12.099999999999913</c:v>
                </c:pt>
                <c:pt idx="572">
                  <c:v>12.199999999999912</c:v>
                </c:pt>
                <c:pt idx="573">
                  <c:v>12.299999999999912</c:v>
                </c:pt>
                <c:pt idx="574">
                  <c:v>12.399999999999912</c:v>
                </c:pt>
                <c:pt idx="575">
                  <c:v>12.499999999999911</c:v>
                </c:pt>
                <c:pt idx="576">
                  <c:v>12.599999999999911</c:v>
                </c:pt>
                <c:pt idx="577">
                  <c:v>12.69999999999991</c:v>
                </c:pt>
                <c:pt idx="578">
                  <c:v>12.79999999999991</c:v>
                </c:pt>
                <c:pt idx="579">
                  <c:v>12.89999999999991</c:v>
                </c:pt>
                <c:pt idx="580">
                  <c:v>12.999999999999909</c:v>
                </c:pt>
                <c:pt idx="581">
                  <c:v>13.099999999999909</c:v>
                </c:pt>
                <c:pt idx="582">
                  <c:v>13.199999999999909</c:v>
                </c:pt>
                <c:pt idx="583">
                  <c:v>13.299999999999908</c:v>
                </c:pt>
                <c:pt idx="584">
                  <c:v>13.399999999999908</c:v>
                </c:pt>
                <c:pt idx="585">
                  <c:v>13.499999999999908</c:v>
                </c:pt>
                <c:pt idx="586">
                  <c:v>13.599999999999907</c:v>
                </c:pt>
                <c:pt idx="587">
                  <c:v>13.699999999999907</c:v>
                </c:pt>
                <c:pt idx="588">
                  <c:v>13.799999999999907</c:v>
                </c:pt>
                <c:pt idx="589">
                  <c:v>13.899999999999906</c:v>
                </c:pt>
                <c:pt idx="590">
                  <c:v>13.999999999999906</c:v>
                </c:pt>
                <c:pt idx="591">
                  <c:v>14.099999999999905</c:v>
                </c:pt>
                <c:pt idx="592">
                  <c:v>14.199999999999905</c:v>
                </c:pt>
                <c:pt idx="593">
                  <c:v>14.299999999999905</c:v>
                </c:pt>
                <c:pt idx="594">
                  <c:v>14.399999999999904</c:v>
                </c:pt>
                <c:pt idx="595">
                  <c:v>14.499999999999904</c:v>
                </c:pt>
                <c:pt idx="596">
                  <c:v>14.599999999999904</c:v>
                </c:pt>
                <c:pt idx="597">
                  <c:v>14.699999999999903</c:v>
                </c:pt>
                <c:pt idx="598">
                  <c:v>14.799999999999903</c:v>
                </c:pt>
                <c:pt idx="599">
                  <c:v>14.899999999999903</c:v>
                </c:pt>
                <c:pt idx="600">
                  <c:v>14.999999999999902</c:v>
                </c:pt>
                <c:pt idx="601">
                  <c:v>15.099999999999902</c:v>
                </c:pt>
                <c:pt idx="602">
                  <c:v>15.199999999999902</c:v>
                </c:pt>
                <c:pt idx="603">
                  <c:v>15.299999999999901</c:v>
                </c:pt>
                <c:pt idx="604">
                  <c:v>15.399999999999901</c:v>
                </c:pt>
                <c:pt idx="605">
                  <c:v>15.499999999999901</c:v>
                </c:pt>
                <c:pt idx="606">
                  <c:v>15.5999999999999</c:v>
                </c:pt>
                <c:pt idx="607">
                  <c:v>15.6999999999999</c:v>
                </c:pt>
                <c:pt idx="608">
                  <c:v>15.799999999999899</c:v>
                </c:pt>
                <c:pt idx="609">
                  <c:v>15.899999999999899</c:v>
                </c:pt>
                <c:pt idx="610">
                  <c:v>15.999999999999899</c:v>
                </c:pt>
                <c:pt idx="611">
                  <c:v>16.099999999999898</c:v>
                </c:pt>
                <c:pt idx="612">
                  <c:v>16.1999999999999</c:v>
                </c:pt>
                <c:pt idx="613">
                  <c:v>16.299999999999901</c:v>
                </c:pt>
                <c:pt idx="614">
                  <c:v>16.399999999999903</c:v>
                </c:pt>
                <c:pt idx="615">
                  <c:v>16.499999999999904</c:v>
                </c:pt>
                <c:pt idx="616">
                  <c:v>16.599999999999905</c:v>
                </c:pt>
                <c:pt idx="617">
                  <c:v>16.699999999999907</c:v>
                </c:pt>
                <c:pt idx="618">
                  <c:v>16.799999999999908</c:v>
                </c:pt>
                <c:pt idx="619">
                  <c:v>16.89999999999991</c:v>
                </c:pt>
                <c:pt idx="620">
                  <c:v>16.999999999999911</c:v>
                </c:pt>
                <c:pt idx="621">
                  <c:v>17.099999999999913</c:v>
                </c:pt>
                <c:pt idx="622">
                  <c:v>17.199999999999914</c:v>
                </c:pt>
                <c:pt idx="623">
                  <c:v>17.299999999999915</c:v>
                </c:pt>
                <c:pt idx="624">
                  <c:v>17.399999999999917</c:v>
                </c:pt>
                <c:pt idx="625">
                  <c:v>17.499999999999918</c:v>
                </c:pt>
                <c:pt idx="626">
                  <c:v>17.59999999999992</c:v>
                </c:pt>
                <c:pt idx="627">
                  <c:v>17.699999999999921</c:v>
                </c:pt>
                <c:pt idx="628">
                  <c:v>17.799999999999923</c:v>
                </c:pt>
                <c:pt idx="629">
                  <c:v>17.899999999999924</c:v>
                </c:pt>
                <c:pt idx="630">
                  <c:v>17.999999999999925</c:v>
                </c:pt>
                <c:pt idx="631">
                  <c:v>18.099999999999927</c:v>
                </c:pt>
                <c:pt idx="632">
                  <c:v>18.199999999999928</c:v>
                </c:pt>
                <c:pt idx="633">
                  <c:v>18.29999999999993</c:v>
                </c:pt>
                <c:pt idx="634">
                  <c:v>18.399999999999931</c:v>
                </c:pt>
                <c:pt idx="635">
                  <c:v>18.499999999999932</c:v>
                </c:pt>
                <c:pt idx="636">
                  <c:v>18.599999999999934</c:v>
                </c:pt>
                <c:pt idx="637">
                  <c:v>18.699999999999935</c:v>
                </c:pt>
                <c:pt idx="638">
                  <c:v>18.799999999999937</c:v>
                </c:pt>
                <c:pt idx="639">
                  <c:v>18.899999999999938</c:v>
                </c:pt>
                <c:pt idx="640">
                  <c:v>18.99999999999994</c:v>
                </c:pt>
                <c:pt idx="641">
                  <c:v>19.099999999999941</c:v>
                </c:pt>
                <c:pt idx="642">
                  <c:v>19.199999999999942</c:v>
                </c:pt>
                <c:pt idx="643">
                  <c:v>19.299999999999944</c:v>
                </c:pt>
                <c:pt idx="644">
                  <c:v>19.399999999999945</c:v>
                </c:pt>
                <c:pt idx="645">
                  <c:v>19.499999999999947</c:v>
                </c:pt>
                <c:pt idx="646">
                  <c:v>19.599999999999948</c:v>
                </c:pt>
                <c:pt idx="647">
                  <c:v>19.69999999999995</c:v>
                </c:pt>
                <c:pt idx="648">
                  <c:v>19.799999999999951</c:v>
                </c:pt>
                <c:pt idx="649">
                  <c:v>19.899999999999952</c:v>
                </c:pt>
                <c:pt idx="650">
                  <c:v>19.999999999999954</c:v>
                </c:pt>
                <c:pt idx="651">
                  <c:v>20.099999999999955</c:v>
                </c:pt>
                <c:pt idx="652">
                  <c:v>20.199999999999957</c:v>
                </c:pt>
                <c:pt idx="653">
                  <c:v>20.299999999999958</c:v>
                </c:pt>
                <c:pt idx="654">
                  <c:v>20.399999999999959</c:v>
                </c:pt>
                <c:pt idx="655">
                  <c:v>20.499999999999961</c:v>
                </c:pt>
                <c:pt idx="656">
                  <c:v>20.599999999999962</c:v>
                </c:pt>
                <c:pt idx="657">
                  <c:v>20.699999999999964</c:v>
                </c:pt>
                <c:pt idx="658">
                  <c:v>20.799999999999965</c:v>
                </c:pt>
                <c:pt idx="659">
                  <c:v>20.899999999999967</c:v>
                </c:pt>
                <c:pt idx="660">
                  <c:v>20.999999999999968</c:v>
                </c:pt>
                <c:pt idx="661">
                  <c:v>21.099999999999969</c:v>
                </c:pt>
                <c:pt idx="662">
                  <c:v>21.199999999999971</c:v>
                </c:pt>
                <c:pt idx="663">
                  <c:v>21.299999999999972</c:v>
                </c:pt>
                <c:pt idx="664">
                  <c:v>21.399999999999974</c:v>
                </c:pt>
                <c:pt idx="665">
                  <c:v>21.499999999999975</c:v>
                </c:pt>
                <c:pt idx="666">
                  <c:v>21.599999999999977</c:v>
                </c:pt>
                <c:pt idx="667">
                  <c:v>21.699999999999978</c:v>
                </c:pt>
                <c:pt idx="668">
                  <c:v>21.799999999999979</c:v>
                </c:pt>
                <c:pt idx="669">
                  <c:v>21.899999999999981</c:v>
                </c:pt>
                <c:pt idx="670">
                  <c:v>21.999999999999982</c:v>
                </c:pt>
                <c:pt idx="671">
                  <c:v>22.099999999999984</c:v>
                </c:pt>
                <c:pt idx="672">
                  <c:v>22.199999999999985</c:v>
                </c:pt>
                <c:pt idx="673">
                  <c:v>22.299999999999986</c:v>
                </c:pt>
                <c:pt idx="674">
                  <c:v>22.399999999999988</c:v>
                </c:pt>
                <c:pt idx="675">
                  <c:v>22.499999999999989</c:v>
                </c:pt>
                <c:pt idx="676">
                  <c:v>22.599999999999991</c:v>
                </c:pt>
                <c:pt idx="677">
                  <c:v>22.699999999999992</c:v>
                </c:pt>
                <c:pt idx="678">
                  <c:v>22.799999999999994</c:v>
                </c:pt>
                <c:pt idx="679">
                  <c:v>22.899999999999995</c:v>
                </c:pt>
                <c:pt idx="680">
                  <c:v>22.999999999999996</c:v>
                </c:pt>
                <c:pt idx="681">
                  <c:v>23.099999999999998</c:v>
                </c:pt>
                <c:pt idx="682">
                  <c:v>23.2</c:v>
                </c:pt>
                <c:pt idx="683">
                  <c:v>23.3</c:v>
                </c:pt>
                <c:pt idx="684">
                  <c:v>23.400000000000002</c:v>
                </c:pt>
                <c:pt idx="685">
                  <c:v>23.500000000000004</c:v>
                </c:pt>
                <c:pt idx="686">
                  <c:v>23.600000000000005</c:v>
                </c:pt>
                <c:pt idx="687">
                  <c:v>23.700000000000006</c:v>
                </c:pt>
                <c:pt idx="688">
                  <c:v>23.800000000000008</c:v>
                </c:pt>
                <c:pt idx="689">
                  <c:v>23.900000000000009</c:v>
                </c:pt>
                <c:pt idx="690">
                  <c:v>24.000000000000011</c:v>
                </c:pt>
                <c:pt idx="691">
                  <c:v>24.100000000000012</c:v>
                </c:pt>
                <c:pt idx="692">
                  <c:v>24.200000000000014</c:v>
                </c:pt>
                <c:pt idx="693">
                  <c:v>24.300000000000015</c:v>
                </c:pt>
                <c:pt idx="694">
                  <c:v>24.400000000000016</c:v>
                </c:pt>
                <c:pt idx="695">
                  <c:v>24.500000000000018</c:v>
                </c:pt>
                <c:pt idx="696">
                  <c:v>24.600000000000019</c:v>
                </c:pt>
                <c:pt idx="697">
                  <c:v>24.700000000000021</c:v>
                </c:pt>
                <c:pt idx="698">
                  <c:v>24.800000000000022</c:v>
                </c:pt>
                <c:pt idx="699">
                  <c:v>24.900000000000023</c:v>
                </c:pt>
                <c:pt idx="700">
                  <c:v>25.000000000000025</c:v>
                </c:pt>
                <c:pt idx="701">
                  <c:v>25.100000000000026</c:v>
                </c:pt>
                <c:pt idx="702">
                  <c:v>25.200000000000028</c:v>
                </c:pt>
                <c:pt idx="703">
                  <c:v>25.300000000000029</c:v>
                </c:pt>
                <c:pt idx="704">
                  <c:v>25.400000000000031</c:v>
                </c:pt>
                <c:pt idx="705">
                  <c:v>25.500000000000032</c:v>
                </c:pt>
                <c:pt idx="706">
                  <c:v>25.600000000000033</c:v>
                </c:pt>
                <c:pt idx="707">
                  <c:v>25.700000000000035</c:v>
                </c:pt>
                <c:pt idx="708">
                  <c:v>25.800000000000036</c:v>
                </c:pt>
                <c:pt idx="709">
                  <c:v>25.900000000000038</c:v>
                </c:pt>
                <c:pt idx="710">
                  <c:v>26.000000000000039</c:v>
                </c:pt>
                <c:pt idx="711">
                  <c:v>26.100000000000041</c:v>
                </c:pt>
                <c:pt idx="712">
                  <c:v>26.200000000000042</c:v>
                </c:pt>
                <c:pt idx="713">
                  <c:v>26.300000000000043</c:v>
                </c:pt>
                <c:pt idx="714">
                  <c:v>26.400000000000045</c:v>
                </c:pt>
                <c:pt idx="715">
                  <c:v>26.500000000000046</c:v>
                </c:pt>
                <c:pt idx="716">
                  <c:v>26.600000000000048</c:v>
                </c:pt>
                <c:pt idx="717">
                  <c:v>26.700000000000049</c:v>
                </c:pt>
                <c:pt idx="718">
                  <c:v>26.80000000000005</c:v>
                </c:pt>
                <c:pt idx="719">
                  <c:v>26.900000000000052</c:v>
                </c:pt>
                <c:pt idx="720">
                  <c:v>27.000000000000053</c:v>
                </c:pt>
                <c:pt idx="721">
                  <c:v>27.100000000000055</c:v>
                </c:pt>
                <c:pt idx="722">
                  <c:v>27.200000000000056</c:v>
                </c:pt>
                <c:pt idx="723">
                  <c:v>27.300000000000058</c:v>
                </c:pt>
                <c:pt idx="724">
                  <c:v>27.400000000000059</c:v>
                </c:pt>
                <c:pt idx="725">
                  <c:v>27.50000000000006</c:v>
                </c:pt>
                <c:pt idx="726">
                  <c:v>27.600000000000062</c:v>
                </c:pt>
                <c:pt idx="727">
                  <c:v>27.700000000000063</c:v>
                </c:pt>
                <c:pt idx="728">
                  <c:v>27.800000000000065</c:v>
                </c:pt>
                <c:pt idx="729">
                  <c:v>27.900000000000066</c:v>
                </c:pt>
                <c:pt idx="730">
                  <c:v>28.000000000000068</c:v>
                </c:pt>
                <c:pt idx="731">
                  <c:v>28.100000000000069</c:v>
                </c:pt>
                <c:pt idx="732">
                  <c:v>28.20000000000007</c:v>
                </c:pt>
                <c:pt idx="733">
                  <c:v>28.300000000000072</c:v>
                </c:pt>
                <c:pt idx="734">
                  <c:v>28.400000000000073</c:v>
                </c:pt>
                <c:pt idx="735">
                  <c:v>28.500000000000075</c:v>
                </c:pt>
                <c:pt idx="736">
                  <c:v>28.600000000000076</c:v>
                </c:pt>
                <c:pt idx="737">
                  <c:v>28.700000000000077</c:v>
                </c:pt>
                <c:pt idx="738">
                  <c:v>28.800000000000079</c:v>
                </c:pt>
                <c:pt idx="739">
                  <c:v>28.90000000000008</c:v>
                </c:pt>
                <c:pt idx="740">
                  <c:v>29.000000000000082</c:v>
                </c:pt>
                <c:pt idx="741">
                  <c:v>29.100000000000083</c:v>
                </c:pt>
                <c:pt idx="742">
                  <c:v>29.200000000000085</c:v>
                </c:pt>
                <c:pt idx="743">
                  <c:v>29.300000000000086</c:v>
                </c:pt>
                <c:pt idx="744">
                  <c:v>29.400000000000087</c:v>
                </c:pt>
                <c:pt idx="745">
                  <c:v>29.500000000000089</c:v>
                </c:pt>
                <c:pt idx="746">
                  <c:v>29.60000000000009</c:v>
                </c:pt>
                <c:pt idx="747">
                  <c:v>29.700000000000092</c:v>
                </c:pt>
                <c:pt idx="748">
                  <c:v>29.800000000000093</c:v>
                </c:pt>
                <c:pt idx="749">
                  <c:v>29.900000000000095</c:v>
                </c:pt>
                <c:pt idx="750">
                  <c:v>30.000000000000096</c:v>
                </c:pt>
                <c:pt idx="751">
                  <c:v>30.100000000000097</c:v>
                </c:pt>
                <c:pt idx="752">
                  <c:v>30.200000000000099</c:v>
                </c:pt>
                <c:pt idx="753">
                  <c:v>30.3000000000001</c:v>
                </c:pt>
                <c:pt idx="754">
                  <c:v>30.400000000000102</c:v>
                </c:pt>
                <c:pt idx="755">
                  <c:v>30.500000000000103</c:v>
                </c:pt>
                <c:pt idx="756">
                  <c:v>30.600000000000104</c:v>
                </c:pt>
                <c:pt idx="757">
                  <c:v>30.700000000000106</c:v>
                </c:pt>
                <c:pt idx="758">
                  <c:v>30.800000000000107</c:v>
                </c:pt>
                <c:pt idx="759">
                  <c:v>30.900000000000109</c:v>
                </c:pt>
                <c:pt idx="760">
                  <c:v>31.00000000000011</c:v>
                </c:pt>
                <c:pt idx="761">
                  <c:v>31.100000000000112</c:v>
                </c:pt>
                <c:pt idx="762">
                  <c:v>31.200000000000113</c:v>
                </c:pt>
                <c:pt idx="763">
                  <c:v>31.300000000000114</c:v>
                </c:pt>
                <c:pt idx="764">
                  <c:v>31.400000000000116</c:v>
                </c:pt>
                <c:pt idx="765">
                  <c:v>31.500000000000117</c:v>
                </c:pt>
                <c:pt idx="766">
                  <c:v>31.600000000000119</c:v>
                </c:pt>
                <c:pt idx="767">
                  <c:v>31.70000000000012</c:v>
                </c:pt>
                <c:pt idx="768">
                  <c:v>31.800000000000122</c:v>
                </c:pt>
                <c:pt idx="769">
                  <c:v>31.900000000000123</c:v>
                </c:pt>
                <c:pt idx="770">
                  <c:v>32.000000000000121</c:v>
                </c:pt>
                <c:pt idx="771">
                  <c:v>32.100000000000122</c:v>
                </c:pt>
                <c:pt idx="772">
                  <c:v>32.200000000000124</c:v>
                </c:pt>
                <c:pt idx="773">
                  <c:v>32.300000000000125</c:v>
                </c:pt>
                <c:pt idx="774">
                  <c:v>32.400000000000126</c:v>
                </c:pt>
                <c:pt idx="775">
                  <c:v>32.500000000000128</c:v>
                </c:pt>
                <c:pt idx="776">
                  <c:v>32.600000000000129</c:v>
                </c:pt>
                <c:pt idx="777">
                  <c:v>32.700000000000131</c:v>
                </c:pt>
                <c:pt idx="778">
                  <c:v>32.800000000000132</c:v>
                </c:pt>
                <c:pt idx="779">
                  <c:v>32.900000000000134</c:v>
                </c:pt>
                <c:pt idx="780">
                  <c:v>33.000000000000135</c:v>
                </c:pt>
                <c:pt idx="781">
                  <c:v>33.100000000000136</c:v>
                </c:pt>
                <c:pt idx="782">
                  <c:v>33.200000000000138</c:v>
                </c:pt>
                <c:pt idx="783">
                  <c:v>33.300000000000139</c:v>
                </c:pt>
                <c:pt idx="784">
                  <c:v>33.400000000000141</c:v>
                </c:pt>
                <c:pt idx="785">
                  <c:v>33.500000000000142</c:v>
                </c:pt>
                <c:pt idx="786">
                  <c:v>33.600000000000144</c:v>
                </c:pt>
                <c:pt idx="787">
                  <c:v>33.700000000000145</c:v>
                </c:pt>
                <c:pt idx="788">
                  <c:v>33.800000000000146</c:v>
                </c:pt>
                <c:pt idx="789">
                  <c:v>33.900000000000148</c:v>
                </c:pt>
                <c:pt idx="790">
                  <c:v>34.000000000000149</c:v>
                </c:pt>
                <c:pt idx="791">
                  <c:v>34.100000000000151</c:v>
                </c:pt>
                <c:pt idx="792">
                  <c:v>34.200000000000152</c:v>
                </c:pt>
                <c:pt idx="793">
                  <c:v>34.300000000000153</c:v>
                </c:pt>
                <c:pt idx="794">
                  <c:v>34.400000000000155</c:v>
                </c:pt>
                <c:pt idx="795">
                  <c:v>34.500000000000156</c:v>
                </c:pt>
                <c:pt idx="796">
                  <c:v>34.600000000000158</c:v>
                </c:pt>
                <c:pt idx="797">
                  <c:v>34.700000000000159</c:v>
                </c:pt>
                <c:pt idx="798">
                  <c:v>34.800000000000161</c:v>
                </c:pt>
                <c:pt idx="799">
                  <c:v>34.900000000000162</c:v>
                </c:pt>
                <c:pt idx="800">
                  <c:v>35.000000000000163</c:v>
                </c:pt>
                <c:pt idx="801">
                  <c:v>35.100000000000165</c:v>
                </c:pt>
                <c:pt idx="802">
                  <c:v>35.200000000000166</c:v>
                </c:pt>
                <c:pt idx="803">
                  <c:v>35.300000000000168</c:v>
                </c:pt>
                <c:pt idx="804">
                  <c:v>35.400000000000169</c:v>
                </c:pt>
                <c:pt idx="805">
                  <c:v>35.500000000000171</c:v>
                </c:pt>
                <c:pt idx="806">
                  <c:v>35.600000000000172</c:v>
                </c:pt>
                <c:pt idx="807">
                  <c:v>35.700000000000173</c:v>
                </c:pt>
                <c:pt idx="808">
                  <c:v>35.800000000000175</c:v>
                </c:pt>
                <c:pt idx="809">
                  <c:v>35.900000000000176</c:v>
                </c:pt>
                <c:pt idx="810">
                  <c:v>36.000000000000178</c:v>
                </c:pt>
                <c:pt idx="811">
                  <c:v>36.100000000000179</c:v>
                </c:pt>
                <c:pt idx="812">
                  <c:v>36.20000000000018</c:v>
                </c:pt>
                <c:pt idx="813">
                  <c:v>36.300000000000182</c:v>
                </c:pt>
                <c:pt idx="814">
                  <c:v>36.400000000000183</c:v>
                </c:pt>
                <c:pt idx="815">
                  <c:v>36.500000000000185</c:v>
                </c:pt>
                <c:pt idx="816">
                  <c:v>36.600000000000186</c:v>
                </c:pt>
                <c:pt idx="817">
                  <c:v>36.700000000000188</c:v>
                </c:pt>
                <c:pt idx="818">
                  <c:v>36.800000000000189</c:v>
                </c:pt>
                <c:pt idx="819">
                  <c:v>36.90000000000019</c:v>
                </c:pt>
                <c:pt idx="820">
                  <c:v>37.000000000000192</c:v>
                </c:pt>
                <c:pt idx="821">
                  <c:v>37.100000000000193</c:v>
                </c:pt>
                <c:pt idx="822">
                  <c:v>37.200000000000195</c:v>
                </c:pt>
                <c:pt idx="823">
                  <c:v>37.300000000000196</c:v>
                </c:pt>
                <c:pt idx="824">
                  <c:v>37.400000000000198</c:v>
                </c:pt>
                <c:pt idx="825">
                  <c:v>37.500000000000199</c:v>
                </c:pt>
                <c:pt idx="826">
                  <c:v>37.6000000000002</c:v>
                </c:pt>
                <c:pt idx="827">
                  <c:v>37.700000000000202</c:v>
                </c:pt>
                <c:pt idx="828">
                  <c:v>37.800000000000203</c:v>
                </c:pt>
                <c:pt idx="829">
                  <c:v>37.900000000000205</c:v>
                </c:pt>
                <c:pt idx="830">
                  <c:v>38.000000000000206</c:v>
                </c:pt>
                <c:pt idx="831">
                  <c:v>38.100000000000207</c:v>
                </c:pt>
                <c:pt idx="832">
                  <c:v>38.200000000000209</c:v>
                </c:pt>
                <c:pt idx="833">
                  <c:v>38.30000000000021</c:v>
                </c:pt>
                <c:pt idx="834">
                  <c:v>38.400000000000212</c:v>
                </c:pt>
                <c:pt idx="835">
                  <c:v>38.500000000000213</c:v>
                </c:pt>
                <c:pt idx="836">
                  <c:v>38.600000000000215</c:v>
                </c:pt>
                <c:pt idx="837">
                  <c:v>38.700000000000216</c:v>
                </c:pt>
                <c:pt idx="838">
                  <c:v>38.800000000000217</c:v>
                </c:pt>
                <c:pt idx="839">
                  <c:v>38.900000000000219</c:v>
                </c:pt>
                <c:pt idx="840">
                  <c:v>39.00000000000022</c:v>
                </c:pt>
                <c:pt idx="841">
                  <c:v>39.100000000000222</c:v>
                </c:pt>
                <c:pt idx="842">
                  <c:v>39.200000000000223</c:v>
                </c:pt>
                <c:pt idx="843">
                  <c:v>39.300000000000225</c:v>
                </c:pt>
                <c:pt idx="844">
                  <c:v>39.400000000000226</c:v>
                </c:pt>
                <c:pt idx="845">
                  <c:v>39.500000000000227</c:v>
                </c:pt>
                <c:pt idx="846">
                  <c:v>39.600000000000229</c:v>
                </c:pt>
                <c:pt idx="847">
                  <c:v>39.70000000000023</c:v>
                </c:pt>
                <c:pt idx="848">
                  <c:v>39.800000000000232</c:v>
                </c:pt>
                <c:pt idx="849">
                  <c:v>39.900000000000233</c:v>
                </c:pt>
                <c:pt idx="850">
                  <c:v>40.000000000000234</c:v>
                </c:pt>
                <c:pt idx="851">
                  <c:v>40.100000000000236</c:v>
                </c:pt>
                <c:pt idx="852">
                  <c:v>40.200000000000237</c:v>
                </c:pt>
                <c:pt idx="853">
                  <c:v>40.300000000000239</c:v>
                </c:pt>
                <c:pt idx="854">
                  <c:v>40.40000000000024</c:v>
                </c:pt>
                <c:pt idx="855">
                  <c:v>40.500000000000242</c:v>
                </c:pt>
                <c:pt idx="856">
                  <c:v>40.600000000000243</c:v>
                </c:pt>
                <c:pt idx="857">
                  <c:v>40.700000000000244</c:v>
                </c:pt>
                <c:pt idx="858">
                  <c:v>40.800000000000246</c:v>
                </c:pt>
                <c:pt idx="859">
                  <c:v>40.900000000000247</c:v>
                </c:pt>
                <c:pt idx="860">
                  <c:v>41.000000000000249</c:v>
                </c:pt>
                <c:pt idx="861">
                  <c:v>41.10000000000025</c:v>
                </c:pt>
                <c:pt idx="862">
                  <c:v>41.200000000000252</c:v>
                </c:pt>
                <c:pt idx="863">
                  <c:v>41.300000000000253</c:v>
                </c:pt>
                <c:pt idx="864">
                  <c:v>41.400000000000254</c:v>
                </c:pt>
                <c:pt idx="865">
                  <c:v>41.500000000000256</c:v>
                </c:pt>
                <c:pt idx="866">
                  <c:v>41.600000000000257</c:v>
                </c:pt>
                <c:pt idx="867">
                  <c:v>41.700000000000259</c:v>
                </c:pt>
                <c:pt idx="868">
                  <c:v>41.80000000000026</c:v>
                </c:pt>
                <c:pt idx="869">
                  <c:v>41.900000000000261</c:v>
                </c:pt>
                <c:pt idx="870">
                  <c:v>42.000000000000263</c:v>
                </c:pt>
                <c:pt idx="871">
                  <c:v>42.100000000000264</c:v>
                </c:pt>
                <c:pt idx="872">
                  <c:v>42.200000000000266</c:v>
                </c:pt>
                <c:pt idx="873">
                  <c:v>42.300000000000267</c:v>
                </c:pt>
                <c:pt idx="874">
                  <c:v>42.400000000000269</c:v>
                </c:pt>
                <c:pt idx="875">
                  <c:v>42.50000000000027</c:v>
                </c:pt>
                <c:pt idx="876">
                  <c:v>42.600000000000271</c:v>
                </c:pt>
                <c:pt idx="877">
                  <c:v>42.700000000000273</c:v>
                </c:pt>
                <c:pt idx="878">
                  <c:v>42.800000000000274</c:v>
                </c:pt>
                <c:pt idx="879">
                  <c:v>42.900000000000276</c:v>
                </c:pt>
                <c:pt idx="880">
                  <c:v>43.000000000000277</c:v>
                </c:pt>
                <c:pt idx="881">
                  <c:v>43.100000000000279</c:v>
                </c:pt>
                <c:pt idx="882">
                  <c:v>43.20000000000028</c:v>
                </c:pt>
                <c:pt idx="883">
                  <c:v>43.300000000000281</c:v>
                </c:pt>
                <c:pt idx="884">
                  <c:v>43.400000000000283</c:v>
                </c:pt>
                <c:pt idx="885">
                  <c:v>43.500000000000284</c:v>
                </c:pt>
                <c:pt idx="886">
                  <c:v>43.600000000000286</c:v>
                </c:pt>
                <c:pt idx="887">
                  <c:v>43.700000000000287</c:v>
                </c:pt>
                <c:pt idx="888">
                  <c:v>43.800000000000288</c:v>
                </c:pt>
                <c:pt idx="889">
                  <c:v>43.90000000000029</c:v>
                </c:pt>
                <c:pt idx="890">
                  <c:v>44.000000000000291</c:v>
                </c:pt>
                <c:pt idx="891">
                  <c:v>44.100000000000293</c:v>
                </c:pt>
                <c:pt idx="892">
                  <c:v>44.200000000000294</c:v>
                </c:pt>
                <c:pt idx="893">
                  <c:v>44.300000000000296</c:v>
                </c:pt>
                <c:pt idx="894">
                  <c:v>44.400000000000297</c:v>
                </c:pt>
                <c:pt idx="895">
                  <c:v>44.500000000000298</c:v>
                </c:pt>
                <c:pt idx="896">
                  <c:v>44.6000000000003</c:v>
                </c:pt>
                <c:pt idx="897">
                  <c:v>44.700000000000301</c:v>
                </c:pt>
                <c:pt idx="898">
                  <c:v>44.800000000000303</c:v>
                </c:pt>
                <c:pt idx="899">
                  <c:v>44.900000000000304</c:v>
                </c:pt>
                <c:pt idx="900">
                  <c:v>45.000000000000306</c:v>
                </c:pt>
                <c:pt idx="901">
                  <c:v>45.100000000000307</c:v>
                </c:pt>
                <c:pt idx="902">
                  <c:v>45.200000000000308</c:v>
                </c:pt>
                <c:pt idx="903">
                  <c:v>45.30000000000031</c:v>
                </c:pt>
                <c:pt idx="904">
                  <c:v>45.400000000000311</c:v>
                </c:pt>
                <c:pt idx="905">
                  <c:v>45.500000000000313</c:v>
                </c:pt>
                <c:pt idx="906">
                  <c:v>45.600000000000314</c:v>
                </c:pt>
                <c:pt idx="907">
                  <c:v>45.700000000000315</c:v>
                </c:pt>
                <c:pt idx="908">
                  <c:v>45.800000000000317</c:v>
                </c:pt>
                <c:pt idx="909">
                  <c:v>45.900000000000318</c:v>
                </c:pt>
                <c:pt idx="910">
                  <c:v>46.00000000000032</c:v>
                </c:pt>
                <c:pt idx="911">
                  <c:v>46.100000000000321</c:v>
                </c:pt>
                <c:pt idx="912">
                  <c:v>46.200000000000323</c:v>
                </c:pt>
                <c:pt idx="913">
                  <c:v>46.300000000000324</c:v>
                </c:pt>
                <c:pt idx="914">
                  <c:v>46.400000000000325</c:v>
                </c:pt>
                <c:pt idx="915">
                  <c:v>46.500000000000327</c:v>
                </c:pt>
                <c:pt idx="916">
                  <c:v>46.600000000000328</c:v>
                </c:pt>
                <c:pt idx="917">
                  <c:v>46.70000000000033</c:v>
                </c:pt>
                <c:pt idx="918">
                  <c:v>46.800000000000331</c:v>
                </c:pt>
                <c:pt idx="919">
                  <c:v>46.900000000000333</c:v>
                </c:pt>
                <c:pt idx="920">
                  <c:v>47.000000000000334</c:v>
                </c:pt>
                <c:pt idx="921">
                  <c:v>47.100000000000335</c:v>
                </c:pt>
                <c:pt idx="922">
                  <c:v>47.200000000000337</c:v>
                </c:pt>
                <c:pt idx="923">
                  <c:v>47.300000000000338</c:v>
                </c:pt>
                <c:pt idx="924">
                  <c:v>47.40000000000034</c:v>
                </c:pt>
                <c:pt idx="925">
                  <c:v>47.500000000000341</c:v>
                </c:pt>
                <c:pt idx="926">
                  <c:v>47.600000000000342</c:v>
                </c:pt>
                <c:pt idx="927">
                  <c:v>47.700000000000344</c:v>
                </c:pt>
                <c:pt idx="928">
                  <c:v>47.800000000000345</c:v>
                </c:pt>
                <c:pt idx="929">
                  <c:v>47.900000000000347</c:v>
                </c:pt>
                <c:pt idx="930">
                  <c:v>48.000000000000348</c:v>
                </c:pt>
                <c:pt idx="931">
                  <c:v>48.10000000000035</c:v>
                </c:pt>
                <c:pt idx="932">
                  <c:v>48.200000000000351</c:v>
                </c:pt>
                <c:pt idx="933">
                  <c:v>48.300000000000352</c:v>
                </c:pt>
                <c:pt idx="934">
                  <c:v>48.400000000000354</c:v>
                </c:pt>
                <c:pt idx="935">
                  <c:v>48.500000000000355</c:v>
                </c:pt>
                <c:pt idx="936">
                  <c:v>48.600000000000357</c:v>
                </c:pt>
                <c:pt idx="937">
                  <c:v>48.700000000000358</c:v>
                </c:pt>
                <c:pt idx="938">
                  <c:v>48.80000000000036</c:v>
                </c:pt>
                <c:pt idx="939">
                  <c:v>48.900000000000361</c:v>
                </c:pt>
                <c:pt idx="940">
                  <c:v>49.000000000000362</c:v>
                </c:pt>
                <c:pt idx="941">
                  <c:v>49.100000000000364</c:v>
                </c:pt>
                <c:pt idx="942">
                  <c:v>49.200000000000365</c:v>
                </c:pt>
                <c:pt idx="943">
                  <c:v>49.300000000000367</c:v>
                </c:pt>
                <c:pt idx="944">
                  <c:v>49.400000000000368</c:v>
                </c:pt>
                <c:pt idx="945">
                  <c:v>49.500000000000369</c:v>
                </c:pt>
                <c:pt idx="946">
                  <c:v>49.600000000000371</c:v>
                </c:pt>
                <c:pt idx="947">
                  <c:v>49.700000000000372</c:v>
                </c:pt>
                <c:pt idx="948">
                  <c:v>49.800000000000374</c:v>
                </c:pt>
                <c:pt idx="949">
                  <c:v>49.900000000000375</c:v>
                </c:pt>
                <c:pt idx="950">
                  <c:v>50.000000000000377</c:v>
                </c:pt>
                <c:pt idx="951">
                  <c:v>50.100000000000378</c:v>
                </c:pt>
                <c:pt idx="952">
                  <c:v>50.200000000000379</c:v>
                </c:pt>
                <c:pt idx="953">
                  <c:v>50.300000000000381</c:v>
                </c:pt>
                <c:pt idx="954">
                  <c:v>50.400000000000382</c:v>
                </c:pt>
                <c:pt idx="955">
                  <c:v>50.500000000000384</c:v>
                </c:pt>
                <c:pt idx="956">
                  <c:v>50.600000000000385</c:v>
                </c:pt>
                <c:pt idx="957">
                  <c:v>50.700000000000387</c:v>
                </c:pt>
                <c:pt idx="958">
                  <c:v>50.800000000000388</c:v>
                </c:pt>
                <c:pt idx="959">
                  <c:v>50.900000000000389</c:v>
                </c:pt>
                <c:pt idx="960">
                  <c:v>51.000000000000391</c:v>
                </c:pt>
                <c:pt idx="961">
                  <c:v>51.100000000000392</c:v>
                </c:pt>
                <c:pt idx="962">
                  <c:v>51.200000000000394</c:v>
                </c:pt>
                <c:pt idx="963">
                  <c:v>51.300000000000395</c:v>
                </c:pt>
                <c:pt idx="964">
                  <c:v>51.400000000000396</c:v>
                </c:pt>
                <c:pt idx="965">
                  <c:v>51.500000000000398</c:v>
                </c:pt>
                <c:pt idx="966">
                  <c:v>51.600000000000399</c:v>
                </c:pt>
                <c:pt idx="967">
                  <c:v>51.700000000000401</c:v>
                </c:pt>
                <c:pt idx="968">
                  <c:v>51.800000000000402</c:v>
                </c:pt>
                <c:pt idx="969">
                  <c:v>51.900000000000404</c:v>
                </c:pt>
                <c:pt idx="970">
                  <c:v>52.000000000000405</c:v>
                </c:pt>
                <c:pt idx="971">
                  <c:v>52.100000000000406</c:v>
                </c:pt>
                <c:pt idx="972">
                  <c:v>52.200000000000408</c:v>
                </c:pt>
                <c:pt idx="973">
                  <c:v>52.300000000000409</c:v>
                </c:pt>
                <c:pt idx="974">
                  <c:v>52.400000000000411</c:v>
                </c:pt>
                <c:pt idx="975">
                  <c:v>52.500000000000412</c:v>
                </c:pt>
                <c:pt idx="976">
                  <c:v>52.600000000000414</c:v>
                </c:pt>
                <c:pt idx="977">
                  <c:v>52.700000000000415</c:v>
                </c:pt>
                <c:pt idx="978">
                  <c:v>52.800000000000416</c:v>
                </c:pt>
                <c:pt idx="979">
                  <c:v>52.80010000000042</c:v>
                </c:pt>
                <c:pt idx="980">
                  <c:v>52.800200000000423</c:v>
                </c:pt>
                <c:pt idx="981">
                  <c:v>52.800300000000426</c:v>
                </c:pt>
                <c:pt idx="982">
                  <c:v>52.80040000000043</c:v>
                </c:pt>
                <c:pt idx="983">
                  <c:v>52.800500000000433</c:v>
                </c:pt>
                <c:pt idx="984">
                  <c:v>52.800600000000436</c:v>
                </c:pt>
                <c:pt idx="985">
                  <c:v>52.80070000000044</c:v>
                </c:pt>
                <c:pt idx="986">
                  <c:v>52.800800000000443</c:v>
                </c:pt>
                <c:pt idx="987">
                  <c:v>52.800900000000446</c:v>
                </c:pt>
                <c:pt idx="988">
                  <c:v>52.80100000000045</c:v>
                </c:pt>
                <c:pt idx="989">
                  <c:v>52.801100000000453</c:v>
                </c:pt>
                <c:pt idx="990">
                  <c:v>52.801200000000456</c:v>
                </c:pt>
                <c:pt idx="991">
                  <c:v>52.80130000000046</c:v>
                </c:pt>
                <c:pt idx="992">
                  <c:v>52.801400000000463</c:v>
                </c:pt>
                <c:pt idx="993">
                  <c:v>52.801500000000466</c:v>
                </c:pt>
                <c:pt idx="994">
                  <c:v>52.801600000000469</c:v>
                </c:pt>
                <c:pt idx="995">
                  <c:v>52.801700000000473</c:v>
                </c:pt>
                <c:pt idx="996">
                  <c:v>52.801800000000476</c:v>
                </c:pt>
                <c:pt idx="997">
                  <c:v>52.801900000000479</c:v>
                </c:pt>
                <c:pt idx="998">
                  <c:v>52.802000000000483</c:v>
                </c:pt>
                <c:pt idx="999">
                  <c:v>52.802100000000486</c:v>
                </c:pt>
                <c:pt idx="1000">
                  <c:v>52.802200000000489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7.9551017983196934E-4</c:v>
                </c:pt>
                <c:pt idx="2">
                  <c:v>4.5969806451097925E-3</c:v>
                </c:pt>
                <c:pt idx="3">
                  <c:v>1.3406949949768451E-2</c:v>
                </c:pt>
                <c:pt idx="4">
                  <c:v>2.8401219250121523E-2</c:v>
                </c:pt>
                <c:pt idx="5">
                  <c:v>5.0756894473462134E-2</c:v>
                </c:pt>
                <c:pt idx="6">
                  <c:v>8.1652578986609478E-2</c:v>
                </c:pt>
                <c:pt idx="7">
                  <c:v>0.12226856376226272</c:v>
                </c:pt>
                <c:pt idx="8">
                  <c:v>0.17378701513006151</c:v>
                </c:pt>
                <c:pt idx="9">
                  <c:v>0.23739216019483012</c:v>
                </c:pt>
                <c:pt idx="10">
                  <c:v>0.31427047000019614</c:v>
                </c:pt>
                <c:pt idx="11">
                  <c:v>0.40527228320445341</c:v>
                </c:pt>
                <c:pt idx="12">
                  <c:v>0.51057232448723888</c:v>
                </c:pt>
                <c:pt idx="13">
                  <c:v>0.63000415809525101</c:v>
                </c:pt>
                <c:pt idx="14">
                  <c:v>0.76339565266121023</c:v>
                </c:pt>
                <c:pt idx="15">
                  <c:v>0.91057155858677497</c:v>
                </c:pt>
                <c:pt idx="16">
                  <c:v>1.0713560932387671</c:v>
                </c:pt>
                <c:pt idx="17">
                  <c:v>1.2455729506424484</c:v>
                </c:pt>
                <c:pt idx="18">
                  <c:v>1.4330453111800932</c:v>
                </c:pt>
                <c:pt idx="19">
                  <c:v>1.6335958512925897</c:v>
                </c:pt>
                <c:pt idx="20">
                  <c:v>1.8470467531818142</c:v>
                </c:pt>
                <c:pt idx="21">
                  <c:v>2.0732197145115308</c:v>
                </c:pt>
                <c:pt idx="22">
                  <c:v>2.3119359581045873</c:v>
                </c:pt>
                <c:pt idx="23">
                  <c:v>2.5630162416341902</c:v>
                </c:pt>
                <c:pt idx="24">
                  <c:v>2.8262808673070552</c:v>
                </c:pt>
                <c:pt idx="25">
                  <c:v>3.1015496915362473</c:v>
                </c:pt>
                <c:pt idx="26">
                  <c:v>3.3886421346015396</c:v>
                </c:pt>
                <c:pt idx="27">
                  <c:v>3.6874228307268293</c:v>
                </c:pt>
                <c:pt idx="28">
                  <c:v>3.9978473810024013</c:v>
                </c:pt>
                <c:pt idx="29">
                  <c:v>4.3199131395194454</c:v>
                </c:pt>
                <c:pt idx="30">
                  <c:v>4.6536172071448449</c:v>
                </c:pt>
                <c:pt idx="31">
                  <c:v>4.9989601612126009</c:v>
                </c:pt>
                <c:pt idx="32">
                  <c:v>5.3559424720361681</c:v>
                </c:pt>
                <c:pt idx="33">
                  <c:v>5.7245645047271552</c:v>
                </c:pt>
                <c:pt idx="34">
                  <c:v>6.1048265185892134</c:v>
                </c:pt>
                <c:pt idx="35">
                  <c:v>6.4967286665539499</c:v>
                </c:pt>
                <c:pt idx="36">
                  <c:v>6.9002709946546332</c:v>
                </c:pt>
                <c:pt idx="37">
                  <c:v>7.3154534415340731</c:v>
                </c:pt>
                <c:pt idx="38">
                  <c:v>7.7422758379835255</c:v>
                </c:pt>
                <c:pt idx="39">
                  <c:v>8.1807379065099113</c:v>
                </c:pt>
                <c:pt idx="40">
                  <c:v>8.6308392609289761</c:v>
                </c:pt>
                <c:pt idx="41">
                  <c:v>9.0925794059823275</c:v>
                </c:pt>
                <c:pt idx="42">
                  <c:v>9.5659577369765305</c:v>
                </c:pt>
                <c:pt idx="43">
                  <c:v>10.050973539442658</c:v>
                </c:pt>
                <c:pt idx="44">
                  <c:v>10.547625988814906</c:v>
                </c:pt>
                <c:pt idx="45">
                  <c:v>11.055914150126995</c:v>
                </c:pt>
                <c:pt idx="46">
                  <c:v>11.575836977725285</c:v>
                </c:pt>
                <c:pt idx="47">
                  <c:v>12.107393314997577</c:v>
                </c:pt>
                <c:pt idx="48">
                  <c:v>12.650581894116762</c:v>
                </c:pt>
                <c:pt idx="49">
                  <c:v>13.205401335798495</c:v>
                </c:pt>
                <c:pt idx="50">
                  <c:v>13.771850149072204</c:v>
                </c:pt>
                <c:pt idx="51">
                  <c:v>14.349926731064793</c:v>
                </c:pt>
                <c:pt idx="52">
                  <c:v>14.939629366796469</c:v>
                </c:pt>
                <c:pt idx="53">
                  <c:v>15.540956228988179</c:v>
                </c:pt>
                <c:pt idx="54">
                  <c:v>16.153905377880172</c:v>
                </c:pt>
                <c:pt idx="55">
                  <c:v>16.778474761061283</c:v>
                </c:pt>
                <c:pt idx="56">
                  <c:v>17.414662213308553</c:v>
                </c:pt>
                <c:pt idx="57">
                  <c:v>18.062465456436811</c:v>
                </c:pt>
                <c:pt idx="58">
                  <c:v>18.72188209915792</c:v>
                </c:pt>
                <c:pt idx="59">
                  <c:v>19.392909636949394</c:v>
                </c:pt>
                <c:pt idx="60">
                  <c:v>20.075545451932118</c:v>
                </c:pt>
                <c:pt idx="61">
                  <c:v>20.769786812756912</c:v>
                </c:pt>
                <c:pt idx="62">
                  <c:v>21.475630874499739</c:v>
                </c:pt>
                <c:pt idx="63">
                  <c:v>22.193074678565338</c:v>
                </c:pt>
                <c:pt idx="64">
                  <c:v>22.922115152599083</c:v>
                </c:pt>
                <c:pt idx="65">
                  <c:v>23.662749110406921</c:v>
                </c:pt>
                <c:pt idx="66">
                  <c:v>24.414973251883193</c:v>
                </c:pt>
                <c:pt idx="67">
                  <c:v>25.178784162946222</c:v>
                </c:pt>
                <c:pt idx="68">
                  <c:v>25.954178315481506</c:v>
                </c:pt>
                <c:pt idx="69">
                  <c:v>26.741152067292397</c:v>
                </c:pt>
                <c:pt idx="70">
                  <c:v>27.539701662058153</c:v>
                </c:pt>
                <c:pt idx="71">
                  <c:v>28.349823229299233</c:v>
                </c:pt>
                <c:pt idx="72">
                  <c:v>29.171512258083826</c:v>
                </c:pt>
                <c:pt idx="73">
                  <c:v>30.004763069772565</c:v>
                </c:pt>
                <c:pt idx="74">
                  <c:v>30.84956934302107</c:v>
                </c:pt>
                <c:pt idx="75">
                  <c:v>31.705924639788361</c:v>
                </c:pt>
                <c:pt idx="76">
                  <c:v>32.573822405397408</c:v>
                </c:pt>
                <c:pt idx="77">
                  <c:v>33.453255968602654</c:v>
                </c:pt>
                <c:pt idx="78">
                  <c:v>34.344218541664418</c:v>
                </c:pt>
                <c:pt idx="79">
                  <c:v>35.246703220430092</c:v>
                </c:pt>
                <c:pt idx="80">
                  <c:v>36.160702984422102</c:v>
                </c:pt>
                <c:pt idx="81">
                  <c:v>37.086210696932518</c:v>
                </c:pt>
                <c:pt idx="82">
                  <c:v>38.023219105124284</c:v>
                </c:pt>
                <c:pt idx="83">
                  <c:v>38.971720840139</c:v>
                </c:pt>
                <c:pt idx="84">
                  <c:v>39.931708417211176</c:v>
                </c:pt>
                <c:pt idx="85">
                  <c:v>40.903174235788939</c:v>
                </c:pt>
                <c:pt idx="86">
                  <c:v>41.8861105796611</c:v>
                </c:pt>
                <c:pt idx="87">
                  <c:v>42.880509617090574</c:v>
                </c:pt>
                <c:pt idx="88">
                  <c:v>43.886363400954053</c:v>
                </c:pt>
                <c:pt idx="89">
                  <c:v>44.903663868887918</c:v>
                </c:pt>
                <c:pt idx="90">
                  <c:v>45.93240284344035</c:v>
                </c:pt>
                <c:pt idx="91">
                  <c:v>46.972572032229557</c:v>
                </c:pt>
                <c:pt idx="92">
                  <c:v>48.024163028108106</c:v>
                </c:pt>
                <c:pt idx="93">
                  <c:v>49.087167309333324</c:v>
                </c:pt>
                <c:pt idx="94">
                  <c:v>50.161576239743674</c:v>
                </c:pt>
                <c:pt idx="95">
                  <c:v>51.247381068941131</c:v>
                </c:pt>
                <c:pt idx="96">
                  <c:v>52.344572932479487</c:v>
                </c:pt>
                <c:pt idx="97">
                  <c:v>53.453142852058527</c:v>
                </c:pt>
                <c:pt idx="98">
                  <c:v>54.573081735724081</c:v>
                </c:pt>
                <c:pt idx="99">
                  <c:v>55.704380378073886</c:v>
                </c:pt>
                <c:pt idx="100">
                  <c:v>56.847029460469216</c:v>
                </c:pt>
                <c:pt idx="101">
                  <c:v>58.001019551252256</c:v>
                </c:pt>
                <c:pt idx="102">
                  <c:v>59.166341105969195</c:v>
                </c:pt>
                <c:pt idx="103">
                  <c:v>60.342984467598995</c:v>
                </c:pt>
                <c:pt idx="104">
                  <c:v>61.530939866787755</c:v>
                </c:pt>
                <c:pt idx="105">
                  <c:v>62.730197422088715</c:v>
                </c:pt>
                <c:pt idx="106">
                  <c:v>63.940747140207819</c:v>
                </c:pt>
                <c:pt idx="107">
                  <c:v>65.162578916254773</c:v>
                </c:pt>
                <c:pt idx="108">
                  <c:v>66.395682533999675</c:v>
                </c:pt>
                <c:pt idx="109">
                  <c:v>67.64004766613499</c:v>
                </c:pt>
                <c:pt idx="110">
                  <c:v>68.895663874543061</c:v>
                </c:pt>
                <c:pt idx="111">
                  <c:v>70.162520610568976</c:v>
                </c:pt>
                <c:pt idx="112">
                  <c:v>71.440607215298755</c:v>
                </c:pt>
                <c:pt idx="113">
                  <c:v>72.729912919842917</c:v>
                </c:pt>
                <c:pt idx="114">
                  <c:v>74.0304268456253</c:v>
                </c:pt>
                <c:pt idx="115">
                  <c:v>75.342138004677139</c:v>
                </c:pt>
                <c:pt idx="116">
                  <c:v>76.66503529993642</c:v>
                </c:pt>
                <c:pt idx="117">
                  <c:v>77.999107525552333</c:v>
                </c:pt>
                <c:pt idx="118">
                  <c:v>79.344343367194924</c:v>
                </c:pt>
                <c:pt idx="119">
                  <c:v>80.700731402369897</c:v>
                </c:pt>
                <c:pt idx="120">
                  <c:v>82.068260100738428</c:v>
                </c:pt>
                <c:pt idx="121">
                  <c:v>83.446917824442096</c:v>
                </c:pt>
                <c:pt idx="122">
                  <c:v>84.836692828432788</c:v>
                </c:pt>
                <c:pt idx="123">
                  <c:v>86.237573260807565</c:v>
                </c:pt>
                <c:pt idx="124">
                  <c:v>87.649547163148554</c:v>
                </c:pt>
                <c:pt idx="125">
                  <c:v>89.07260247086765</c:v>
                </c:pt>
                <c:pt idx="126">
                  <c:v>90.506727013556144</c:v>
                </c:pt>
                <c:pt idx="127">
                  <c:v>91.951908515339184</c:v>
                </c:pt>
                <c:pt idx="128">
                  <c:v>93.408134595235055</c:v>
                </c:pt>
                <c:pt idx="129">
                  <c:v>94.875390311136059</c:v>
                </c:pt>
                <c:pt idx="130">
                  <c:v>96.353655700702035</c:v>
                </c:pt>
                <c:pt idx="131">
                  <c:v>97.842908235197584</c:v>
                </c:pt>
                <c:pt idx="132">
                  <c:v>99.343125276582242</c:v>
                </c:pt>
                <c:pt idx="133">
                  <c:v>100.85428407820518</c:v>
                </c:pt>
                <c:pt idx="134">
                  <c:v>102.37636178550432</c:v>
                </c:pt>
                <c:pt idx="135">
                  <c:v>103.90933543670967</c:v>
                </c:pt>
                <c:pt idx="136">
                  <c:v>105.45318196355095</c:v>
                </c:pt>
                <c:pt idx="137">
                  <c:v>107.00787819196927</c:v>
                </c:pt>
                <c:pt idx="138">
                  <c:v>108.57340084283292</c:v>
                </c:pt>
                <c:pt idx="139">
                  <c:v>110.14972653265716</c:v>
                </c:pt>
                <c:pt idx="140">
                  <c:v>111.73683177432785</c:v>
                </c:pt>
                <c:pt idx="141">
                  <c:v>113.33469297782908</c:v>
                </c:pt>
                <c:pt idx="142">
                  <c:v>114.94328645097441</c:v>
                </c:pt>
                <c:pt idx="143">
                  <c:v>116.56258840014196</c:v>
                </c:pt>
                <c:pt idx="144">
                  <c:v>118.19257493101301</c:v>
                </c:pt>
                <c:pt idx="145">
                  <c:v>119.83322204931429</c:v>
                </c:pt>
                <c:pt idx="146">
                  <c:v>121.4845056615636</c:v>
                </c:pt>
                <c:pt idx="147">
                  <c:v>123.14640157581906</c:v>
                </c:pt>
                <c:pt idx="148">
                  <c:v>124.81888550243146</c:v>
                </c:pt>
                <c:pt idx="149">
                  <c:v>126.50193305480009</c:v>
                </c:pt>
                <c:pt idx="150">
                  <c:v>128.19551975013169</c:v>
                </c:pt>
                <c:pt idx="151">
                  <c:v>129.89962101020248</c:v>
                </c:pt>
                <c:pt idx="152">
                  <c:v>131.61421216212335</c:v>
                </c:pt>
                <c:pt idx="153">
                  <c:v>133.33926843910797</c:v>
                </c:pt>
                <c:pt idx="154">
                  <c:v>135.07476498124382</c:v>
                </c:pt>
                <c:pt idx="155">
                  <c:v>136.82067683626607</c:v>
                </c:pt>
                <c:pt idx="156">
                  <c:v>138.57697896033426</c:v>
                </c:pt>
                <c:pt idx="157">
                  <c:v>140.34364621881156</c:v>
                </c:pt>
                <c:pt idx="158">
                  <c:v>142.12065338704687</c:v>
                </c:pt>
                <c:pt idx="159">
                  <c:v>143.90797515115923</c:v>
                </c:pt>
                <c:pt idx="160">
                  <c:v>145.70558610882495</c:v>
                </c:pt>
                <c:pt idx="161">
                  <c:v>147.51346077006687</c:v>
                </c:pt>
                <c:pt idx="162">
                  <c:v>149.33157355804627</c:v>
                </c:pt>
                <c:pt idx="163">
                  <c:v>151.15989880985683</c:v>
                </c:pt>
                <c:pt idx="164">
                  <c:v>152.9984107773208</c:v>
                </c:pt>
                <c:pt idx="165">
                  <c:v>154.84708362778741</c:v>
                </c:pt>
                <c:pt idx="166">
                  <c:v>156.70589144493326</c:v>
                </c:pt>
                <c:pt idx="167">
                  <c:v>158.57480822956464</c:v>
                </c:pt>
                <c:pt idx="168">
                  <c:v>160.45380790042185</c:v>
                </c:pt>
                <c:pt idx="169">
                  <c:v>162.34286429498536</c:v>
                </c:pt>
                <c:pt idx="170">
                  <c:v>164.24195117028367</c:v>
                </c:pt>
                <c:pt idx="171">
                  <c:v>166.15104220370281</c:v>
                </c:pt>
                <c:pt idx="172">
                  <c:v>168.0701109937977</c:v>
                </c:pt>
                <c:pt idx="173">
                  <c:v>169.99913106110483</c:v>
                </c:pt>
                <c:pt idx="174">
                  <c:v>171.93807584895654</c:v>
                </c:pt>
                <c:pt idx="175">
                  <c:v>173.88691872429666</c:v>
                </c:pt>
                <c:pt idx="176">
                  <c:v>175.84563297849755</c:v>
                </c:pt>
                <c:pt idx="177">
                  <c:v>177.81419182817839</c:v>
                </c:pt>
                <c:pt idx="178">
                  <c:v>179.79256841602469</c:v>
                </c:pt>
                <c:pt idx="179">
                  <c:v>181.78073581160885</c:v>
                </c:pt>
                <c:pt idx="180">
                  <c:v>183.77866701221194</c:v>
                </c:pt>
                <c:pt idx="181">
                  <c:v>185.78633494364632</c:v>
                </c:pt>
                <c:pt idx="182">
                  <c:v>187.80371246107936</c:v>
                </c:pt>
                <c:pt idx="183">
                  <c:v>189.8307723498578</c:v>
                </c:pt>
                <c:pt idx="184">
                  <c:v>191.86748732633311</c:v>
                </c:pt>
                <c:pt idx="185">
                  <c:v>193.91383003868748</c:v>
                </c:pt>
                <c:pt idx="186">
                  <c:v>195.96977306776049</c:v>
                </c:pt>
                <c:pt idx="187">
                  <c:v>198.03528892787631</c:v>
                </c:pt>
                <c:pt idx="188">
                  <c:v>200.11035006767145</c:v>
                </c:pt>
                <c:pt idx="189">
                  <c:v>202.19492887092306</c:v>
                </c:pt>
                <c:pt idx="190">
                  <c:v>204.28899765737751</c:v>
                </c:pt>
                <c:pt idx="191">
                  <c:v>206.39252868357926</c:v>
                </c:pt>
                <c:pt idx="192">
                  <c:v>208.50549414370008</c:v>
                </c:pt>
                <c:pt idx="193">
                  <c:v>210.62786617036846</c:v>
                </c:pt>
                <c:pt idx="194">
                  <c:v>212.75961683549909</c:v>
                </c:pt>
                <c:pt idx="195">
                  <c:v>214.90071815112233</c:v>
                </c:pt>
                <c:pt idx="196">
                  <c:v>217.0511420702139</c:v>
                </c:pt>
                <c:pt idx="197">
                  <c:v>219.21086048752423</c:v>
                </c:pt>
                <c:pt idx="198">
                  <c:v>221.37984524040786</c:v>
                </c:pt>
                <c:pt idx="199">
                  <c:v>223.55806810965257</c:v>
                </c:pt>
                <c:pt idx="200">
                  <c:v>225.74550082030828</c:v>
                </c:pt>
                <c:pt idx="201">
                  <c:v>227.94211504251555</c:v>
                </c:pt>
                <c:pt idx="202">
                  <c:v>230.14788239233383</c:v>
                </c:pt>
                <c:pt idx="203">
                  <c:v>232.36277443256904</c:v>
                </c:pt>
                <c:pt idx="204">
                  <c:v>234.58676267360093</c:v>
                </c:pt>
                <c:pt idx="205">
                  <c:v>236.81981857420953</c:v>
                </c:pt>
                <c:pt idx="206">
                  <c:v>239.06191293311676</c:v>
                </c:pt>
                <c:pt idx="207">
                  <c:v>241.31301528033208</c:v>
                </c:pt>
                <c:pt idx="208">
                  <c:v>243.57309448764053</c:v>
                </c:pt>
                <c:pt idx="209">
                  <c:v>245.84211937932093</c:v>
                </c:pt>
                <c:pt idx="210">
                  <c:v>248.12005873304085</c:v>
                </c:pt>
                <c:pt idx="211">
                  <c:v>250.40688128075013</c:v>
                </c:pt>
                <c:pt idx="212">
                  <c:v>252.70255570957312</c:v>
                </c:pt>
                <c:pt idx="213">
                  <c:v>255.00705066269913</c:v>
                </c:pt>
                <c:pt idx="214">
                  <c:v>257.32033474027162</c:v>
                </c:pt>
                <c:pt idx="215">
                  <c:v>259.64237650027547</c:v>
                </c:pt>
                <c:pt idx="216">
                  <c:v>261.97314445942271</c:v>
                </c:pt>
                <c:pt idx="217">
                  <c:v>264.31260709403642</c:v>
                </c:pt>
                <c:pt idx="218">
                  <c:v>266.66073284093289</c:v>
                </c:pt>
                <c:pt idx="219">
                  <c:v>269.01749009830166</c:v>
                </c:pt>
                <c:pt idx="220">
                  <c:v>271.38284722658398</c:v>
                </c:pt>
                <c:pt idx="221">
                  <c:v>273.75677254934885</c:v>
                </c:pt>
                <c:pt idx="222">
                  <c:v>276.1392343541674</c:v>
                </c:pt>
                <c:pt idx="223">
                  <c:v>278.53020089348485</c:v>
                </c:pt>
                <c:pt idx="224">
                  <c:v>280.92964038549042</c:v>
                </c:pt>
                <c:pt idx="225">
                  <c:v>283.33752101498487</c:v>
                </c:pt>
                <c:pt idx="226">
                  <c:v>285.75381093424608</c:v>
                </c:pt>
                <c:pt idx="227">
                  <c:v>288.1784782638918</c:v>
                </c:pt>
                <c:pt idx="228">
                  <c:v>290.61149109374037</c:v>
                </c:pt>
                <c:pt idx="229">
                  <c:v>293.05281748366883</c:v>
                </c:pt>
                <c:pt idx="230">
                  <c:v>295.50242546446856</c:v>
                </c:pt>
                <c:pt idx="231">
                  <c:v>297.96028303869832</c:v>
                </c:pt>
                <c:pt idx="232">
                  <c:v>300.42635818153468</c:v>
                </c:pt>
                <c:pt idx="233">
                  <c:v>302.90061884161969</c:v>
                </c:pt>
                <c:pt idx="234">
                  <c:v>305.38303294190615</c:v>
                </c:pt>
                <c:pt idx="235">
                  <c:v>307.87356838049959</c:v>
                </c:pt>
                <c:pt idx="236">
                  <c:v>310.37219303149789</c:v>
                </c:pt>
                <c:pt idx="237">
                  <c:v>312.87887474582777</c:v>
                </c:pt>
                <c:pt idx="238">
                  <c:v>315.39358135207857</c:v>
                </c:pt>
                <c:pt idx="239">
                  <c:v>317.91628065733266</c:v>
                </c:pt>
                <c:pt idx="240">
                  <c:v>320.44694044799326</c:v>
                </c:pt>
                <c:pt idx="241">
                  <c:v>322.98552849060906</c:v>
                </c:pt>
                <c:pt idx="242">
                  <c:v>325.53201040899722</c:v>
                </c:pt>
                <c:pt idx="243">
                  <c:v>328.08634756159699</c:v>
                </c:pt>
                <c:pt idx="244">
                  <c:v>330.64849916902807</c:v>
                </c:pt>
                <c:pt idx="245">
                  <c:v>333.21842444153123</c:v>
                </c:pt>
                <c:pt idx="246">
                  <c:v>335.79608258001269</c:v>
                </c:pt>
                <c:pt idx="247">
                  <c:v>338.38143277708326</c:v>
                </c:pt>
                <c:pt idx="248">
                  <c:v>340.97443421809157</c:v>
                </c:pt>
                <c:pt idx="249">
                  <c:v>343.57504608215203</c:v>
                </c:pt>
                <c:pt idx="250">
                  <c:v>346.18322754316677</c:v>
                </c:pt>
                <c:pt idx="251">
                  <c:v>348.79893777084214</c:v>
                </c:pt>
                <c:pt idx="252">
                  <c:v>351.42213593169924</c:v>
                </c:pt>
                <c:pt idx="253">
                  <c:v>354.05278119007863</c:v>
                </c:pt>
                <c:pt idx="254">
                  <c:v>356.69083270913922</c:v>
                </c:pt>
                <c:pt idx="255">
                  <c:v>359.33624965185123</c:v>
                </c:pt>
                <c:pt idx="256">
                  <c:v>361.98899118198324</c:v>
                </c:pt>
                <c:pt idx="257">
                  <c:v>364.64901646508298</c:v>
                </c:pt>
                <c:pt idx="258">
                  <c:v>367.31628466945227</c:v>
                </c:pt>
                <c:pt idx="259">
                  <c:v>369.99075496711589</c:v>
                </c:pt>
                <c:pt idx="260">
                  <c:v>372.67238653478415</c:v>
                </c:pt>
                <c:pt idx="261">
                  <c:v>375.36113855480926</c:v>
                </c:pt>
                <c:pt idx="262">
                  <c:v>378.05697021613571</c:v>
                </c:pt>
                <c:pt idx="263">
                  <c:v>380.75984071524414</c:v>
                </c:pt>
                <c:pt idx="264">
                  <c:v>383.46970925708894</c:v>
                </c:pt>
                <c:pt idx="265">
                  <c:v>386.1865350560297</c:v>
                </c:pt>
                <c:pt idx="266">
                  <c:v>388.910277336756</c:v>
                </c:pt>
                <c:pt idx="267">
                  <c:v>391.6408953352061</c:v>
                </c:pt>
                <c:pt idx="268">
                  <c:v>394.37834829947883</c:v>
                </c:pt>
                <c:pt idx="269">
                  <c:v>397.1225954907394</c:v>
                </c:pt>
                <c:pt idx="270">
                  <c:v>399.87359618411836</c:v>
                </c:pt>
                <c:pt idx="271">
                  <c:v>402.63130966960426</c:v>
                </c:pt>
                <c:pt idx="272">
                  <c:v>405.39569525292961</c:v>
                </c:pt>
                <c:pt idx="273">
                  <c:v>408.16671225645035</c:v>
                </c:pt>
                <c:pt idx="274">
                  <c:v>410.94432002001861</c:v>
                </c:pt>
                <c:pt idx="275">
                  <c:v>413.72847790184875</c:v>
                </c:pt>
                <c:pt idx="276">
                  <c:v>416.51914527937703</c:v>
                </c:pt>
                <c:pt idx="277">
                  <c:v>419.3162815501143</c:v>
                </c:pt>
                <c:pt idx="278">
                  <c:v>422.11984613249206</c:v>
                </c:pt>
                <c:pt idx="279">
                  <c:v>424.9297984667017</c:v>
                </c:pt>
                <c:pt idx="280">
                  <c:v>427.74609801552714</c:v>
                </c:pt>
                <c:pt idx="281">
                  <c:v>430.56870426517065</c:v>
                </c:pt>
                <c:pt idx="282">
                  <c:v>433.39757672607175</c:v>
                </c:pt>
                <c:pt idx="283">
                  <c:v>436.23267493371935</c:v>
                </c:pt>
                <c:pt idx="284">
                  <c:v>439.07396096575485</c:v>
                </c:pt>
                <c:pt idx="285">
                  <c:v>441.92140195746595</c:v>
                </c:pt>
                <c:pt idx="286">
                  <c:v>444.77496758027593</c:v>
                </c:pt>
                <c:pt idx="287">
                  <c:v>447.63462752171773</c:v>
                </c:pt>
                <c:pt idx="288">
                  <c:v>450.50035148599227</c:v>
                </c:pt>
                <c:pt idx="289">
                  <c:v>453.37210919452264</c:v>
                </c:pt>
                <c:pt idx="290">
                  <c:v>456.2498703865042</c:v>
                </c:pt>
                <c:pt idx="291">
                  <c:v>459.13360481945074</c:v>
                </c:pt>
                <c:pt idx="292">
                  <c:v>462.023282269736</c:v>
                </c:pt>
                <c:pt idx="293">
                  <c:v>464.91887253313138</c:v>
                </c:pt>
                <c:pt idx="294">
                  <c:v>467.8203454253395</c:v>
                </c:pt>
                <c:pt idx="295">
                  <c:v>470.72767078252326</c:v>
                </c:pt>
                <c:pt idx="296">
                  <c:v>473.64081846183109</c:v>
                </c:pt>
                <c:pt idx="297">
                  <c:v>476.5597583419177</c:v>
                </c:pt>
                <c:pt idx="298">
                  <c:v>479.48446032346072</c:v>
                </c:pt>
                <c:pt idx="299">
                  <c:v>482.41489432967325</c:v>
                </c:pt>
                <c:pt idx="300">
                  <c:v>485.35103030681199</c:v>
                </c:pt>
                <c:pt idx="301">
                  <c:v>488.29283822468119</c:v>
                </c:pt>
                <c:pt idx="302">
                  <c:v>491.24028807713245</c:v>
                </c:pt>
                <c:pt idx="303">
                  <c:v>494.19334988256031</c:v>
                </c:pt>
                <c:pt idx="304">
                  <c:v>497.15199368439346</c:v>
                </c:pt>
                <c:pt idx="305">
                  <c:v>500.11618955158167</c:v>
                </c:pt>
                <c:pt idx="306">
                  <c:v>503.08590757907876</c:v>
                </c:pt>
                <c:pt idx="307">
                  <c:v>506.06111788832106</c:v>
                </c:pt>
                <c:pt idx="308">
                  <c:v>509.04179062770157</c:v>
                </c:pt>
                <c:pt idx="309">
                  <c:v>512.02789597304024</c:v>
                </c:pt>
                <c:pt idx="310">
                  <c:v>515.01940412804936</c:v>
                </c:pt>
                <c:pt idx="311">
                  <c:v>518.01628532479538</c:v>
                </c:pt>
                <c:pt idx="312">
                  <c:v>521.0185098241559</c:v>
                </c:pt>
                <c:pt idx="313">
                  <c:v>524.026047916273</c:v>
                </c:pt>
                <c:pt idx="314">
                  <c:v>527.03886992100161</c:v>
                </c:pt>
                <c:pt idx="315">
                  <c:v>530.05694618835412</c:v>
                </c:pt>
                <c:pt idx="316">
                  <c:v>533.08024709894062</c:v>
                </c:pt>
                <c:pt idx="317">
                  <c:v>536.10874306440451</c:v>
                </c:pt>
                <c:pt idx="318">
                  <c:v>539.14240452785464</c:v>
                </c:pt>
                <c:pt idx="319">
                  <c:v>542.18120196429254</c:v>
                </c:pt>
                <c:pt idx="320">
                  <c:v>545.22510588103557</c:v>
                </c:pt>
                <c:pt idx="321">
                  <c:v>548.27408681813574</c:v>
                </c:pt>
                <c:pt idx="322">
                  <c:v>551.32811534879465</c:v>
                </c:pt>
                <c:pt idx="323">
                  <c:v>554.38716207977359</c:v>
                </c:pt>
                <c:pt idx="324">
                  <c:v>557.45119765180004</c:v>
                </c:pt>
                <c:pt idx="325">
                  <c:v>560.52019273996939</c:v>
                </c:pt>
                <c:pt idx="326">
                  <c:v>563.59411821005699</c:v>
                </c:pt>
                <c:pt idx="327">
                  <c:v>566.67294527466584</c:v>
                </c:pt>
                <c:pt idx="328">
                  <c:v>569.75664533721852</c:v>
                </c:pt>
                <c:pt idx="329">
                  <c:v>572.84518983609951</c:v>
                </c:pt>
                <c:pt idx="330">
                  <c:v>575.93855024502682</c:v>
                </c:pt>
                <c:pt idx="331">
                  <c:v>579.03669807341885</c:v>
                </c:pt>
                <c:pt idx="332">
                  <c:v>582.13960486675751</c:v>
                </c:pt>
                <c:pt idx="333">
                  <c:v>585.24724220694736</c:v>
                </c:pt>
                <c:pt idx="334">
                  <c:v>588.35958171267043</c:v>
                </c:pt>
                <c:pt idx="335">
                  <c:v>591.47659503973739</c:v>
                </c:pt>
                <c:pt idx="336">
                  <c:v>594.59825388143463</c:v>
                </c:pt>
                <c:pt idx="337">
                  <c:v>597.72452996886682</c:v>
                </c:pt>
                <c:pt idx="338">
                  <c:v>600.85539507129636</c:v>
                </c:pt>
                <c:pt idx="339">
                  <c:v>603.99082099647808</c:v>
                </c:pt>
                <c:pt idx="340">
                  <c:v>607.13077959099007</c:v>
                </c:pt>
                <c:pt idx="341">
                  <c:v>610.27524274056111</c:v>
                </c:pt>
                <c:pt idx="342">
                  <c:v>613.4241823703934</c:v>
                </c:pt>
                <c:pt idx="343">
                  <c:v>616.57757044548168</c:v>
                </c:pt>
                <c:pt idx="344">
                  <c:v>619.73537897092842</c:v>
                </c:pt>
                <c:pt idx="345">
                  <c:v>622.89757999225515</c:v>
                </c:pt>
                <c:pt idx="346">
                  <c:v>626.06414559570942</c:v>
                </c:pt>
                <c:pt idx="347">
                  <c:v>629.23504790856862</c:v>
                </c:pt>
                <c:pt idx="348">
                  <c:v>632.4102590994388</c:v>
                </c:pt>
                <c:pt idx="349">
                  <c:v>635.58975137855089</c:v>
                </c:pt>
                <c:pt idx="350">
                  <c:v>638.773496998052</c:v>
                </c:pt>
                <c:pt idx="351">
                  <c:v>641.96146825229323</c:v>
                </c:pt>
                <c:pt idx="352">
                  <c:v>645.15363747811364</c:v>
                </c:pt>
                <c:pt idx="353">
                  <c:v>648.34997705512046</c:v>
                </c:pt>
                <c:pt idx="354">
                  <c:v>651.5504594059654</c:v>
                </c:pt>
                <c:pt idx="355">
                  <c:v>654.75505699661676</c:v>
                </c:pt>
                <c:pt idx="356">
                  <c:v>657.96374233662834</c:v>
                </c:pt>
                <c:pt idx="357">
                  <c:v>661.17648797940421</c:v>
                </c:pt>
                <c:pt idx="358">
                  <c:v>664.39326652245984</c:v>
                </c:pt>
                <c:pt idx="359">
                  <c:v>667.61405060767913</c:v>
                </c:pt>
                <c:pt idx="360">
                  <c:v>670.83881292156821</c:v>
                </c:pt>
                <c:pt idx="361">
                  <c:v>674.06752619550502</c:v>
                </c:pt>
                <c:pt idx="362">
                  <c:v>677.30016320598543</c:v>
                </c:pt>
                <c:pt idx="363">
                  <c:v>680.53669677486562</c:v>
                </c:pt>
                <c:pt idx="364">
                  <c:v>683.77709976960057</c:v>
                </c:pt>
                <c:pt idx="365">
                  <c:v>687.02134510347923</c:v>
                </c:pt>
                <c:pt idx="366">
                  <c:v>690.26940971924967</c:v>
                </c:pt>
                <c:pt idx="367">
                  <c:v>693.52127856737684</c:v>
                </c:pt>
                <c:pt idx="368">
                  <c:v>696.77694060822057</c:v>
                </c:pt>
                <c:pt idx="369">
                  <c:v>700.03638481950395</c:v>
                </c:pt>
                <c:pt idx="370">
                  <c:v>703.29960019639248</c:v>
                </c:pt>
                <c:pt idx="371">
                  <c:v>706.56657575157203</c:v>
                </c:pt>
                <c:pt idx="372">
                  <c:v>709.83730051532598</c:v>
                </c:pt>
                <c:pt idx="373">
                  <c:v>713.11176353561132</c:v>
                </c:pt>
                <c:pt idx="374">
                  <c:v>716.38995387813452</c:v>
                </c:pt>
                <c:pt idx="375">
                  <c:v>719.67186062642566</c:v>
                </c:pt>
                <c:pt idx="376">
                  <c:v>722.95747288191239</c:v>
                </c:pt>
                <c:pt idx="377">
                  <c:v>726.24677976399289</c:v>
                </c:pt>
                <c:pt idx="378">
                  <c:v>729.53977041010774</c:v>
                </c:pt>
                <c:pt idx="379">
                  <c:v>732.83643397581136</c:v>
                </c:pt>
                <c:pt idx="380">
                  <c:v>736.13675963484229</c:v>
                </c:pt>
                <c:pt idx="381">
                  <c:v>739.4407322675703</c:v>
                </c:pt>
                <c:pt idx="382">
                  <c:v>742.74832815552952</c:v>
                </c:pt>
                <c:pt idx="383">
                  <c:v>746.05951930953643</c:v>
                </c:pt>
                <c:pt idx="384">
                  <c:v>749.37427779178961</c:v>
                </c:pt>
                <c:pt idx="385">
                  <c:v>752.69257571607443</c:v>
                </c:pt>
                <c:pt idx="386">
                  <c:v>756.01438524796424</c:v>
                </c:pt>
                <c:pt idx="387">
                  <c:v>759.33967860501718</c:v>
                </c:pt>
                <c:pt idx="388">
                  <c:v>762.66842805697013</c:v>
                </c:pt>
                <c:pt idx="389">
                  <c:v>766.00060592592774</c:v>
                </c:pt>
                <c:pt idx="390">
                  <c:v>769.33618458654894</c:v>
                </c:pt>
                <c:pt idx="391">
                  <c:v>772.67513646622876</c:v>
                </c:pt>
                <c:pt idx="392">
                  <c:v>776.01743404527701</c:v>
                </c:pt>
                <c:pt idx="393">
                  <c:v>779.36304985709285</c:v>
                </c:pt>
                <c:pt idx="394">
                  <c:v>782.71195648833623</c:v>
                </c:pt>
                <c:pt idx="395">
                  <c:v>786.06412657909539</c:v>
                </c:pt>
                <c:pt idx="396">
                  <c:v>789.41953282305042</c:v>
                </c:pt>
                <c:pt idx="397">
                  <c:v>792.77814796763391</c:v>
                </c:pt>
                <c:pt idx="398">
                  <c:v>796.13994481418752</c:v>
                </c:pt>
                <c:pt idx="399">
                  <c:v>799.50489621811505</c:v>
                </c:pt>
                <c:pt idx="400">
                  <c:v>802.87297508903237</c:v>
                </c:pt>
                <c:pt idx="401">
                  <c:v>806.24415099410623</c:v>
                </c:pt>
                <c:pt idx="402">
                  <c:v>809.6183867667138</c:v>
                </c:pt>
                <c:pt idx="403">
                  <c:v>812.99564191727802</c:v>
                </c:pt>
                <c:pt idx="404">
                  <c:v>816.37587603884538</c:v>
                </c:pt>
                <c:pt idx="405">
                  <c:v>819.75904880735732</c:v>
                </c:pt>
                <c:pt idx="406">
                  <c:v>823.14511998191347</c:v>
                </c:pt>
                <c:pt idx="407">
                  <c:v>826.53404940502912</c:v>
                </c:pt>
                <c:pt idx="408">
                  <c:v>829.92579700288445</c:v>
                </c:pt>
                <c:pt idx="409">
                  <c:v>833.3203227855679</c:v>
                </c:pt>
                <c:pt idx="410">
                  <c:v>836.71758684731185</c:v>
                </c:pt>
                <c:pt idx="411">
                  <c:v>840.1175305855686</c:v>
                </c:pt>
                <c:pt idx="412">
                  <c:v>843.52005795171067</c:v>
                </c:pt>
                <c:pt idx="413">
                  <c:v>846.92505431313396</c:v>
                </c:pt>
                <c:pt idx="414">
                  <c:v>850.33240528453723</c:v>
                </c:pt>
                <c:pt idx="415">
                  <c:v>853.7419967297285</c:v>
                </c:pt>
                <c:pt idx="416">
                  <c:v>857.15371476338169</c:v>
                </c:pt>
                <c:pt idx="417">
                  <c:v>860.5674457527424</c:v>
                </c:pt>
                <c:pt idx="418">
                  <c:v>863.98307631928424</c:v>
                </c:pt>
                <c:pt idx="419">
                  <c:v>867.40049334031517</c:v>
                </c:pt>
                <c:pt idx="420">
                  <c:v>870.81957326204031</c:v>
                </c:pt>
                <c:pt idx="421">
                  <c:v>874.24017143316973</c:v>
                </c:pt>
                <c:pt idx="422">
                  <c:v>877.6621328450459</c:v>
                </c:pt>
                <c:pt idx="423">
                  <c:v>881.0853028518743</c:v>
                </c:pt>
                <c:pt idx="424">
                  <c:v>884.50952717355756</c:v>
                </c:pt>
                <c:pt idx="425">
                  <c:v>887.93465189843914</c:v>
                </c:pt>
                <c:pt idx="426">
                  <c:v>891.3605234859582</c:v>
                </c:pt>
                <c:pt idx="427">
                  <c:v>894.7869887692143</c:v>
                </c:pt>
                <c:pt idx="428">
                  <c:v>898.21389495744484</c:v>
                </c:pt>
                <c:pt idx="429">
                  <c:v>901.6410896384142</c:v>
                </c:pt>
                <c:pt idx="430">
                  <c:v>905.06842078071634</c:v>
                </c:pt>
                <c:pt idx="431">
                  <c:v>908.49573673599082</c:v>
                </c:pt>
                <c:pt idx="432">
                  <c:v>911.92286901082491</c:v>
                </c:pt>
                <c:pt idx="433">
                  <c:v>915.34961507862499</c:v>
                </c:pt>
                <c:pt idx="434">
                  <c:v>918.77575570328543</c:v>
                </c:pt>
                <c:pt idx="435">
                  <c:v>922.20107222423758</c:v>
                </c:pt>
                <c:pt idx="436">
                  <c:v>925.62534656122943</c:v>
                </c:pt>
                <c:pt idx="437">
                  <c:v>929.04836121892822</c:v>
                </c:pt>
                <c:pt idx="438">
                  <c:v>932.46989929134531</c:v>
                </c:pt>
                <c:pt idx="439">
                  <c:v>935.88974446608654</c:v>
                </c:pt>
                <c:pt idx="440">
                  <c:v>939.30768102842853</c:v>
                </c:pt>
                <c:pt idx="441">
                  <c:v>942.72349386522285</c:v>
                </c:pt>
                <c:pt idx="442">
                  <c:v>946.13697893422545</c:v>
                </c:pt>
                <c:pt idx="443">
                  <c:v>949.54795370440308</c:v>
                </c:pt>
                <c:pt idx="444">
                  <c:v>952.95624663154194</c:v>
                </c:pt>
                <c:pt idx="445">
                  <c:v>956.36168666172034</c:v>
                </c:pt>
                <c:pt idx="446">
                  <c:v>959.76410323275718</c:v>
                </c:pt>
                <c:pt idx="447">
                  <c:v>963.16332627555823</c:v>
                </c:pt>
                <c:pt idx="448">
                  <c:v>966.55918621536193</c:v>
                </c:pt>
                <c:pt idx="449">
                  <c:v>969.95151397288544</c:v>
                </c:pt>
                <c:pt idx="450">
                  <c:v>973.34014096537271</c:v>
                </c:pt>
                <c:pt idx="451">
                  <c:v>976.72489910754462</c:v>
                </c:pt>
                <c:pt idx="452">
                  <c:v>980.10562081245394</c:v>
                </c:pt>
                <c:pt idx="453">
                  <c:v>983.48215397757838</c:v>
                </c:pt>
                <c:pt idx="454">
                  <c:v>986.85437692458504</c:v>
                </c:pt>
                <c:pt idx="455">
                  <c:v>990.22218331897454</c:v>
                </c:pt>
                <c:pt idx="456">
                  <c:v>993.58546713534849</c:v>
                </c:pt>
                <c:pt idx="457">
                  <c:v>996.94412265679148</c:v>
                </c:pt>
                <c:pt idx="458">
                  <c:v>1000.2980444742217</c:v>
                </c:pt>
                <c:pt idx="459">
                  <c:v>1003.6471274857109</c:v>
                </c:pt>
                <c:pt idx="460">
                  <c:v>1006.9912668957747</c:v>
                </c:pt>
                <c:pt idx="461">
                  <c:v>1010.3303716988762</c:v>
                </c:pt>
                <c:pt idx="462">
                  <c:v>1013.6643781196631</c:v>
                </c:pt>
                <c:pt idx="463">
                  <c:v>1016.9932360401639</c:v>
                </c:pt>
                <c:pt idx="464">
                  <c:v>1020.3168954702556</c:v>
                </c:pt>
                <c:pt idx="465">
                  <c:v>1023.6353065469464</c:v>
                </c:pt>
                <c:pt idx="466">
                  <c:v>1026.9484082064639</c:v>
                </c:pt>
                <c:pt idx="467">
                  <c:v>1030.256116893034</c:v>
                </c:pt>
                <c:pt idx="468">
                  <c:v>1033.5582118204468</c:v>
                </c:pt>
                <c:pt idx="469">
                  <c:v>1036.8543749797363</c:v>
                </c:pt>
                <c:pt idx="470">
                  <c:v>1040.1444719614792</c:v>
                </c:pt>
                <c:pt idx="471">
                  <c:v>1043.4285231193505</c:v>
                </c:pt>
                <c:pt idx="472">
                  <c:v>1046.7065486942458</c:v>
                </c:pt>
                <c:pt idx="473">
                  <c:v>1049.9785688151203</c:v>
                </c:pt>
                <c:pt idx="474">
                  <c:v>1053.2446034998193</c:v>
                </c:pt>
                <c:pt idx="475">
                  <c:v>1056.5046726559019</c:v>
                </c:pt>
                <c:pt idx="476">
                  <c:v>1059.7587960814574</c:v>
                </c:pt>
                <c:pt idx="477">
                  <c:v>1063.0069934659123</c:v>
                </c:pt>
                <c:pt idx="478">
                  <c:v>1066.2492843908319</c:v>
                </c:pt>
                <c:pt idx="479">
                  <c:v>1069.4856883307134</c:v>
                </c:pt>
                <c:pt idx="480">
                  <c:v>1072.716224653771</c:v>
                </c:pt>
                <c:pt idx="481">
                  <c:v>1075.9409126227156</c:v>
                </c:pt>
                <c:pt idx="482">
                  <c:v>1079.1597713955259</c:v>
                </c:pt>
                <c:pt idx="483">
                  <c:v>1082.3728200262124</c:v>
                </c:pt>
                <c:pt idx="484">
                  <c:v>1085.5800774655752</c:v>
                </c:pt>
                <c:pt idx="485">
                  <c:v>1088.7815625619544</c:v>
                </c:pt>
                <c:pt idx="486">
                  <c:v>1091.9772940619735</c:v>
                </c:pt>
                <c:pt idx="487">
                  <c:v>1095.1672906112763</c:v>
                </c:pt>
                <c:pt idx="488">
                  <c:v>1098.3515707552569</c:v>
                </c:pt>
                <c:pt idx="489">
                  <c:v>1101.5301529397839</c:v>
                </c:pt>
                <c:pt idx="490">
                  <c:v>1104.7030555119154</c:v>
                </c:pt>
                <c:pt idx="491">
                  <c:v>1107.8702967206116</c:v>
                </c:pt>
                <c:pt idx="492">
                  <c:v>1111.0318947174371</c:v>
                </c:pt>
                <c:pt idx="493">
                  <c:v>1114.1878675572598</c:v>
                </c:pt>
                <c:pt idx="494">
                  <c:v>1117.338233198941</c:v>
                </c:pt>
                <c:pt idx="495">
                  <c:v>1120.4830095060213</c:v>
                </c:pt>
                <c:pt idx="496">
                  <c:v>1123.6222142473996</c:v>
                </c:pt>
                <c:pt idx="497">
                  <c:v>1126.7558650980054</c:v>
                </c:pt>
                <c:pt idx="498">
                  <c:v>1129.8839796394664</c:v>
                </c:pt>
                <c:pt idx="499">
                  <c:v>1133.0065753607689</c:v>
                </c:pt>
                <c:pt idx="500">
                  <c:v>1136.1236696589131</c:v>
                </c:pt>
                <c:pt idx="501">
                  <c:v>1166.9933745316325</c:v>
                </c:pt>
                <c:pt idx="502">
                  <c:v>1197.324024968339</c:v>
                </c:pt>
                <c:pt idx="503">
                  <c:v>1227.1321752253491</c:v>
                </c:pt>
                <c:pt idx="504">
                  <c:v>1256.4335402738652</c:v>
                </c:pt>
                <c:pt idx="505">
                  <c:v>1285.2430521758179</c:v>
                </c:pt>
                <c:pt idx="506">
                  <c:v>1313.5749117582604</c:v>
                </c:pt>
                <c:pt idx="507">
                  <c:v>1341.4426360519772</c:v>
                </c:pt>
                <c:pt idx="508">
                  <c:v>1368.8591019067758</c:v>
                </c:pt>
                <c:pt idx="509">
                  <c:v>1395.8365861496115</c:v>
                </c:pt>
                <c:pt idx="510">
                  <c:v>1422.3868026112341</c:v>
                </c:pt>
                <c:pt idx="511">
                  <c:v>1448.5209363116428</c:v>
                </c:pt>
                <c:pt idx="512">
                  <c:v>1474.2496750635746</c:v>
                </c:pt>
                <c:pt idx="513">
                  <c:v>1499.5832387259472</c:v>
                </c:pt>
                <c:pt idx="514">
                  <c:v>1524.5314063151184</c:v>
                </c:pt>
                <c:pt idx="515">
                  <c:v>1549.1035411605933</c:v>
                </c:pt>
                <c:pt idx="516">
                  <c:v>1573.3086142730256</c:v>
                </c:pt>
                <c:pt idx="517">
                  <c:v>1597.1552260757098</c:v>
                </c:pt>
                <c:pt idx="518">
                  <c:v>1620.6516266359888</c:v>
                </c:pt>
                <c:pt idx="519">
                  <c:v>1643.8057345198495</c:v>
                </c:pt>
                <c:pt idx="520">
                  <c:v>1666.6251543812725</c:v>
                </c:pt>
                <c:pt idx="521">
                  <c:v>1689.1171933874439</c:v>
                </c:pt>
                <c:pt idx="522">
                  <c:v>1711.2888765715952</c:v>
                </c:pt>
                <c:pt idx="523">
                  <c:v>1733.1469611968694</c:v>
                </c:pt>
                <c:pt idx="524">
                  <c:v>1754.6979502071074</c:v>
                </c:pt>
                <c:pt idx="525">
                  <c:v>1775.9481048337102</c:v>
                </c:pt>
                <c:pt idx="526">
                  <c:v>1796.9034564216686</c:v>
                </c:pt>
                <c:pt idx="527">
                  <c:v>1817.5698175323955</c:v>
                </c:pt>
                <c:pt idx="528">
                  <c:v>1837.95279237607</c:v>
                </c:pt>
                <c:pt idx="529">
                  <c:v>1858.0577866217511</c:v>
                </c:pt>
                <c:pt idx="530">
                  <c:v>1877.8900166295027</c:v>
                </c:pt>
                <c:pt idx="531">
                  <c:v>1897.4545181451226</c:v>
                </c:pt>
                <c:pt idx="532">
                  <c:v>1916.7561544947685</c:v>
                </c:pt>
                <c:pt idx="533">
                  <c:v>1935.7996243137759</c:v>
                </c:pt>
                <c:pt idx="534">
                  <c:v>1954.5894688412363</c:v>
                </c:pt>
                <c:pt idx="535">
                  <c:v>1973.1300788094265</c:v>
                </c:pt>
                <c:pt idx="536">
                  <c:v>1991.4257009549181</c:v>
                </c:pt>
                <c:pt idx="537">
                  <c:v>2009.4804441761401</c:v>
                </c:pt>
                <c:pt idx="538">
                  <c:v>2027.2982853602853</c:v>
                </c:pt>
                <c:pt idx="539">
                  <c:v>2044.8830749007318</c:v>
                </c:pt>
                <c:pt idx="540">
                  <c:v>2062.2385419245788</c:v>
                </c:pt>
                <c:pt idx="541">
                  <c:v>2079.3682992484605</c:v>
                </c:pt>
                <c:pt idx="542">
                  <c:v>2096.2758480794728</c:v>
                </c:pt>
                <c:pt idx="543">
                  <c:v>2112.9645824768481</c:v>
                </c:pt>
                <c:pt idx="544">
                  <c:v>2129.4377935888911</c:v>
                </c:pt>
                <c:pt idx="545">
                  <c:v>2145.6986736786735</c:v>
                </c:pt>
                <c:pt idx="546">
                  <c:v>2161.7503199510402</c:v>
                </c:pt>
                <c:pt idx="547">
                  <c:v>2177.5957381926164</c:v>
                </c:pt>
                <c:pt idx="548">
                  <c:v>2193.2378462357037</c:v>
                </c:pt>
                <c:pt idx="549">
                  <c:v>2208.6794772562225</c:v>
                </c:pt>
                <c:pt idx="550">
                  <c:v>2223.9233829151676</c:v>
                </c:pt>
                <c:pt idx="551">
                  <c:v>2238.9722363524293</c:v>
                </c:pt>
                <c:pt idx="552">
                  <c:v>2253.82863504124</c:v>
                </c:pt>
                <c:pt idx="553">
                  <c:v>2268.4951035109739</c:v>
                </c:pt>
                <c:pt idx="554">
                  <c:v>2282.9740959455289</c:v>
                </c:pt>
                <c:pt idx="555">
                  <c:v>2297.2679986640587</c:v>
                </c:pt>
                <c:pt idx="556">
                  <c:v>2311.3791324903946</c:v>
                </c:pt>
                <c:pt idx="557">
                  <c:v>2325.3097550170955</c:v>
                </c:pt>
                <c:pt idx="558">
                  <c:v>2339.0620627697062</c:v>
                </c:pt>
                <c:pt idx="559">
                  <c:v>2352.6381932764475</c:v>
                </c:pt>
                <c:pt idx="560">
                  <c:v>2366.0402270482532</c:v>
                </c:pt>
                <c:pt idx="561">
                  <c:v>2379.2701894737665</c:v>
                </c:pt>
                <c:pt idx="562">
                  <c:v>2392.3300526336361</c:v>
                </c:pt>
                <c:pt idx="563">
                  <c:v>2405.2217370381873</c:v>
                </c:pt>
                <c:pt idx="564">
                  <c:v>2417.9471132923145</c:v>
                </c:pt>
                <c:pt idx="565">
                  <c:v>2430.508003691205</c:v>
                </c:pt>
                <c:pt idx="566">
                  <c:v>2442.9061837503027</c:v>
                </c:pt>
                <c:pt idx="567">
                  <c:v>2455.1433836727247</c:v>
                </c:pt>
                <c:pt idx="568">
                  <c:v>2467.2212897571526</c:v>
                </c:pt>
                <c:pt idx="569">
                  <c:v>2479.1415457490634</c:v>
                </c:pt>
                <c:pt idx="570">
                  <c:v>2490.905754137988</c:v>
                </c:pt>
                <c:pt idx="571">
                  <c:v>2502.5154774033535</c:v>
                </c:pt>
                <c:pt idx="572">
                  <c:v>2513.9722392113072</c:v>
                </c:pt>
                <c:pt idx="573">
                  <c:v>2525.2775255648039</c:v>
                </c:pt>
                <c:pt idx="574">
                  <c:v>2536.4327859091059</c:v>
                </c:pt>
                <c:pt idx="575">
                  <c:v>2547.4394341947282</c:v>
                </c:pt>
                <c:pt idx="576">
                  <c:v>2558.2988498997615</c:v>
                </c:pt>
                <c:pt idx="577">
                  <c:v>2569.0123790133953</c:v>
                </c:pt>
                <c:pt idx="578">
                  <c:v>2579.5813349823666</c:v>
                </c:pt>
                <c:pt idx="579">
                  <c:v>2590.0069996219795</c:v>
                </c:pt>
                <c:pt idx="580">
                  <c:v>2600.2906239932436</c:v>
                </c:pt>
                <c:pt idx="581">
                  <c:v>2610.4334292476074</c:v>
                </c:pt>
                <c:pt idx="582">
                  <c:v>2620.4366074406857</c:v>
                </c:pt>
                <c:pt idx="583">
                  <c:v>2630.3013223163061</c:v>
                </c:pt>
                <c:pt idx="584">
                  <c:v>2640.0287100621381</c:v>
                </c:pt>
                <c:pt idx="585">
                  <c:v>2649.6198800381003</c:v>
                </c:pt>
                <c:pt idx="586">
                  <c:v>2659.0759154786851</c:v>
                </c:pt>
                <c:pt idx="587">
                  <c:v>2668.397874170284</c:v>
                </c:pt>
                <c:pt idx="588">
                  <c:v>2677.5867891045386</c:v>
                </c:pt>
                <c:pt idx="589">
                  <c:v>2686.6436691087033</c:v>
                </c:pt>
                <c:pt idx="590">
                  <c:v>2695.5694994539444</c:v>
                </c:pt>
                <c:pt idx="591">
                  <c:v>2704.3652424424686</c:v>
                </c:pt>
                <c:pt idx="592">
                  <c:v>2713.0318379743217</c:v>
                </c:pt>
                <c:pt idx="593">
                  <c:v>2721.5702040946653</c:v>
                </c:pt>
                <c:pt idx="594">
                  <c:v>2729.9812375222973</c:v>
                </c:pt>
                <c:pt idx="595">
                  <c:v>2738.2658141601491</c:v>
                </c:pt>
                <c:pt idx="596">
                  <c:v>2746.4247895884532</c:v>
                </c:pt>
                <c:pt idx="597">
                  <c:v>2754.4589995412525</c:v>
                </c:pt>
                <c:pt idx="598">
                  <c:v>2762.3692603668806</c:v>
                </c:pt>
                <c:pt idx="599">
                  <c:v>2770.1563694730216</c:v>
                </c:pt>
                <c:pt idx="600">
                  <c:v>2777.8211057569283</c:v>
                </c:pt>
                <c:pt idx="601">
                  <c:v>2785.3642300213514</c:v>
                </c:pt>
                <c:pt idx="602">
                  <c:v>2792.7864853767055</c:v>
                </c:pt>
                <c:pt idx="603">
                  <c:v>2800.0885976299805</c:v>
                </c:pt>
                <c:pt idx="604">
                  <c:v>2807.2712756608776</c:v>
                </c:pt>
                <c:pt idx="605">
                  <c:v>2814.3352117856307</c:v>
                </c:pt>
                <c:pt idx="606">
                  <c:v>2821.2810821089602</c:v>
                </c:pt>
                <c:pt idx="607">
                  <c:v>2828.1095468645722</c:v>
                </c:pt>
                <c:pt idx="608">
                  <c:v>2834.8212507446174</c:v>
                </c:pt>
                <c:pt idx="609">
                  <c:v>2841.4168232184888</c:v>
                </c:pt>
                <c:pt idx="610">
                  <c:v>2847.8968788413335</c:v>
                </c:pt>
                <c:pt idx="611">
                  <c:v>2854.2620175526322</c:v>
                </c:pt>
                <c:pt idx="612">
                  <c:v>2860.5128249651884</c:v>
                </c:pt>
                <c:pt idx="613">
                  <c:v>2866.6498726448513</c:v>
                </c:pt>
                <c:pt idx="614">
                  <c:v>2872.6737183812888</c:v>
                </c:pt>
                <c:pt idx="615">
                  <c:v>2878.5849064501108</c:v>
                </c:pt>
                <c:pt idx="616">
                  <c:v>2884.3839678666295</c:v>
                </c:pt>
                <c:pt idx="617">
                  <c:v>2890.0714206315383</c:v>
                </c:pt>
                <c:pt idx="618">
                  <c:v>2895.6477699687721</c:v>
                </c:pt>
                <c:pt idx="619">
                  <c:v>2901.1135085558099</c:v>
                </c:pt>
                <c:pt idx="620">
                  <c:v>2906.4691167466653</c:v>
                </c:pt>
                <c:pt idx="621">
                  <c:v>2911.7150627878032</c:v>
                </c:pt>
                <c:pt idx="622">
                  <c:v>2916.8518030272144</c:v>
                </c:pt>
                <c:pt idx="623">
                  <c:v>2921.87978211687</c:v>
                </c:pt>
                <c:pt idx="624">
                  <c:v>2926.7994332087719</c:v>
                </c:pt>
                <c:pt idx="625">
                  <c:v>2931.6111781448067</c:v>
                </c:pt>
                <c:pt idx="626">
                  <c:v>2936.3154276406085</c:v>
                </c:pt>
                <c:pt idx="627">
                  <c:v>2940.912581463625</c:v>
                </c:pt>
                <c:pt idx="628">
                  <c:v>2945.4030286055836</c:v>
                </c:pt>
                <c:pt idx="629">
                  <c:v>2949.7871474495437</c:v>
                </c:pt>
                <c:pt idx="630">
                  <c:v>2954.065305931721</c:v>
                </c:pt>
                <c:pt idx="631">
                  <c:v>2958.2378616982696</c:v>
                </c:pt>
                <c:pt idx="632">
                  <c:v>2962.305162257202</c:v>
                </c:pt>
                <c:pt idx="633">
                  <c:v>2966.2675451256268</c:v>
                </c:pt>
                <c:pt idx="634">
                  <c:v>2970.1253379724908</c:v>
                </c:pt>
                <c:pt idx="635">
                  <c:v>2973.8788587570029</c:v>
                </c:pt>
                <c:pt idx="636">
                  <c:v>2977.5284158629352</c:v>
                </c:pt>
                <c:pt idx="637">
                  <c:v>2981.0743082289832</c:v>
                </c:pt>
                <c:pt idx="638">
                  <c:v>2984.5168254753962</c:v>
                </c:pt>
                <c:pt idx="639">
                  <c:v>2987.8562480270753</c:v>
                </c:pt>
                <c:pt idx="640">
                  <c:v>2991.0928472333685</c:v>
                </c:pt>
                <c:pt idx="641">
                  <c:v>2994.226885484793</c:v>
                </c:pt>
                <c:pt idx="642">
                  <c:v>2997.2586163269411</c:v>
                </c:pt>
                <c:pt idx="643">
                  <c:v>3000.1882845718474</c:v>
                </c:pt>
                <c:pt idx="644">
                  <c:v>3003.0161264071226</c:v>
                </c:pt>
                <c:pt idx="645">
                  <c:v>3005.7423695031976</c:v>
                </c:pt>
                <c:pt idx="646">
                  <c:v>3008.3672331190573</c:v>
                </c:pt>
                <c:pt idx="647">
                  <c:v>3010.890928206903</c:v>
                </c:pt>
                <c:pt idx="648">
                  <c:v>3013.3136575162339</c:v>
                </c:pt>
                <c:pt idx="649">
                  <c:v>3015.6356156979273</c:v>
                </c:pt>
                <c:pt idx="650">
                  <c:v>3017.8569894089692</c:v>
                </c:pt>
                <c:pt idx="651">
                  <c:v>3019.9779574186091</c:v>
                </c:pt>
                <c:pt idx="652">
                  <c:v>3021.9986907168359</c:v>
                </c:pt>
                <c:pt idx="653">
                  <c:v>3023.9193526262193</c:v>
                </c:pt>
                <c:pt idx="654">
                  <c:v>3025.740098918352</c:v>
                </c:pt>
                <c:pt idx="655">
                  <c:v>3027.4610779363352</c:v>
                </c:pt>
                <c:pt idx="656">
                  <c:v>3029.0824307249941</c:v>
                </c:pt>
                <c:pt idx="657">
                  <c:v>3030.6042911708023</c:v>
                </c:pt>
                <c:pt idx="658">
                  <c:v>3032.0267861538114</c:v>
                </c:pt>
                <c:pt idx="659">
                  <c:v>3033.350035714242</c:v>
                </c:pt>
                <c:pt idx="660">
                  <c:v>3034.5741532367729</c:v>
                </c:pt>
                <c:pt idx="661">
                  <c:v>3035.6992456559633</c:v>
                </c:pt>
                <c:pt idx="662">
                  <c:v>3036.7254136866236</c:v>
                </c:pt>
                <c:pt idx="663">
                  <c:v>3037.6527520832678</c:v>
                </c:pt>
                <c:pt idx="664">
                  <c:v>3038.4813499330007</c:v>
                </c:pt>
                <c:pt idx="665">
                  <c:v>3039.2112909862185</c:v>
                </c:pt>
                <c:pt idx="666">
                  <c:v>3039.842654029248</c:v>
                </c:pt>
                <c:pt idx="667">
                  <c:v>3040.3755133024438</c:v>
                </c:pt>
                <c:pt idx="668">
                  <c:v>3040.8099389661788</c:v>
                </c:pt>
                <c:pt idx="669">
                  <c:v>3041.1459976155788</c:v>
                </c:pt>
                <c:pt idx="670">
                  <c:v>3041.3837528427566</c:v>
                </c:pt>
                <c:pt idx="671">
                  <c:v>3041.5232658427863</c:v>
                </c:pt>
                <c:pt idx="672">
                  <c:v>3041.5645960569277</c:v>
                </c:pt>
                <c:pt idx="673">
                  <c:v>3041.5078018439526</c:v>
                </c:pt>
                <c:pt idx="674">
                  <c:v>3041.3529411681816</c:v>
                </c:pt>
                <c:pt idx="675">
                  <c:v>3041.1000722913541</c:v>
                </c:pt>
                <c:pt idx="676">
                  <c:v>3040.7492544549605</c:v>
                </c:pt>
                <c:pt idx="677">
                  <c:v>3040.3005485402296</c:v>
                </c:pt>
                <c:pt idx="678">
                  <c:v>3039.7540176945431</c:v>
                </c:pt>
                <c:pt idx="679">
                  <c:v>3039.109727915315</c:v>
                </c:pt>
                <c:pt idx="680">
                  <c:v>3038.3677485850767</c:v>
                </c:pt>
                <c:pt idx="681">
                  <c:v>3037.5281529542294</c:v>
                </c:pt>
                <c:pt idx="682">
                  <c:v>3036.5910185704206</c:v>
                </c:pt>
                <c:pt idx="683">
                  <c:v>3035.5564276555742</c:v>
                </c:pt>
                <c:pt idx="684">
                  <c:v>3034.4244674331426</c:v>
                </c:pt>
                <c:pt idx="685">
                  <c:v>3033.1952304091938</c:v>
                </c:pt>
                <c:pt idx="686">
                  <c:v>3031.8688146115232</c:v>
                </c:pt>
                <c:pt idx="687">
                  <c:v>3030.4453237911957</c:v>
                </c:pt>
                <c:pt idx="688">
                  <c:v>3028.9248675908698</c:v>
                </c:pt>
                <c:pt idx="689">
                  <c:v>3027.3075616840315</c:v>
                </c:pt>
                <c:pt idx="690">
                  <c:v>3025.5935278889133</c:v>
                </c:pt>
                <c:pt idx="691">
                  <c:v>3023.7828942604965</c:v>
                </c:pt>
                <c:pt idx="692">
                  <c:v>3021.8757951635862</c:v>
                </c:pt>
                <c:pt idx="693">
                  <c:v>3019.8723713295626</c:v>
                </c:pt>
                <c:pt idx="694">
                  <c:v>3017.7727698990529</c:v>
                </c:pt>
                <c:pt idx="695">
                  <c:v>3015.5771444524394</c:v>
                </c:pt>
                <c:pt idx="696">
                  <c:v>3013.2856550298416</c:v>
                </c:pt>
                <c:pt idx="697">
                  <c:v>3010.8984681419538</c:v>
                </c:pt>
                <c:pt idx="698">
                  <c:v>3008.4157567729121</c:v>
                </c:pt>
                <c:pt idx="699">
                  <c:v>3005.8377003761821</c:v>
                </c:pt>
                <c:pt idx="700">
                  <c:v>3003.1644848643055</c:v>
                </c:pt>
                <c:pt idx="701">
                  <c:v>3000.3963025932112</c:v>
                </c:pt>
                <c:pt idx="702">
                  <c:v>2997.5333523416948</c:v>
                </c:pt>
                <c:pt idx="703">
                  <c:v>2994.575839286576</c:v>
                </c:pt>
                <c:pt idx="704">
                  <c:v>2991.5239749739626</c:v>
                </c:pt>
                <c:pt idx="705">
                  <c:v>2988.377977286998</c:v>
                </c:pt>
                <c:pt idx="706">
                  <c:v>2985.1380704104045</c:v>
                </c:pt>
                <c:pt idx="707">
                  <c:v>2981.8044847920946</c:v>
                </c:pt>
                <c:pt idx="708">
                  <c:v>2978.3774571020895</c:v>
                </c:pt>
                <c:pt idx="709">
                  <c:v>2974.8572301889435</c:v>
                </c:pt>
                <c:pt idx="710">
                  <c:v>2971.2440530338581</c:v>
                </c:pt>
                <c:pt idx="711">
                  <c:v>2967.5381807026356</c:v>
                </c:pt>
                <c:pt idx="712">
                  <c:v>2963.7398742956134</c:v>
                </c:pt>
                <c:pt idx="713">
                  <c:v>2959.8494008957014</c:v>
                </c:pt>
                <c:pt idx="714">
                  <c:v>2955.8670335146276</c:v>
                </c:pt>
                <c:pt idx="715">
                  <c:v>2951.7930510374927</c:v>
                </c:pt>
                <c:pt idx="716">
                  <c:v>2947.6277381657205</c:v>
                </c:pt>
                <c:pt idx="717">
                  <c:v>2943.3713853584841</c:v>
                </c:pt>
                <c:pt idx="718">
                  <c:v>2939.0242887726813</c:v>
                </c:pt>
                <c:pt idx="719">
                  <c:v>2934.586750201528</c:v>
                </c:pt>
                <c:pt idx="720">
                  <c:v>2930.0590770118306</c:v>
                </c:pt>
                <c:pt idx="721">
                  <c:v>2925.4415820799964</c:v>
                </c:pt>
                <c:pt idx="722">
                  <c:v>2920.7345837268376</c:v>
                </c:pt>
                <c:pt idx="723">
                  <c:v>2915.9384056512208</c:v>
                </c:pt>
                <c:pt idx="724">
                  <c:v>2911.0533768626078</c:v>
                </c:pt>
                <c:pt idx="725">
                  <c:v>2906.0798316125406</c:v>
                </c:pt>
                <c:pt idx="726">
                  <c:v>2901.0181093251094</c:v>
                </c:pt>
                <c:pt idx="727">
                  <c:v>2895.868554526452</c:v>
                </c:pt>
                <c:pt idx="728">
                  <c:v>2890.6315167733223</c:v>
                </c:pt>
                <c:pt idx="729">
                  <c:v>2885.3073505807706</c:v>
                </c:pt>
                <c:pt idx="730">
                  <c:v>2879.8964153489746</c:v>
                </c:pt>
                <c:pt idx="731">
                  <c:v>2874.3990752892591</c:v>
                </c:pt>
                <c:pt idx="732">
                  <c:v>2868.8156993493426</c:v>
                </c:pt>
                <c:pt idx="733">
                  <c:v>2863.1466611378455</c:v>
                </c:pt>
                <c:pt idx="734">
                  <c:v>2857.3923388481012</c:v>
                </c:pt>
                <c:pt idx="735">
                  <c:v>2851.5531151812984</c:v>
                </c:pt>
                <c:pt idx="736">
                  <c:v>2845.6293772689955</c:v>
                </c:pt>
                <c:pt idx="737">
                  <c:v>2839.621516595038</c:v>
                </c:pt>
                <c:pt idx="738">
                  <c:v>2833.5299289169143</c:v>
                </c:pt>
                <c:pt idx="739">
                  <c:v>2827.3550141865844</c:v>
                </c:pt>
                <c:pt idx="740">
                  <c:v>2821.0971764708129</c:v>
                </c:pt>
                <c:pt idx="741">
                  <c:v>2814.7568238710401</c:v>
                </c:pt>
                <c:pt idx="742">
                  <c:v>2808.3343684428223</c:v>
                </c:pt>
                <c:pt idx="743">
                  <c:v>2801.8302261148779</c:v>
                </c:pt>
                <c:pt idx="744">
                  <c:v>2795.2448166077638</c:v>
                </c:pt>
                <c:pt idx="745">
                  <c:v>2788.578563352221</c:v>
                </c:pt>
                <c:pt idx="746">
                  <c:v>2781.8318934072158</c:v>
                </c:pt>
                <c:pt idx="747">
                  <c:v>2775.0052373777103</c:v>
                </c:pt>
                <c:pt idx="748">
                  <c:v>2768.0990293321906</c:v>
                </c:pt>
                <c:pt idx="749">
                  <c:v>2761.1137067199838</c:v>
                </c:pt>
                <c:pt idx="750">
                  <c:v>2754.0497102883969</c:v>
                </c:pt>
                <c:pt idx="751">
                  <c:v>2746.9074839997006</c:v>
                </c:pt>
                <c:pt idx="752">
                  <c:v>2739.6874749479944</c:v>
                </c:pt>
                <c:pt idx="753">
                  <c:v>2732.3901332759788</c:v>
                </c:pt>
                <c:pt idx="754">
                  <c:v>2725.0159120916628</c:v>
                </c:pt>
                <c:pt idx="755">
                  <c:v>2717.5652673850359</c:v>
                </c:pt>
                <c:pt idx="756">
                  <c:v>2710.0386579447345</c:v>
                </c:pt>
                <c:pt idx="757">
                  <c:v>2702.4365452747275</c:v>
                </c:pt>
                <c:pt idx="758">
                  <c:v>2694.7593935110508</c:v>
                </c:pt>
                <c:pt idx="759">
                  <c:v>2687.0076693386177</c:v>
                </c:pt>
                <c:pt idx="760">
                  <c:v>2679.1818419081301</c:v>
                </c:pt>
                <c:pt idx="761">
                  <c:v>2671.2823827531188</c:v>
                </c:pt>
                <c:pt idx="762">
                  <c:v>2663.309765707138</c:v>
                </c:pt>
                <c:pt idx="763">
                  <c:v>2655.2644668211406</c:v>
                </c:pt>
                <c:pt idx="764">
                  <c:v>2647.1469642810589</c:v>
                </c:pt>
                <c:pt idx="765">
                  <c:v>2638.9577383256155</c:v>
                </c:pt>
                <c:pt idx="766">
                  <c:v>2630.6972711643875</c:v>
                </c:pt>
                <c:pt idx="767">
                  <c:v>2622.366046896153</c:v>
                </c:pt>
                <c:pt idx="768">
                  <c:v>2613.9645514275371</c:v>
                </c:pt>
                <c:pt idx="769">
                  <c:v>2605.4932723919851</c:v>
                </c:pt>
                <c:pt idx="770">
                  <c:v>2596.9526990690847</c:v>
                </c:pt>
                <c:pt idx="771">
                  <c:v>2588.343322304258</c:v>
                </c:pt>
                <c:pt idx="772">
                  <c:v>2579.6656344288476</c:v>
                </c:pt>
                <c:pt idx="773">
                  <c:v>2570.9201291806185</c:v>
                </c:pt>
                <c:pt idx="774">
                  <c:v>2562.1073016246914</c:v>
                </c:pt>
                <c:pt idx="775">
                  <c:v>2553.2276480749379</c:v>
                </c:pt>
                <c:pt idx="776">
                  <c:v>2544.2816660158473</c:v>
                </c:pt>
                <c:pt idx="777">
                  <c:v>2535.2698540248934</c:v>
                </c:pt>
                <c:pt idx="778">
                  <c:v>2526.192711695413</c:v>
                </c:pt>
                <c:pt idx="779">
                  <c:v>2517.0507395600225</c:v>
                </c:pt>
                <c:pt idx="780">
                  <c:v>2507.8444390145833</c:v>
                </c:pt>
                <c:pt idx="781">
                  <c:v>2498.5743122427407</c:v>
                </c:pt>
                <c:pt idx="782">
                  <c:v>2489.2408621410477</c:v>
                </c:pt>
                <c:pt idx="783">
                  <c:v>2479.8445922446967</c:v>
                </c:pt>
                <c:pt idx="784">
                  <c:v>2470.3860066538678</c:v>
                </c:pt>
                <c:pt idx="785">
                  <c:v>2460.8656099607183</c:v>
                </c:pt>
                <c:pt idx="786">
                  <c:v>2451.2839071770222</c:v>
                </c:pt>
                <c:pt idx="787">
                  <c:v>2441.6414036624765</c:v>
                </c:pt>
                <c:pt idx="788">
                  <c:v>2431.9386050536914</c:v>
                </c:pt>
                <c:pt idx="789">
                  <c:v>2422.1760171938731</c:v>
                </c:pt>
                <c:pt idx="790">
                  <c:v>2412.35414606322</c:v>
                </c:pt>
                <c:pt idx="791">
                  <c:v>2402.4734977100361</c:v>
                </c:pt>
                <c:pt idx="792">
                  <c:v>2392.5345781825831</c:v>
                </c:pt>
                <c:pt idx="793">
                  <c:v>2382.5378934616774</c:v>
                </c:pt>
                <c:pt idx="794">
                  <c:v>2372.4839493940453</c:v>
                </c:pt>
                <c:pt idx="795">
                  <c:v>2362.3732516264486</c:v>
                </c:pt>
                <c:pt idx="796">
                  <c:v>2352.2063055405883</c:v>
                </c:pt>
                <c:pt idx="797">
                  <c:v>2341.9836161888011</c:v>
                </c:pt>
                <c:pt idx="798">
                  <c:v>2331.7056882305515</c:v>
                </c:pt>
                <c:pt idx="799">
                  <c:v>2321.3730258697365</c:v>
                </c:pt>
                <c:pt idx="800">
                  <c:v>2310.9861327928056</c:v>
                </c:pt>
                <c:pt idx="801">
                  <c:v>2300.545512107708</c:v>
                </c:pt>
                <c:pt idx="802">
                  <c:v>2290.0516662836708</c:v>
                </c:pt>
                <c:pt idx="803">
                  <c:v>2279.505097091821</c:v>
                </c:pt>
                <c:pt idx="804">
                  <c:v>2268.9063055466522</c:v>
                </c:pt>
                <c:pt idx="805">
                  <c:v>2258.2557918483467</c:v>
                </c:pt>
                <c:pt idx="806">
                  <c:v>2247.5540553259575</c:v>
                </c:pt>
                <c:pt idx="807">
                  <c:v>2236.8015943814548</c:v>
                </c:pt>
                <c:pt idx="808">
                  <c:v>2225.9989064346441</c:v>
                </c:pt>
                <c:pt idx="809">
                  <c:v>2215.1464878689576</c:v>
                </c:pt>
                <c:pt idx="810">
                  <c:v>2204.2448339781263</c:v>
                </c:pt>
                <c:pt idx="811">
                  <c:v>2193.2944389137333</c:v>
                </c:pt>
                <c:pt idx="812">
                  <c:v>2182.2957956336559</c:v>
                </c:pt>
                <c:pt idx="813">
                  <c:v>2171.2493958513942</c:v>
                </c:pt>
                <c:pt idx="814">
                  <c:v>2160.155729986292</c:v>
                </c:pt>
                <c:pt idx="815">
                  <c:v>2149.0152871146538</c:v>
                </c:pt>
                <c:pt idx="816">
                  <c:v>2137.8285549217526</c:v>
                </c:pt>
                <c:pt idx="817">
                  <c:v>2126.5960196547403</c:v>
                </c:pt>
                <c:pt idx="818">
                  <c:v>2115.3181660764503</c:v>
                </c:pt>
                <c:pt idx="819">
                  <c:v>2103.9954774201024</c:v>
                </c:pt>
                <c:pt idx="820">
                  <c:v>2092.6284353449041</c:v>
                </c:pt>
                <c:pt idx="821">
                  <c:v>2081.2175198925515</c:v>
                </c:pt>
                <c:pt idx="822">
                  <c:v>2069.7632094446262</c:v>
                </c:pt>
                <c:pt idx="823">
                  <c:v>2058.265980680892</c:v>
                </c:pt>
                <c:pt idx="824">
                  <c:v>2046.7263085384843</c:v>
                </c:pt>
                <c:pt idx="825">
                  <c:v>2035.1446661719956</c:v>
                </c:pt>
                <c:pt idx="826">
                  <c:v>2023.5215249144524</c:v>
                </c:pt>
                <c:pt idx="827">
                  <c:v>2011.8573542391825</c:v>
                </c:pt>
                <c:pt idx="828">
                  <c:v>2000.1526217225701</c:v>
                </c:pt>
                <c:pt idx="829">
                  <c:v>1988.4077930076949</c:v>
                </c:pt>
                <c:pt idx="830">
                  <c:v>1976.6233317688534</c:v>
                </c:pt>
                <c:pt idx="831">
                  <c:v>1964.7996996769591</c:v>
                </c:pt>
                <c:pt idx="832">
                  <c:v>1952.9373563658148</c:v>
                </c:pt>
                <c:pt idx="833">
                  <c:v>1941.0367593992582</c:v>
                </c:pt>
                <c:pt idx="834">
                  <c:v>1929.0983642391723</c:v>
                </c:pt>
                <c:pt idx="835">
                  <c:v>1917.1226242143571</c:v>
                </c:pt>
                <c:pt idx="836">
                  <c:v>1905.1099904902599</c:v>
                </c:pt>
                <c:pt idx="837">
                  <c:v>1893.0609120395563</c:v>
                </c:pt>
                <c:pt idx="838">
                  <c:v>1880.9758356135783</c:v>
                </c:pt>
                <c:pt idx="839">
                  <c:v>1868.8552057145832</c:v>
                </c:pt>
                <c:pt idx="840">
                  <c:v>1856.6994645688596</c:v>
                </c:pt>
                <c:pt idx="841">
                  <c:v>1844.5090521006607</c:v>
                </c:pt>
                <c:pt idx="842">
                  <c:v>1832.284405906963</c:v>
                </c:pt>
                <c:pt idx="843">
                  <c:v>1820.0259612330412</c:v>
                </c:pt>
                <c:pt idx="844">
                  <c:v>1807.7341509488538</c:v>
                </c:pt>
                <c:pt idx="845">
                  <c:v>1795.4094055262324</c:v>
                </c:pt>
                <c:pt idx="846">
                  <c:v>1783.0521530168692</c:v>
                </c:pt>
                <c:pt idx="847">
                  <c:v>1770.6628190310921</c:v>
                </c:pt>
                <c:pt idx="848">
                  <c:v>1758.2418267174248</c:v>
                </c:pt>
                <c:pt idx="849">
                  <c:v>1745.7895967429204</c:v>
                </c:pt>
                <c:pt idx="850">
                  <c:v>1733.3065472742637</c:v>
                </c:pt>
                <c:pt idx="851">
                  <c:v>1720.7930939596333</c:v>
                </c:pt>
                <c:pt idx="852">
                  <c:v>1708.2496499113151</c:v>
                </c:pt>
                <c:pt idx="853">
                  <c:v>1695.676625689061</c:v>
                </c:pt>
                <c:pt idx="854">
                  <c:v>1683.074429284183</c:v>
                </c:pt>
                <c:pt idx="855">
                  <c:v>1670.4434661043751</c:v>
                </c:pt>
                <c:pt idx="856">
                  <c:v>1657.7841389592554</c:v>
                </c:pt>
                <c:pt idx="857">
                  <c:v>1645.0968480466179</c:v>
                </c:pt>
                <c:pt idx="858">
                  <c:v>1632.3819909393887</c:v>
                </c:pt>
                <c:pt idx="859">
                  <c:v>1619.6399625732745</c:v>
                </c:pt>
                <c:pt idx="860">
                  <c:v>1606.8711552350967</c:v>
                </c:pt>
                <c:pt idx="861">
                  <c:v>1594.0759585518024</c:v>
                </c:pt>
                <c:pt idx="862">
                  <c:v>1581.2547594801422</c:v>
                </c:pt>
                <c:pt idx="863">
                  <c:v>1568.4079422970074</c:v>
                </c:pt>
                <c:pt idx="864">
                  <c:v>1555.5358885904152</c:v>
                </c:pt>
                <c:pt idx="865">
                  <c:v>1542.6389772511368</c:v>
                </c:pt>
                <c:pt idx="866">
                  <c:v>1529.7175844649541</c:v>
                </c:pt>
                <c:pt idx="867">
                  <c:v>1516.7720837055413</c:v>
                </c:pt>
                <c:pt idx="868">
                  <c:v>1503.802845727957</c:v>
                </c:pt>
                <c:pt idx="869">
                  <c:v>1490.8102385627419</c:v>
                </c:pt>
                <c:pt idx="870">
                  <c:v>1477.7946275106103</c:v>
                </c:pt>
                <c:pt idx="871">
                  <c:v>1464.7563751377268</c:v>
                </c:pt>
                <c:pt idx="872">
                  <c:v>1451.6958412715587</c:v>
                </c:pt>
                <c:pt idx="873">
                  <c:v>1438.6133829972955</c:v>
                </c:pt>
                <c:pt idx="874">
                  <c:v>1425.5093546548251</c:v>
                </c:pt>
                <c:pt idx="875">
                  <c:v>1412.384107836258</c:v>
                </c:pt>
                <c:pt idx="876">
                  <c:v>1399.2379913839895</c:v>
                </c:pt>
                <c:pt idx="877">
                  <c:v>1386.0713513892929</c:v>
                </c:pt>
                <c:pt idx="878">
                  <c:v>1372.884531191429</c:v>
                </c:pt>
                <c:pt idx="879">
                  <c:v>1359.6778713772703</c:v>
                </c:pt>
                <c:pt idx="880">
                  <c:v>1346.451709781423</c:v>
                </c:pt>
                <c:pt idx="881">
                  <c:v>1333.2063814868418</c:v>
                </c:pt>
                <c:pt idx="882">
                  <c:v>1319.9422188259284</c:v>
                </c:pt>
                <c:pt idx="883">
                  <c:v>1306.6595513821019</c:v>
                </c:pt>
                <c:pt idx="884">
                  <c:v>1293.3587059918336</c:v>
                </c:pt>
                <c:pt idx="885">
                  <c:v>1280.0400067471369</c:v>
                </c:pt>
                <c:pt idx="886">
                  <c:v>1266.7037749985029</c:v>
                </c:pt>
                <c:pt idx="887">
                  <c:v>1253.3503293582728</c:v>
                </c:pt>
                <c:pt idx="888">
                  <c:v>1239.9799857044368</c:v>
                </c:pt>
                <c:pt idx="889">
                  <c:v>1226.5930571848533</c:v>
                </c:pt>
                <c:pt idx="890">
                  <c:v>1213.1898542218757</c:v>
                </c:pt>
                <c:pt idx="891">
                  <c:v>1199.7706845173814</c:v>
                </c:pt>
                <c:pt idx="892">
                  <c:v>1186.3358530581913</c:v>
                </c:pt>
                <c:pt idx="893">
                  <c:v>1172.8856621218731</c:v>
                </c:pt>
                <c:pt idx="894">
                  <c:v>1159.4204112829179</c:v>
                </c:pt>
                <c:pt idx="895">
                  <c:v>1145.9403974192837</c:v>
                </c:pt>
                <c:pt idx="896">
                  <c:v>1132.4459147192938</c:v>
                </c:pt>
                <c:pt idx="897">
                  <c:v>1118.9372546888851</c:v>
                </c:pt>
                <c:pt idx="898">
                  <c:v>1105.4147061591948</c:v>
                </c:pt>
                <c:pt idx="899">
                  <c:v>1091.8785552944801</c:v>
                </c:pt>
                <c:pt idx="900">
                  <c:v>1078.3290856003593</c:v>
                </c:pt>
                <c:pt idx="901">
                  <c:v>1064.7665779323686</c:v>
                </c:pt>
                <c:pt idx="902">
                  <c:v>1051.191310504825</c:v>
                </c:pt>
                <c:pt idx="903">
                  <c:v>1037.6035588999873</c:v>
                </c:pt>
                <c:pt idx="904">
                  <c:v>1024.003596077509</c:v>
                </c:pt>
                <c:pt idx="905">
                  <c:v>1010.3916923841712</c:v>
                </c:pt>
                <c:pt idx="906">
                  <c:v>996.76811556389191</c:v>
                </c:pt>
                <c:pt idx="907">
                  <c:v>983.13313076800137</c:v>
                </c:pt>
                <c:pt idx="908">
                  <c:v>969.48700056577627</c:v>
                </c:pt>
                <c:pt idx="909">
                  <c:v>955.82998495522577</c:v>
                </c:pt>
                <c:pt idx="910">
                  <c:v>942.16234137412084</c:v>
                </c:pt>
                <c:pt idx="911">
                  <c:v>928.48432471126057</c:v>
                </c:pt>
                <c:pt idx="912">
                  <c:v>914.79618731796688</c:v>
                </c:pt>
                <c:pt idx="913">
                  <c:v>901.09817901980171</c:v>
                </c:pt>
                <c:pt idx="914">
                  <c:v>887.39054712849804</c:v>
                </c:pt>
                <c:pt idx="915">
                  <c:v>873.67353645409912</c:v>
                </c:pt>
                <c:pt idx="916">
                  <c:v>859.94738931729773</c:v>
                </c:pt>
                <c:pt idx="917">
                  <c:v>846.21234556196941</c:v>
                </c:pt>
                <c:pt idx="918">
                  <c:v>832.46864256789195</c:v>
                </c:pt>
                <c:pt idx="919">
                  <c:v>818.71651526364565</c:v>
                </c:pt>
                <c:pt idx="920">
                  <c:v>804.95619613968643</c:v>
                </c:pt>
                <c:pt idx="921">
                  <c:v>791.18791526158645</c:v>
                </c:pt>
                <c:pt idx="922">
                  <c:v>777.41190028343476</c:v>
                </c:pt>
                <c:pt idx="923">
                  <c:v>763.62837646139224</c:v>
                </c:pt>
                <c:pt idx="924">
                  <c:v>749.83756666739487</c:v>
                </c:pt>
                <c:pt idx="925">
                  <c:v>736.03969140299807</c:v>
                </c:pt>
                <c:pt idx="926">
                  <c:v>722.2349688133578</c:v>
                </c:pt>
                <c:pt idx="927">
                  <c:v>708.42361470134017</c:v>
                </c:pt>
                <c:pt idx="928">
                  <c:v>694.60584254175626</c:v>
                </c:pt>
                <c:pt idx="929">
                  <c:v>680.78186349571422</c:v>
                </c:pt>
                <c:pt idx="930">
                  <c:v>666.95188642508435</c:v>
                </c:pt>
                <c:pt idx="931">
                  <c:v>653.11611790707082</c:v>
                </c:pt>
                <c:pt idx="932">
                  <c:v>639.27476224888517</c:v>
                </c:pt>
                <c:pt idx="933">
                  <c:v>625.42802150251566</c:v>
                </c:pt>
                <c:pt idx="934">
                  <c:v>611.57609547958759</c:v>
                </c:pt>
                <c:pt idx="935">
                  <c:v>597.71918176630891</c:v>
                </c:pt>
                <c:pt idx="936">
                  <c:v>583.85747573849665</c:v>
                </c:pt>
                <c:pt idx="937">
                  <c:v>569.99117057667877</c:v>
                </c:pt>
                <c:pt idx="938">
                  <c:v>556.12045728126668</c:v>
                </c:pt>
                <c:pt idx="939">
                  <c:v>542.24552468779314</c:v>
                </c:pt>
                <c:pt idx="940">
                  <c:v>528.36655948221164</c:v>
                </c:pt>
                <c:pt idx="941">
                  <c:v>514.48374621625203</c:v>
                </c:pt>
                <c:pt idx="942">
                  <c:v>500.59726732282786</c:v>
                </c:pt>
                <c:pt idx="943">
                  <c:v>486.70730313149136</c:v>
                </c:pt>
                <c:pt idx="944">
                  <c:v>472.81403188393119</c:v>
                </c:pt>
                <c:pt idx="945">
                  <c:v>458.91762974950922</c:v>
                </c:pt>
                <c:pt idx="946">
                  <c:v>445.01827084083158</c:v>
                </c:pt>
                <c:pt idx="947">
                  <c:v>431.1161272293503</c:v>
                </c:pt>
                <c:pt idx="948">
                  <c:v>417.21136896099148</c:v>
                </c:pt>
                <c:pt idx="949">
                  <c:v>403.30416407180576</c:v>
                </c:pt>
                <c:pt idx="950">
                  <c:v>389.39467860363777</c:v>
                </c:pt>
                <c:pt idx="951">
                  <c:v>375.48307661981005</c:v>
                </c:pt>
                <c:pt idx="952">
                  <c:v>361.56952022081867</c:v>
                </c:pt>
                <c:pt idx="953">
                  <c:v>347.654169560036</c:v>
                </c:pt>
                <c:pt idx="954">
                  <c:v>333.73718285941811</c:v>
                </c:pt>
                <c:pt idx="955">
                  <c:v>319.81871642521241</c:v>
                </c:pt>
                <c:pt idx="956">
                  <c:v>305.89892466366302</c:v>
                </c:pt>
                <c:pt idx="957">
                  <c:v>291.97796009670986</c:v>
                </c:pt>
                <c:pt idx="958">
                  <c:v>278.05597337767887</c:v>
                </c:pt>
                <c:pt idx="959">
                  <c:v>264.1331133069599</c:v>
                </c:pt>
                <c:pt idx="960">
                  <c:v>250.20952684766939</c:v>
                </c:pt>
                <c:pt idx="961">
                  <c:v>236.28535914129475</c:v>
                </c:pt>
                <c:pt idx="962">
                  <c:v>222.36075352331758</c:v>
                </c:pt>
                <c:pt idx="963">
                  <c:v>208.43585153881315</c:v>
                </c:pt>
                <c:pt idx="964">
                  <c:v>194.51079295802305</c:v>
                </c:pt>
                <c:pt idx="965">
                  <c:v>180.58571579189848</c:v>
                </c:pt>
                <c:pt idx="966">
                  <c:v>166.66075630761179</c:v>
                </c:pt>
                <c:pt idx="967">
                  <c:v>152.73604904403339</c:v>
                </c:pt>
                <c:pt idx="968">
                  <c:v>138.81172682717178</c:v>
                </c:pt>
                <c:pt idx="969">
                  <c:v>124.88792078557437</c:v>
                </c:pt>
                <c:pt idx="970">
                  <c:v>110.96476036568657</c:v>
                </c:pt>
                <c:pt idx="971">
                  <c:v>97.042373347167114</c:v>
                </c:pt>
                <c:pt idx="972">
                  <c:v>83.12088585815718</c:v>
                </c:pt>
                <c:pt idx="973">
                  <c:v>69.200422390501473</c:v>
                </c:pt>
                <c:pt idx="974">
                  <c:v>55.281105814918973</c:v>
                </c:pt>
                <c:pt idx="975">
                  <c:v>41.363057396121462</c:v>
                </c:pt>
                <c:pt idx="976">
                  <c:v>27.446396807877889</c:v>
                </c:pt>
                <c:pt idx="977">
                  <c:v>13.531242148022644</c:v>
                </c:pt>
                <c:pt idx="978">
                  <c:v>-0.38229004659402044</c:v>
                </c:pt>
                <c:pt idx="979">
                  <c:v>-0.39620273771871234</c:v>
                </c:pt>
                <c:pt idx="980">
                  <c:v>-0.41011542704878123</c:v>
                </c:pt>
                <c:pt idx="981">
                  <c:v>-0.42402811458411444</c:v>
                </c:pt>
                <c:pt idx="982">
                  <c:v>-0.43794080032459931</c:v>
                </c:pt>
                <c:pt idx="983">
                  <c:v>-0.45185348427012323</c:v>
                </c:pt>
                <c:pt idx="984">
                  <c:v>-0.46576616642057356</c:v>
                </c:pt>
                <c:pt idx="985">
                  <c:v>-0.47967884677583766</c:v>
                </c:pt>
                <c:pt idx="986">
                  <c:v>-0.49359152533580292</c:v>
                </c:pt>
                <c:pt idx="987">
                  <c:v>-0.50750420210035674</c:v>
                </c:pt>
                <c:pt idx="988">
                  <c:v>-0.52141687706938644</c:v>
                </c:pt>
                <c:pt idx="989">
                  <c:v>-0.53532955024277928</c:v>
                </c:pt>
                <c:pt idx="990">
                  <c:v>-0.5492422216204228</c:v>
                </c:pt>
                <c:pt idx="991">
                  <c:v>-0.5631548912022043</c:v>
                </c:pt>
                <c:pt idx="992">
                  <c:v>-0.57706755898801121</c:v>
                </c:pt>
                <c:pt idx="993">
                  <c:v>-0.59098022497773084</c:v>
                </c:pt>
                <c:pt idx="994">
                  <c:v>-0.60489288917125061</c:v>
                </c:pt>
                <c:pt idx="995">
                  <c:v>-0.61880555156845785</c:v>
                </c:pt>
                <c:pt idx="996">
                  <c:v>-0.63271821216923996</c:v>
                </c:pt>
                <c:pt idx="997">
                  <c:v>-0.64663087097348437</c:v>
                </c:pt>
                <c:pt idx="998">
                  <c:v>-0.6605435279810784</c:v>
                </c:pt>
                <c:pt idx="999">
                  <c:v>-0.67445618319190948</c:v>
                </c:pt>
                <c:pt idx="1000">
                  <c:v>-0.6883688366058649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0-41C6-97FC-918778B11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19072"/>
        <c:axId val="149620992"/>
      </c:scatterChart>
      <c:valAx>
        <c:axId val="1496190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620992"/>
        <c:crosses val="autoZero"/>
        <c:crossBetween val="midCat"/>
      </c:valAx>
      <c:valAx>
        <c:axId val="1496209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Positions [m]</a:t>
                </a:r>
              </a:p>
            </c:rich>
          </c:tx>
          <c:layout>
            <c:manualLayout>
              <c:xMode val="edge"/>
              <c:yMode val="edge"/>
              <c:x val="2.0047169811320761E-2"/>
              <c:y val="0.3006547681539808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619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86169712276531"/>
          <c:y val="0.4888892388451444"/>
          <c:w val="0.13679257663546773"/>
          <c:h val="0.157777777777777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Propu!$A$2</c:f>
          <c:strCache>
            <c:ptCount val="1"/>
            <c:pt idx="0">
              <c:v>Orignal (Pro75-3G C)</c:v>
            </c:pt>
          </c:strCache>
        </c:strRef>
      </c:tx>
      <c:layout>
        <c:manualLayout>
          <c:xMode val="edge"/>
          <c:yMode val="edge"/>
          <c:x val="0.47127077646762688"/>
          <c:y val="3.9178592393174498E-2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96559551677733E-2"/>
          <c:y val="5.5426586068345711E-2"/>
          <c:w val="0.88973722710617964"/>
          <c:h val="0.82390179871348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Propu!$A$4</c:f>
              <c:strCache>
                <c:ptCount val="1"/>
                <c:pt idx="0">
                  <c:v>Poussée (en N)</c:v>
                </c:pt>
              </c:strCache>
            </c:strRef>
          </c:tx>
          <c:spPr>
            <a:ln w="25400">
              <a:solidFill>
                <a:srgbClr val="004586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Propu!$B$3:$X$3</c:f>
              <c:numCache>
                <c:formatCode>General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0.12</c:v>
                </c:pt>
                <c:pt idx="4">
                  <c:v>0.26</c:v>
                </c:pt>
                <c:pt idx="5">
                  <c:v>0.71</c:v>
                </c:pt>
                <c:pt idx="6">
                  <c:v>1.28</c:v>
                </c:pt>
                <c:pt idx="7">
                  <c:v>2.0499999999999998</c:v>
                </c:pt>
                <c:pt idx="8">
                  <c:v>2.41</c:v>
                </c:pt>
                <c:pt idx="9">
                  <c:v>2.83</c:v>
                </c:pt>
                <c:pt idx="10">
                  <c:v>3.25</c:v>
                </c:pt>
                <c:pt idx="11">
                  <c:v>3.65</c:v>
                </c:pt>
                <c:pt idx="12">
                  <c:v>3.8</c:v>
                </c:pt>
                <c:pt idx="13">
                  <c:v>4</c:v>
                </c:pt>
                <c:pt idx="14">
                  <c:v>4.0999999999999996</c:v>
                </c:pt>
                <c:pt idx="15">
                  <c:v>4.1900000000000004</c:v>
                </c:pt>
                <c:pt idx="16">
                  <c:v>4.3099999999999996</c:v>
                </c:pt>
                <c:pt idx="17">
                  <c:v>4.41</c:v>
                </c:pt>
                <c:pt idx="18">
                  <c:v>4.5199999999999996</c:v>
                </c:pt>
                <c:pt idx="19">
                  <c:v>4.5999999999999996</c:v>
                </c:pt>
                <c:pt idx="20">
                  <c:v>4.6500000000000004</c:v>
                </c:pt>
                <c:pt idx="21">
                  <c:v>4.67</c:v>
                </c:pt>
                <c:pt idx="22">
                  <c:v>4.68</c:v>
                </c:pt>
              </c:numCache>
            </c:numRef>
          </c:xVal>
          <c:yVal>
            <c:numRef>
              <c:f>Propu!$B$4:$X$4</c:f>
              <c:numCache>
                <c:formatCode>General</c:formatCode>
                <c:ptCount val="23"/>
                <c:pt idx="0">
                  <c:v>27</c:v>
                </c:pt>
                <c:pt idx="1">
                  <c:v>402.4</c:v>
                </c:pt>
                <c:pt idx="2">
                  <c:v>1286</c:v>
                </c:pt>
                <c:pt idx="3">
                  <c:v>1257</c:v>
                </c:pt>
                <c:pt idx="4">
                  <c:v>1042</c:v>
                </c:pt>
                <c:pt idx="5">
                  <c:v>1027</c:v>
                </c:pt>
                <c:pt idx="6">
                  <c:v>998.4</c:v>
                </c:pt>
                <c:pt idx="7">
                  <c:v>901.4</c:v>
                </c:pt>
                <c:pt idx="8">
                  <c:v>849.6</c:v>
                </c:pt>
                <c:pt idx="9">
                  <c:v>763.5</c:v>
                </c:pt>
                <c:pt idx="10">
                  <c:v>707.1</c:v>
                </c:pt>
                <c:pt idx="11">
                  <c:v>655.1</c:v>
                </c:pt>
                <c:pt idx="12">
                  <c:v>651.70000000000005</c:v>
                </c:pt>
                <c:pt idx="13">
                  <c:v>624.1</c:v>
                </c:pt>
                <c:pt idx="14">
                  <c:v>601.29999999999995</c:v>
                </c:pt>
                <c:pt idx="15">
                  <c:v>536.20000000000005</c:v>
                </c:pt>
                <c:pt idx="16">
                  <c:v>415.7</c:v>
                </c:pt>
                <c:pt idx="17">
                  <c:v>270.2</c:v>
                </c:pt>
                <c:pt idx="18">
                  <c:v>140.19999999999999</c:v>
                </c:pt>
                <c:pt idx="19">
                  <c:v>76.900000000000006</c:v>
                </c:pt>
                <c:pt idx="20">
                  <c:v>54.9</c:v>
                </c:pt>
                <c:pt idx="21">
                  <c:v>40.200000000000003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8-4D3E-A59C-8AF2F5D39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8480"/>
        <c:axId val="193451520"/>
      </c:scatterChart>
      <c:valAx>
        <c:axId val="193428480"/>
        <c:scaling>
          <c:orientation val="minMax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Temps / Time [s]</a:t>
                </a:r>
              </a:p>
            </c:rich>
          </c:tx>
          <c:layout>
            <c:manualLayout>
              <c:xMode val="edge"/>
              <c:yMode val="edge"/>
              <c:x val="0.78665554917523417"/>
              <c:y val="0.688681254174847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3451520"/>
        <c:crosses val="autoZero"/>
        <c:crossBetween val="midCat"/>
      </c:valAx>
      <c:valAx>
        <c:axId val="193451520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Poussée / Thrust [N]</a:t>
                </a:r>
              </a:p>
            </c:rich>
          </c:tx>
          <c:layout>
            <c:manualLayout>
              <c:xMode val="edge"/>
              <c:yMode val="edge"/>
              <c:x val="8.5144147191391295E-2"/>
              <c:y val="0.35327652166872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3428480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landscape" horizontalDpi="1200" verticalDpi="1200"/>
  </c:printSettings>
</c:chartSpace>
</file>

<file path=xl/ctrlProps/ctrlProp1.xml><?xml version="1.0" encoding="utf-8"?>
<formControlPr xmlns="http://schemas.microsoft.com/office/spreadsheetml/2009/9/main" objectType="Spin" dx="15" fmlaLink="$C$22" inc="25" max="30000" noThreeD="1" page="10"/>
</file>

<file path=xl/ctrlProps/ctrlProp10.xml><?xml version="1.0" encoding="utf-8"?>
<formControlPr xmlns="http://schemas.microsoft.com/office/spreadsheetml/2009/9/main" objectType="Spin" dx="15" fmlaLink="$C$32" max="6" min="3" noThreeD="1" page="10" val="4"/>
</file>

<file path=xl/ctrlProps/ctrlProp11.xml><?xml version="1.0" encoding="utf-8"?>
<formControlPr xmlns="http://schemas.microsoft.com/office/spreadsheetml/2009/9/main" objectType="Spin" dx="15" fmlaLink="$C$13" inc="50" max="30000" noThreeD="1" page="10" val="1035"/>
</file>

<file path=xl/ctrlProps/ctrlProp12.xml><?xml version="1.0" encoding="utf-8"?>
<formControlPr xmlns="http://schemas.microsoft.com/office/spreadsheetml/2009/9/main" objectType="Spin" dx="15" fmlaLink="$C$11" inc="100" max="30000" noThreeD="1" page="10" val="4830"/>
</file>

<file path=xl/ctrlProps/ctrlProp13.xml><?xml version="1.0" encoding="utf-8"?>
<formControlPr xmlns="http://schemas.microsoft.com/office/spreadsheetml/2009/9/main" objectType="Spin" dx="15" fmlaLink="$C$11" inc="100" max="30000" noThreeD="1" page="10" val="4830"/>
</file>

<file path=xl/ctrlProps/ctrlProp14.xml><?xml version="1.0" encoding="utf-8"?>
<formControlPr xmlns="http://schemas.microsoft.com/office/spreadsheetml/2009/9/main" objectType="Spin" dx="15" fmlaLink="Stabilito!C11" inc="100" max="30000" noThreeD="1" page="10" val="4830"/>
</file>

<file path=xl/ctrlProps/ctrlProp15.xml><?xml version="1.0" encoding="utf-8"?>
<formControlPr xmlns="http://schemas.microsoft.com/office/spreadsheetml/2009/9/main" objectType="Spin" dx="15" fmlaLink="$B$43" inc="50" max="30000" noThreeD="1" page="10" val="200"/>
</file>

<file path=xl/ctrlProps/ctrlProp16.xml><?xml version="1.0" encoding="utf-8"?>
<formControlPr xmlns="http://schemas.microsoft.com/office/spreadsheetml/2009/9/main" objectType="Spin" dx="15" fmlaLink="$B$45" inc="50" max="30000" noThreeD="1" page="10" val="250"/>
</file>

<file path=xl/ctrlProps/ctrlProp17.xml><?xml version="1.0" encoding="utf-8"?>
<formControlPr xmlns="http://schemas.microsoft.com/office/spreadsheetml/2009/9/main" objectType="Spin" dx="15" fmlaLink="$B$51" inc="50" max="30000" noThreeD="1" page="10" val="499"/>
</file>

<file path=xl/ctrlProps/ctrlProp18.xml><?xml version="1.0" encoding="utf-8"?>
<formControlPr xmlns="http://schemas.microsoft.com/office/spreadsheetml/2009/9/main" objectType="Spin" dx="15" fmlaLink="$B$53" inc="5" max="30000" noThreeD="1" page="10" val="29"/>
</file>

<file path=xl/ctrlProps/ctrlProp19.xml><?xml version="1.0" encoding="utf-8"?>
<formControlPr xmlns="http://schemas.microsoft.com/office/spreadsheetml/2009/9/main" objectType="Spin" dx="15" fmlaLink="Stabilito!C11" inc="100" max="30000" noThreeD="1" page="10" val="4830"/>
</file>

<file path=xl/ctrlProps/ctrlProp2.xml><?xml version="1.0" encoding="utf-8"?>
<formControlPr xmlns="http://schemas.microsoft.com/office/spreadsheetml/2009/9/main" objectType="Spin" dx="15" fmlaLink="$C$11" inc="100" max="30000" noThreeD="1" page="10" val="4830"/>
</file>

<file path=xl/ctrlProps/ctrlProp20.xml><?xml version="1.0" encoding="utf-8"?>
<formControlPr xmlns="http://schemas.microsoft.com/office/spreadsheetml/2009/9/main" objectType="Spin" dx="15" fmlaLink="Stabilito!C11" inc="100" max="30000" noThreeD="1" page="10" val="4830"/>
</file>

<file path=xl/ctrlProps/ctrlProp3.xml><?xml version="1.0" encoding="utf-8"?>
<formControlPr xmlns="http://schemas.microsoft.com/office/spreadsheetml/2009/9/main" objectType="Spin" dx="15" fmlaLink="$C$12" inc="50" max="30000" noThreeD="1" page="10" val="250"/>
</file>

<file path=xl/ctrlProps/ctrlProp4.xml><?xml version="1.0" encoding="utf-8"?>
<formControlPr xmlns="http://schemas.microsoft.com/office/spreadsheetml/2009/9/main" objectType="Spin" dx="15" fmlaLink="$C$23" inc="20" max="30000" noThreeD="1" page="10" val="84"/>
</file>

<file path=xl/ctrlProps/ctrlProp5.xml><?xml version="1.0" encoding="utf-8"?>
<formControlPr xmlns="http://schemas.microsoft.com/office/spreadsheetml/2009/9/main" objectType="Spin" dx="15" fmlaLink="$C$27" inc="10" max="30000" noThreeD="1" page="10" val="210"/>
</file>

<file path=xl/ctrlProps/ctrlProp6.xml><?xml version="1.0" encoding="utf-8"?>
<formControlPr xmlns="http://schemas.microsoft.com/office/spreadsheetml/2009/9/main" objectType="Spin" dx="15" fmlaLink="$C$28" inc="10" max="30000" noThreeD="1" page="10" val="120"/>
</file>

<file path=xl/ctrlProps/ctrlProp7.xml><?xml version="1.0" encoding="utf-8"?>
<formControlPr xmlns="http://schemas.microsoft.com/office/spreadsheetml/2009/9/main" objectType="Spin" dx="15" fmlaLink="$C$29" inc="10" max="30000" noThreeD="1" page="10" val="170"/>
</file>

<file path=xl/ctrlProps/ctrlProp8.xml><?xml version="1.0" encoding="utf-8"?>
<formControlPr xmlns="http://schemas.microsoft.com/office/spreadsheetml/2009/9/main" objectType="Spin" dx="15" fmlaLink="$C$30" inc="10" max="30000" noThreeD="1" page="10" val="150"/>
</file>

<file path=xl/ctrlProps/ctrlProp9.xml><?xml version="1.0" encoding="utf-8"?>
<formControlPr xmlns="http://schemas.microsoft.com/office/spreadsheetml/2009/9/main" objectType="Spin" dx="15" fmlaLink="$C$31" max="30000" noThreeD="1" page="10" val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6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9.emf"/><Relationship Id="rId18" Type="http://schemas.openxmlformats.org/officeDocument/2006/relationships/image" Target="../media/image24.emf"/><Relationship Id="rId26" Type="http://schemas.openxmlformats.org/officeDocument/2006/relationships/image" Target="../media/image32.emf"/><Relationship Id="rId3" Type="http://schemas.openxmlformats.org/officeDocument/2006/relationships/image" Target="../media/image9.emf"/><Relationship Id="rId21" Type="http://schemas.openxmlformats.org/officeDocument/2006/relationships/image" Target="../media/image27.emf"/><Relationship Id="rId34" Type="http://schemas.openxmlformats.org/officeDocument/2006/relationships/image" Target="../media/image40.emf"/><Relationship Id="rId7" Type="http://schemas.openxmlformats.org/officeDocument/2006/relationships/image" Target="../media/image13.emf"/><Relationship Id="rId12" Type="http://schemas.openxmlformats.org/officeDocument/2006/relationships/image" Target="../media/image18.emf"/><Relationship Id="rId17" Type="http://schemas.openxmlformats.org/officeDocument/2006/relationships/image" Target="../media/image23.emf"/><Relationship Id="rId25" Type="http://schemas.openxmlformats.org/officeDocument/2006/relationships/image" Target="../media/image31.emf"/><Relationship Id="rId33" Type="http://schemas.openxmlformats.org/officeDocument/2006/relationships/image" Target="../media/image39.emf"/><Relationship Id="rId2" Type="http://schemas.openxmlformats.org/officeDocument/2006/relationships/image" Target="../media/image8.emf"/><Relationship Id="rId16" Type="http://schemas.openxmlformats.org/officeDocument/2006/relationships/image" Target="../media/image22.emf"/><Relationship Id="rId20" Type="http://schemas.openxmlformats.org/officeDocument/2006/relationships/image" Target="../media/image26.emf"/><Relationship Id="rId29" Type="http://schemas.openxmlformats.org/officeDocument/2006/relationships/image" Target="../media/image35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7.emf"/><Relationship Id="rId24" Type="http://schemas.openxmlformats.org/officeDocument/2006/relationships/image" Target="../media/image30.emf"/><Relationship Id="rId32" Type="http://schemas.openxmlformats.org/officeDocument/2006/relationships/image" Target="../media/image38.emf"/><Relationship Id="rId5" Type="http://schemas.openxmlformats.org/officeDocument/2006/relationships/image" Target="../media/image11.emf"/><Relationship Id="rId15" Type="http://schemas.openxmlformats.org/officeDocument/2006/relationships/image" Target="../media/image21.emf"/><Relationship Id="rId23" Type="http://schemas.openxmlformats.org/officeDocument/2006/relationships/image" Target="../media/image29.emf"/><Relationship Id="rId28" Type="http://schemas.openxmlformats.org/officeDocument/2006/relationships/image" Target="../media/image34.emf"/><Relationship Id="rId36" Type="http://schemas.openxmlformats.org/officeDocument/2006/relationships/image" Target="../media/image42.emf"/><Relationship Id="rId10" Type="http://schemas.openxmlformats.org/officeDocument/2006/relationships/image" Target="../media/image16.emf"/><Relationship Id="rId19" Type="http://schemas.openxmlformats.org/officeDocument/2006/relationships/image" Target="../media/image25.emf"/><Relationship Id="rId31" Type="http://schemas.openxmlformats.org/officeDocument/2006/relationships/image" Target="../media/image37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Relationship Id="rId14" Type="http://schemas.openxmlformats.org/officeDocument/2006/relationships/image" Target="../media/image20.emf"/><Relationship Id="rId22" Type="http://schemas.openxmlformats.org/officeDocument/2006/relationships/image" Target="../media/image28.emf"/><Relationship Id="rId27" Type="http://schemas.openxmlformats.org/officeDocument/2006/relationships/image" Target="../media/image33.emf"/><Relationship Id="rId30" Type="http://schemas.openxmlformats.org/officeDocument/2006/relationships/image" Target="../media/image36.emf"/><Relationship Id="rId35" Type="http://schemas.openxmlformats.org/officeDocument/2006/relationships/image" Target="../media/image41.emf"/><Relationship Id="rId8" Type="http://schemas.openxmlformats.org/officeDocument/2006/relationships/image" Target="../media/image1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3.png"/><Relationship Id="rId5" Type="http://schemas.openxmlformats.org/officeDocument/2006/relationships/image" Target="../media/image43.emf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5.png"/><Relationship Id="rId1" Type="http://schemas.openxmlformats.org/officeDocument/2006/relationships/image" Target="../media/image4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1</xdr:row>
      <xdr:rowOff>25400</xdr:rowOff>
    </xdr:from>
    <xdr:to>
      <xdr:col>12</xdr:col>
      <xdr:colOff>488950</xdr:colOff>
      <xdr:row>1</xdr:row>
      <xdr:rowOff>139700</xdr:rowOff>
    </xdr:to>
    <xdr:grpSp>
      <xdr:nvGrpSpPr>
        <xdr:cNvPr id="5096993" name="Groupe 1">
          <a:extLst>
            <a:ext uri="{FF2B5EF4-FFF2-40B4-BE49-F238E27FC236}">
              <a16:creationId xmlns:a16="http://schemas.microsoft.com/office/drawing/2014/main" id="{00000000-0008-0000-0000-000021C64D00}"/>
            </a:ext>
          </a:extLst>
        </xdr:cNvPr>
        <xdr:cNvGrpSpPr>
          <a:grpSpLocks/>
        </xdr:cNvGrpSpPr>
      </xdr:nvGrpSpPr>
      <xdr:grpSpPr bwMode="auto">
        <a:xfrm>
          <a:off x="7363791" y="191052"/>
          <a:ext cx="463550" cy="114300"/>
          <a:chOff x="7067550" y="190500"/>
          <a:chExt cx="438150" cy="114300"/>
        </a:xfrm>
      </xdr:grpSpPr>
      <xdr:pic>
        <xdr:nvPicPr>
          <xdr:cNvPr id="5096999" name="Image 1">
            <a:extLst>
              <a:ext uri="{FF2B5EF4-FFF2-40B4-BE49-F238E27FC236}">
                <a16:creationId xmlns:a16="http://schemas.microsoft.com/office/drawing/2014/main" id="{00000000-0008-0000-0000-000027C64D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067550" y="190500"/>
            <a:ext cx="171450" cy="1143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097000" name="Image 2">
            <a:extLst>
              <a:ext uri="{FF2B5EF4-FFF2-40B4-BE49-F238E27FC236}">
                <a16:creationId xmlns:a16="http://schemas.microsoft.com/office/drawing/2014/main" id="{00000000-0008-0000-0000-000028C64D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7277100" y="190500"/>
            <a:ext cx="228600" cy="1143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5</xdr:col>
      <xdr:colOff>16566</xdr:colOff>
      <xdr:row>1</xdr:row>
      <xdr:rowOff>1</xdr:rowOff>
    </xdr:from>
    <xdr:to>
      <xdr:col>10</xdr:col>
      <xdr:colOff>0</xdr:colOff>
      <xdr:row>24</xdr:row>
      <xdr:rowOff>24848</xdr:rowOff>
    </xdr:to>
    <xdr:graphicFrame macro="">
      <xdr:nvGraphicFramePr>
        <xdr:cNvPr id="5096994" name="Graphique 9">
          <a:extLst>
            <a:ext uri="{FF2B5EF4-FFF2-40B4-BE49-F238E27FC236}">
              <a16:creationId xmlns:a16="http://schemas.microsoft.com/office/drawing/2014/main" id="{00000000-0008-0000-0000-000022C6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16</xdr:col>
      <xdr:colOff>0</xdr:colOff>
      <xdr:row>35</xdr:row>
      <xdr:rowOff>0</xdr:rowOff>
    </xdr:to>
    <xdr:graphicFrame macro="">
      <xdr:nvGraphicFramePr>
        <xdr:cNvPr id="5096995" name="Graphique 19">
          <a:extLst>
            <a:ext uri="{FF2B5EF4-FFF2-40B4-BE49-F238E27FC236}">
              <a16:creationId xmlns:a16="http://schemas.microsoft.com/office/drawing/2014/main" id="{00000000-0008-0000-0000-000023C6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984250</xdr:colOff>
      <xdr:row>5</xdr:row>
      <xdr:rowOff>1722</xdr:rowOff>
    </xdr:to>
    <xdr:pic>
      <xdr:nvPicPr>
        <xdr:cNvPr id="5096996" name="Picture 8" descr="logoplasci">
          <a:extLst>
            <a:ext uri="{FF2B5EF4-FFF2-40B4-BE49-F238E27FC236}">
              <a16:creationId xmlns:a16="http://schemas.microsoft.com/office/drawing/2014/main" id="{00000000-0008-0000-0000-000024C64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52400" y="158750"/>
          <a:ext cx="9842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36</xdr:row>
      <xdr:rowOff>133350</xdr:rowOff>
    </xdr:from>
    <xdr:to>
      <xdr:col>2</xdr:col>
      <xdr:colOff>850900</xdr:colOff>
      <xdr:row>48</xdr:row>
      <xdr:rowOff>41275</xdr:rowOff>
    </xdr:to>
    <xdr:pic>
      <xdr:nvPicPr>
        <xdr:cNvPr id="5096997" name="Image 1">
          <a:extLst>
            <a:ext uri="{FF2B5EF4-FFF2-40B4-BE49-F238E27FC236}">
              <a16:creationId xmlns:a16="http://schemas.microsoft.com/office/drawing/2014/main" id="{00000000-0008-0000-0000-000025C6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42875" y="5962650"/>
          <a:ext cx="1936750" cy="185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0</xdr:colOff>
      <xdr:row>3</xdr:row>
      <xdr:rowOff>12700</xdr:rowOff>
    </xdr:from>
    <xdr:to>
      <xdr:col>20</xdr:col>
      <xdr:colOff>565150</xdr:colOff>
      <xdr:row>9</xdr:row>
      <xdr:rowOff>12700</xdr:rowOff>
    </xdr:to>
    <xdr:pic>
      <xdr:nvPicPr>
        <xdr:cNvPr id="5096998" name="Image 2">
          <a:extLst>
            <a:ext uri="{FF2B5EF4-FFF2-40B4-BE49-F238E27FC236}">
              <a16:creationId xmlns:a16="http://schemas.microsoft.com/office/drawing/2014/main" id="{00000000-0008-0000-0000-000026C6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9810750" y="488950"/>
          <a:ext cx="21526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752475</xdr:colOff>
          <xdr:row>21</xdr:row>
          <xdr:rowOff>9525</xdr:rowOff>
        </xdr:from>
        <xdr:to>
          <xdr:col>4</xdr:col>
          <xdr:colOff>0</xdr:colOff>
          <xdr:row>22</xdr:row>
          <xdr:rowOff>0</xdr:rowOff>
        </xdr:to>
        <xdr:sp macro="" textlink="">
          <xdr:nvSpPr>
            <xdr:cNvPr id="36775" name="Spinner 935" hidden="1">
              <a:extLst>
                <a:ext uri="{63B3BB69-23CF-44E3-9099-C40C66FF867C}">
                  <a14:compatExt spid="_x0000_s36775"/>
                </a:ext>
                <a:ext uri="{FF2B5EF4-FFF2-40B4-BE49-F238E27FC236}">
                  <a16:creationId xmlns:a16="http://schemas.microsoft.com/office/drawing/2014/main" id="{00000000-0008-0000-0000-0000A7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10</xdr:row>
          <xdr:rowOff>9525</xdr:rowOff>
        </xdr:from>
        <xdr:to>
          <xdr:col>3</xdr:col>
          <xdr:colOff>0</xdr:colOff>
          <xdr:row>11</xdr:row>
          <xdr:rowOff>0</xdr:rowOff>
        </xdr:to>
        <xdr:sp macro="" textlink="">
          <xdr:nvSpPr>
            <xdr:cNvPr id="36781" name="Spinner 941" hidden="1">
              <a:extLst>
                <a:ext uri="{63B3BB69-23CF-44E3-9099-C40C66FF867C}">
                  <a14:compatExt spid="_x0000_s36781"/>
                </a:ext>
                <a:ext uri="{FF2B5EF4-FFF2-40B4-BE49-F238E27FC236}">
                  <a16:creationId xmlns:a16="http://schemas.microsoft.com/office/drawing/2014/main" id="{00000000-0008-0000-0000-0000AD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11</xdr:row>
          <xdr:rowOff>9525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36782" name="Spinner 942" hidden="1">
              <a:extLst>
                <a:ext uri="{63B3BB69-23CF-44E3-9099-C40C66FF867C}">
                  <a14:compatExt spid="_x0000_s36782"/>
                </a:ext>
                <a:ext uri="{FF2B5EF4-FFF2-40B4-BE49-F238E27FC236}">
                  <a16:creationId xmlns:a16="http://schemas.microsoft.com/office/drawing/2014/main" id="{00000000-0008-0000-0000-0000AE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752475</xdr:colOff>
          <xdr:row>22</xdr:row>
          <xdr:rowOff>9525</xdr:rowOff>
        </xdr:from>
        <xdr:to>
          <xdr:col>4</xdr:col>
          <xdr:colOff>0</xdr:colOff>
          <xdr:row>23</xdr:row>
          <xdr:rowOff>0</xdr:rowOff>
        </xdr:to>
        <xdr:sp macro="" textlink="">
          <xdr:nvSpPr>
            <xdr:cNvPr id="36783" name="Spinner 943" hidden="1">
              <a:extLst>
                <a:ext uri="{63B3BB69-23CF-44E3-9099-C40C66FF867C}">
                  <a14:compatExt spid="_x0000_s36783"/>
                </a:ext>
                <a:ext uri="{FF2B5EF4-FFF2-40B4-BE49-F238E27FC236}">
                  <a16:creationId xmlns:a16="http://schemas.microsoft.com/office/drawing/2014/main" id="{00000000-0008-0000-0000-0000AF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26</xdr:row>
          <xdr:rowOff>9525</xdr:rowOff>
        </xdr:from>
        <xdr:to>
          <xdr:col>3</xdr:col>
          <xdr:colOff>0</xdr:colOff>
          <xdr:row>27</xdr:row>
          <xdr:rowOff>0</xdr:rowOff>
        </xdr:to>
        <xdr:sp macro="" textlink="">
          <xdr:nvSpPr>
            <xdr:cNvPr id="36789" name="Spinner 949" hidden="1">
              <a:extLst>
                <a:ext uri="{63B3BB69-23CF-44E3-9099-C40C66FF867C}">
                  <a14:compatExt spid="_x0000_s36789"/>
                </a:ext>
                <a:ext uri="{FF2B5EF4-FFF2-40B4-BE49-F238E27FC236}">
                  <a16:creationId xmlns:a16="http://schemas.microsoft.com/office/drawing/2014/main" id="{00000000-0008-0000-0000-0000B5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27</xdr:row>
          <xdr:rowOff>9525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36795" name="Spinner 955" hidden="1">
              <a:extLst>
                <a:ext uri="{63B3BB69-23CF-44E3-9099-C40C66FF867C}">
                  <a14:compatExt spid="_x0000_s36795"/>
                </a:ext>
                <a:ext uri="{FF2B5EF4-FFF2-40B4-BE49-F238E27FC236}">
                  <a16:creationId xmlns:a16="http://schemas.microsoft.com/office/drawing/2014/main" id="{00000000-0008-0000-0000-0000BB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28</xdr:row>
          <xdr:rowOff>9525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36796" name="Spinner 956" hidden="1">
              <a:extLst>
                <a:ext uri="{63B3BB69-23CF-44E3-9099-C40C66FF867C}">
                  <a14:compatExt spid="_x0000_s36796"/>
                </a:ext>
                <a:ext uri="{FF2B5EF4-FFF2-40B4-BE49-F238E27FC236}">
                  <a16:creationId xmlns:a16="http://schemas.microsoft.com/office/drawing/2014/main" id="{00000000-0008-0000-0000-0000BC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29</xdr:row>
          <xdr:rowOff>9525</xdr:rowOff>
        </xdr:from>
        <xdr:to>
          <xdr:col>3</xdr:col>
          <xdr:colOff>0</xdr:colOff>
          <xdr:row>30</xdr:row>
          <xdr:rowOff>0</xdr:rowOff>
        </xdr:to>
        <xdr:sp macro="" textlink="">
          <xdr:nvSpPr>
            <xdr:cNvPr id="36797" name="Spinner 957" hidden="1">
              <a:extLst>
                <a:ext uri="{63B3BB69-23CF-44E3-9099-C40C66FF867C}">
                  <a14:compatExt spid="_x0000_s36797"/>
                </a:ext>
                <a:ext uri="{FF2B5EF4-FFF2-40B4-BE49-F238E27FC236}">
                  <a16:creationId xmlns:a16="http://schemas.microsoft.com/office/drawing/2014/main" id="{00000000-0008-0000-0000-0000BD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30</xdr:row>
          <xdr:rowOff>9525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36798" name="Spinner 958" hidden="1">
              <a:extLst>
                <a:ext uri="{63B3BB69-23CF-44E3-9099-C40C66FF867C}">
                  <a14:compatExt spid="_x0000_s36798"/>
                </a:ext>
                <a:ext uri="{FF2B5EF4-FFF2-40B4-BE49-F238E27FC236}">
                  <a16:creationId xmlns:a16="http://schemas.microsoft.com/office/drawing/2014/main" id="{00000000-0008-0000-0000-0000BE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31</xdr:row>
          <xdr:rowOff>9525</xdr:rowOff>
        </xdr:from>
        <xdr:to>
          <xdr:col>3</xdr:col>
          <xdr:colOff>0</xdr:colOff>
          <xdr:row>32</xdr:row>
          <xdr:rowOff>0</xdr:rowOff>
        </xdr:to>
        <xdr:sp macro="" textlink="">
          <xdr:nvSpPr>
            <xdr:cNvPr id="36799" name="Spinner 959" hidden="1">
              <a:extLst>
                <a:ext uri="{63B3BB69-23CF-44E3-9099-C40C66FF867C}">
                  <a14:compatExt spid="_x0000_s36799"/>
                </a:ext>
                <a:ext uri="{FF2B5EF4-FFF2-40B4-BE49-F238E27FC236}">
                  <a16:creationId xmlns:a16="http://schemas.microsoft.com/office/drawing/2014/main" id="{00000000-0008-0000-0000-0000BF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752475</xdr:colOff>
          <xdr:row>12</xdr:row>
          <xdr:rowOff>9525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36801" name="Spinner 961" hidden="1">
              <a:extLst>
                <a:ext uri="{63B3BB69-23CF-44E3-9099-C40C66FF867C}">
                  <a14:compatExt spid="_x0000_s36801"/>
                </a:ext>
                <a:ext uri="{FF2B5EF4-FFF2-40B4-BE49-F238E27FC236}">
                  <a16:creationId xmlns:a16="http://schemas.microsoft.com/office/drawing/2014/main" id="{00000000-0008-0000-0000-0000C1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35</xdr:row>
          <xdr:rowOff>9525</xdr:rowOff>
        </xdr:from>
        <xdr:to>
          <xdr:col>19</xdr:col>
          <xdr:colOff>0</xdr:colOff>
          <xdr:row>36</xdr:row>
          <xdr:rowOff>0</xdr:rowOff>
        </xdr:to>
        <xdr:sp macro="" textlink="">
          <xdr:nvSpPr>
            <xdr:cNvPr id="5096691" name="Spinner 3315" hidden="1">
              <a:extLst>
                <a:ext uri="{63B3BB69-23CF-44E3-9099-C40C66FF867C}">
                  <a14:compatExt spid="_x0000_s5096691"/>
                </a:ext>
                <a:ext uri="{FF2B5EF4-FFF2-40B4-BE49-F238E27FC236}">
                  <a16:creationId xmlns:a16="http://schemas.microsoft.com/office/drawing/2014/main" id="{00000000-0008-0000-0000-0000F3C44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35</xdr:row>
          <xdr:rowOff>9525</xdr:rowOff>
        </xdr:from>
        <xdr:to>
          <xdr:col>19</xdr:col>
          <xdr:colOff>0</xdr:colOff>
          <xdr:row>36</xdr:row>
          <xdr:rowOff>0</xdr:rowOff>
        </xdr:to>
        <xdr:sp macro="" textlink="">
          <xdr:nvSpPr>
            <xdr:cNvPr id="5096692" name="Spinner 3316" hidden="1">
              <a:extLst>
                <a:ext uri="{63B3BB69-23CF-44E3-9099-C40C66FF867C}">
                  <a14:compatExt spid="_x0000_s5096692"/>
                </a:ext>
                <a:ext uri="{FF2B5EF4-FFF2-40B4-BE49-F238E27FC236}">
                  <a16:creationId xmlns:a16="http://schemas.microsoft.com/office/drawing/2014/main" id="{00000000-0008-0000-0000-0000F4C44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0</xdr:colOff>
      <xdr:row>20</xdr:row>
      <xdr:rowOff>0</xdr:rowOff>
    </xdr:to>
    <xdr:graphicFrame macro="">
      <xdr:nvGraphicFramePr>
        <xdr:cNvPr id="4779983" name="Graphique 1">
          <a:extLst>
            <a:ext uri="{FF2B5EF4-FFF2-40B4-BE49-F238E27FC236}">
              <a16:creationId xmlns:a16="http://schemas.microsoft.com/office/drawing/2014/main" id="{00000000-0008-0000-0100-0000CFEF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4779984" name="Graphique 2">
          <a:extLst>
            <a:ext uri="{FF2B5EF4-FFF2-40B4-BE49-F238E27FC236}">
              <a16:creationId xmlns:a16="http://schemas.microsoft.com/office/drawing/2014/main" id="{00000000-0008-0000-0100-0000D0EF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984250</xdr:colOff>
      <xdr:row>5</xdr:row>
      <xdr:rowOff>932</xdr:rowOff>
    </xdr:to>
    <xdr:pic>
      <xdr:nvPicPr>
        <xdr:cNvPr id="4779985" name="Picture 8" descr="logoplasci">
          <a:extLst>
            <a:ext uri="{FF2B5EF4-FFF2-40B4-BE49-F238E27FC236}">
              <a16:creationId xmlns:a16="http://schemas.microsoft.com/office/drawing/2014/main" id="{00000000-0008-0000-0100-0000D1EF4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2400" y="165100"/>
          <a:ext cx="9842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139700</xdr:colOff>
      <xdr:row>38</xdr:row>
      <xdr:rowOff>120650</xdr:rowOff>
    </xdr:from>
    <xdr:to>
      <xdr:col>3</xdr:col>
      <xdr:colOff>723900</xdr:colOff>
      <xdr:row>46</xdr:row>
      <xdr:rowOff>0</xdr:rowOff>
    </xdr:to>
    <xdr:grpSp>
      <xdr:nvGrpSpPr>
        <xdr:cNvPr id="4779986" name="Groupe 1">
          <a:extLst>
            <a:ext uri="{FF2B5EF4-FFF2-40B4-BE49-F238E27FC236}">
              <a16:creationId xmlns:a16="http://schemas.microsoft.com/office/drawing/2014/main" id="{00000000-0008-0000-0100-0000D2EF4800}"/>
            </a:ext>
          </a:extLst>
        </xdr:cNvPr>
        <xdr:cNvGrpSpPr>
          <a:grpSpLocks/>
        </xdr:cNvGrpSpPr>
      </xdr:nvGrpSpPr>
      <xdr:grpSpPr bwMode="auto">
        <a:xfrm>
          <a:off x="1363094" y="6438609"/>
          <a:ext cx="1344453" cy="1207607"/>
          <a:chOff x="1362075" y="6410325"/>
          <a:chExt cx="1319468" cy="1181100"/>
        </a:xfrm>
      </xdr:grpSpPr>
      <xdr:sp macro="" textlink="">
        <xdr:nvSpPr>
          <xdr:cNvPr id="4779991" name="Line 320">
            <a:extLst>
              <a:ext uri="{FF2B5EF4-FFF2-40B4-BE49-F238E27FC236}">
                <a16:creationId xmlns:a16="http://schemas.microsoft.com/office/drawing/2014/main" id="{00000000-0008-0000-0100-0000D7EF48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462415" y="7296150"/>
            <a:ext cx="35118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 type="triangle" w="med" len="med"/>
          </a:ln>
        </xdr:spPr>
      </xdr:sp>
      <xdr:sp macro="" textlink="">
        <xdr:nvSpPr>
          <xdr:cNvPr id="4779992" name="Rectangle 314">
            <a:extLst>
              <a:ext uri="{FF2B5EF4-FFF2-40B4-BE49-F238E27FC236}">
                <a16:creationId xmlns:a16="http://schemas.microsoft.com/office/drawing/2014/main" id="{00000000-0008-0000-0100-0000D8EF4800}"/>
              </a:ext>
            </a:extLst>
          </xdr:cNvPr>
          <xdr:cNvSpPr>
            <a:spLocks noChangeArrowheads="1"/>
          </xdr:cNvSpPr>
        </xdr:nvSpPr>
        <xdr:spPr bwMode="auto">
          <a:xfrm>
            <a:off x="1833672" y="6410325"/>
            <a:ext cx="481630" cy="1181100"/>
          </a:xfrm>
          <a:prstGeom prst="rect">
            <a:avLst/>
          </a:prstGeom>
          <a:solidFill>
            <a:srgbClr val="F2F2F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779993" name="Rectangle 315">
            <a:extLst>
              <a:ext uri="{FF2B5EF4-FFF2-40B4-BE49-F238E27FC236}">
                <a16:creationId xmlns:a16="http://schemas.microsoft.com/office/drawing/2014/main" id="{00000000-0008-0000-0100-0000D9EF48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1838363" y="6388995"/>
            <a:ext cx="482283" cy="1204076"/>
          </a:xfrm>
          <a:prstGeom prst="rect">
            <a:avLst/>
          </a:prstGeom>
          <a:solidFill>
            <a:srgbClr val="F2F2F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779994" name="Line 316">
            <a:extLst>
              <a:ext uri="{FF2B5EF4-FFF2-40B4-BE49-F238E27FC236}">
                <a16:creationId xmlns:a16="http://schemas.microsoft.com/office/drawing/2014/main" id="{00000000-0008-0000-0100-0000DAEF4800}"/>
              </a:ext>
            </a:extLst>
          </xdr:cNvPr>
          <xdr:cNvSpPr>
            <a:spLocks noChangeShapeType="1"/>
          </xdr:cNvSpPr>
        </xdr:nvSpPr>
        <xdr:spPr bwMode="auto">
          <a:xfrm>
            <a:off x="1833672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779995" name="Line 317">
            <a:extLst>
              <a:ext uri="{FF2B5EF4-FFF2-40B4-BE49-F238E27FC236}">
                <a16:creationId xmlns:a16="http://schemas.microsoft.com/office/drawing/2014/main" id="{00000000-0008-0000-0100-0000DBEF4800}"/>
              </a:ext>
            </a:extLst>
          </xdr:cNvPr>
          <xdr:cNvSpPr>
            <a:spLocks noChangeShapeType="1"/>
          </xdr:cNvSpPr>
        </xdr:nvSpPr>
        <xdr:spPr bwMode="auto">
          <a:xfrm>
            <a:off x="2312198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779996" name="Line 319">
            <a:extLst>
              <a:ext uri="{FF2B5EF4-FFF2-40B4-BE49-F238E27FC236}">
                <a16:creationId xmlns:a16="http://schemas.microsoft.com/office/drawing/2014/main" id="{00000000-0008-0000-0100-0000DCEF4800}"/>
              </a:ext>
            </a:extLst>
          </xdr:cNvPr>
          <xdr:cNvSpPr>
            <a:spLocks noChangeShapeType="1"/>
          </xdr:cNvSpPr>
        </xdr:nvSpPr>
        <xdr:spPr bwMode="auto">
          <a:xfrm>
            <a:off x="1362075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 type="triangle" w="med" len="med"/>
          </a:ln>
        </xdr:spPr>
      </xdr:sp>
    </xdr:grpSp>
    <xdr:clientData/>
  </xdr:twoCellAnchor>
  <xdr:twoCellAnchor>
    <xdr:from>
      <xdr:col>2</xdr:col>
      <xdr:colOff>260350</xdr:colOff>
      <xdr:row>49</xdr:row>
      <xdr:rowOff>19050</xdr:rowOff>
    </xdr:from>
    <xdr:to>
      <xdr:col>3</xdr:col>
      <xdr:colOff>514350</xdr:colOff>
      <xdr:row>54</xdr:row>
      <xdr:rowOff>120650</xdr:rowOff>
    </xdr:to>
    <xdr:sp macro="" textlink="">
      <xdr:nvSpPr>
        <xdr:cNvPr id="4779987" name="Oval 323">
          <a:extLst>
            <a:ext uri="{FF2B5EF4-FFF2-40B4-BE49-F238E27FC236}">
              <a16:creationId xmlns:a16="http://schemas.microsoft.com/office/drawing/2014/main" id="{00000000-0008-0000-0100-0000D3EF4800}"/>
            </a:ext>
          </a:extLst>
        </xdr:cNvPr>
        <xdr:cNvSpPr>
          <a:spLocks noChangeArrowheads="1"/>
        </xdr:cNvSpPr>
      </xdr:nvSpPr>
      <xdr:spPr bwMode="auto">
        <a:xfrm>
          <a:off x="1549400" y="7981950"/>
          <a:ext cx="1047750" cy="927100"/>
        </a:xfrm>
        <a:prstGeom prst="ellipse">
          <a:avLst/>
        </a:prstGeom>
        <a:solidFill>
          <a:srgbClr val="F2F2F2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698500</xdr:colOff>
      <xdr:row>51</xdr:row>
      <xdr:rowOff>57150</xdr:rowOff>
    </xdr:from>
    <xdr:to>
      <xdr:col>3</xdr:col>
      <xdr:colOff>88900</xdr:colOff>
      <xdr:row>52</xdr:row>
      <xdr:rowOff>76200</xdr:rowOff>
    </xdr:to>
    <xdr:sp macro="" textlink="">
      <xdr:nvSpPr>
        <xdr:cNvPr id="4779988" name="Oval 323">
          <a:extLst>
            <a:ext uri="{FF2B5EF4-FFF2-40B4-BE49-F238E27FC236}">
              <a16:creationId xmlns:a16="http://schemas.microsoft.com/office/drawing/2014/main" id="{00000000-0008-0000-0100-0000D4EF4800}"/>
            </a:ext>
          </a:extLst>
        </xdr:cNvPr>
        <xdr:cNvSpPr>
          <a:spLocks noChangeArrowheads="1"/>
        </xdr:cNvSpPr>
      </xdr:nvSpPr>
      <xdr:spPr bwMode="auto">
        <a:xfrm>
          <a:off x="1987550" y="8350250"/>
          <a:ext cx="184150" cy="184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49</xdr:row>
      <xdr:rowOff>19050</xdr:rowOff>
    </xdr:from>
    <xdr:to>
      <xdr:col>3</xdr:col>
      <xdr:colOff>0</xdr:colOff>
      <xdr:row>51</xdr:row>
      <xdr:rowOff>146050</xdr:rowOff>
    </xdr:to>
    <xdr:sp macro="" textlink="">
      <xdr:nvSpPr>
        <xdr:cNvPr id="4779989" name="Line 324">
          <a:extLst>
            <a:ext uri="{FF2B5EF4-FFF2-40B4-BE49-F238E27FC236}">
              <a16:creationId xmlns:a16="http://schemas.microsoft.com/office/drawing/2014/main" id="{00000000-0008-0000-0100-0000D5EF4800}"/>
            </a:ext>
          </a:extLst>
        </xdr:cNvPr>
        <xdr:cNvSpPr>
          <a:spLocks noChangeShapeType="1"/>
        </xdr:cNvSpPr>
      </xdr:nvSpPr>
      <xdr:spPr bwMode="auto">
        <a:xfrm>
          <a:off x="2082800" y="7981950"/>
          <a:ext cx="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0</xdr:colOff>
      <xdr:row>51</xdr:row>
      <xdr:rowOff>146050</xdr:rowOff>
    </xdr:from>
    <xdr:to>
      <xdr:col>3</xdr:col>
      <xdr:colOff>0</xdr:colOff>
      <xdr:row>52</xdr:row>
      <xdr:rowOff>88900</xdr:rowOff>
    </xdr:to>
    <xdr:sp macro="" textlink="">
      <xdr:nvSpPr>
        <xdr:cNvPr id="4779990" name="Line 324">
          <a:extLst>
            <a:ext uri="{FF2B5EF4-FFF2-40B4-BE49-F238E27FC236}">
              <a16:creationId xmlns:a16="http://schemas.microsoft.com/office/drawing/2014/main" id="{00000000-0008-0000-0100-0000D6EF4800}"/>
            </a:ext>
          </a:extLst>
        </xdr:cNvPr>
        <xdr:cNvSpPr>
          <a:spLocks noChangeShapeType="1"/>
        </xdr:cNvSpPr>
      </xdr:nvSpPr>
      <xdr:spPr bwMode="auto">
        <a:xfrm flipH="1">
          <a:off x="2082800" y="8439150"/>
          <a:ext cx="0" cy="10795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sm" len="sm"/>
          <a:tailEnd type="triangle" w="sm" len="sm"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638175</xdr:colOff>
          <xdr:row>9</xdr:row>
          <xdr:rowOff>9525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1424424" name="Spinner 1064" hidden="1">
              <a:extLst>
                <a:ext uri="{63B3BB69-23CF-44E3-9099-C40C66FF867C}">
                  <a14:compatExt spid="_x0000_s1424424"/>
                </a:ext>
                <a:ext uri="{FF2B5EF4-FFF2-40B4-BE49-F238E27FC236}">
                  <a16:creationId xmlns:a16="http://schemas.microsoft.com/office/drawing/2014/main" id="{00000000-0008-0000-0100-000028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981075</xdr:colOff>
          <xdr:row>42</xdr:row>
          <xdr:rowOff>9525</xdr:rowOff>
        </xdr:from>
        <xdr:to>
          <xdr:col>2</xdr:col>
          <xdr:colOff>0</xdr:colOff>
          <xdr:row>43</xdr:row>
          <xdr:rowOff>0</xdr:rowOff>
        </xdr:to>
        <xdr:sp macro="" textlink="">
          <xdr:nvSpPr>
            <xdr:cNvPr id="1424589" name="Spinner 1229" hidden="1">
              <a:extLst>
                <a:ext uri="{63B3BB69-23CF-44E3-9099-C40C66FF867C}">
                  <a14:compatExt spid="_x0000_s1424589"/>
                </a:ext>
                <a:ext uri="{FF2B5EF4-FFF2-40B4-BE49-F238E27FC236}">
                  <a16:creationId xmlns:a16="http://schemas.microsoft.com/office/drawing/2014/main" id="{00000000-0008-0000-0100-0000CD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981075</xdr:colOff>
          <xdr:row>44</xdr:row>
          <xdr:rowOff>9525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424590" name="Spinner 1230" hidden="1">
              <a:extLst>
                <a:ext uri="{63B3BB69-23CF-44E3-9099-C40C66FF867C}">
                  <a14:compatExt spid="_x0000_s1424590"/>
                </a:ext>
                <a:ext uri="{FF2B5EF4-FFF2-40B4-BE49-F238E27FC236}">
                  <a16:creationId xmlns:a16="http://schemas.microsoft.com/office/drawing/2014/main" id="{00000000-0008-0000-0100-0000CE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981075</xdr:colOff>
          <xdr:row>50</xdr:row>
          <xdr:rowOff>9525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424591" name="Spinner 1231" hidden="1">
              <a:extLst>
                <a:ext uri="{63B3BB69-23CF-44E3-9099-C40C66FF867C}">
                  <a14:compatExt spid="_x0000_s1424591"/>
                </a:ext>
                <a:ext uri="{FF2B5EF4-FFF2-40B4-BE49-F238E27FC236}">
                  <a16:creationId xmlns:a16="http://schemas.microsoft.com/office/drawing/2014/main" id="{00000000-0008-0000-0100-0000CF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19050</xdr:colOff>
      <xdr:row>93</xdr:row>
      <xdr:rowOff>66675</xdr:rowOff>
    </xdr:from>
    <xdr:to>
      <xdr:col>4</xdr:col>
      <xdr:colOff>57150</xdr:colOff>
      <xdr:row>99</xdr:row>
      <xdr:rowOff>76200</xdr:rowOff>
    </xdr:to>
    <xdr:sp macro="" textlink="">
      <xdr:nvSpPr>
        <xdr:cNvPr id="1425294" name="Object 1934" hidden="1">
          <a:extLst>
            <a:ext uri="{63B3BB69-23CF-44E3-9099-C40C66FF867C}">
              <a14:compatExt xmlns:a14="http://schemas.microsoft.com/office/drawing/2010/main" spid="_x0000_s1425294"/>
            </a:ext>
            <a:ext uri="{FF2B5EF4-FFF2-40B4-BE49-F238E27FC236}">
              <a16:creationId xmlns:a16="http://schemas.microsoft.com/office/drawing/2014/main" id="{00000000-0008-0000-0100-00008EBF15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981075</xdr:colOff>
          <xdr:row>52</xdr:row>
          <xdr:rowOff>9525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4779462" name="Spinner 4550" hidden="1">
              <a:extLst>
                <a:ext uri="{63B3BB69-23CF-44E3-9099-C40C66FF867C}">
                  <a14:compatExt spid="_x0000_s4779462"/>
                </a:ext>
                <a:ext uri="{FF2B5EF4-FFF2-40B4-BE49-F238E27FC236}">
                  <a16:creationId xmlns:a16="http://schemas.microsoft.com/office/drawing/2014/main" id="{00000000-0008-0000-0100-0000C6ED4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19050</xdr:colOff>
      <xdr:row>93</xdr:row>
      <xdr:rowOff>66675</xdr:rowOff>
    </xdr:from>
    <xdr:to>
      <xdr:col>4</xdr:col>
      <xdr:colOff>57150</xdr:colOff>
      <xdr:row>99</xdr:row>
      <xdr:rowOff>76200</xdr:rowOff>
    </xdr:to>
    <xdr:pic>
      <xdr:nvPicPr>
        <xdr:cNvPr id="2" name="Picture 19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135225"/>
          <a:ext cx="2647950" cy="981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</xdr:row>
      <xdr:rowOff>0</xdr:rowOff>
    </xdr:from>
    <xdr:to>
      <xdr:col>10</xdr:col>
      <xdr:colOff>622300</xdr:colOff>
      <xdr:row>19</xdr:row>
      <xdr:rowOff>0</xdr:rowOff>
    </xdr:to>
    <xdr:graphicFrame macro="">
      <xdr:nvGraphicFramePr>
        <xdr:cNvPr id="5105813" name="Graphique 1">
          <a:extLst>
            <a:ext uri="{FF2B5EF4-FFF2-40B4-BE49-F238E27FC236}">
              <a16:creationId xmlns:a16="http://schemas.microsoft.com/office/drawing/2014/main" id="{00000000-0008-0000-0200-000095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37</xdr:row>
      <xdr:rowOff>0</xdr:rowOff>
    </xdr:from>
    <xdr:to>
      <xdr:col>10</xdr:col>
      <xdr:colOff>622300</xdr:colOff>
      <xdr:row>55</xdr:row>
      <xdr:rowOff>0</xdr:rowOff>
    </xdr:to>
    <xdr:graphicFrame macro="">
      <xdr:nvGraphicFramePr>
        <xdr:cNvPr id="5105814" name="Graphique 2">
          <a:extLst>
            <a:ext uri="{FF2B5EF4-FFF2-40B4-BE49-F238E27FC236}">
              <a16:creationId xmlns:a16="http://schemas.microsoft.com/office/drawing/2014/main" id="{00000000-0008-0000-0200-000096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19</xdr:row>
      <xdr:rowOff>0</xdr:rowOff>
    </xdr:from>
    <xdr:to>
      <xdr:col>10</xdr:col>
      <xdr:colOff>622300</xdr:colOff>
      <xdr:row>37</xdr:row>
      <xdr:rowOff>0</xdr:rowOff>
    </xdr:to>
    <xdr:graphicFrame macro="">
      <xdr:nvGraphicFramePr>
        <xdr:cNvPr id="5105815" name="Graphique 3">
          <a:extLst>
            <a:ext uri="{FF2B5EF4-FFF2-40B4-BE49-F238E27FC236}">
              <a16:creationId xmlns:a16="http://schemas.microsoft.com/office/drawing/2014/main" id="{00000000-0008-0000-0200-000097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165100</xdr:colOff>
      <xdr:row>55</xdr:row>
      <xdr:rowOff>0</xdr:rowOff>
    </xdr:from>
    <xdr:to>
      <xdr:col>10</xdr:col>
      <xdr:colOff>622300</xdr:colOff>
      <xdr:row>73</xdr:row>
      <xdr:rowOff>0</xdr:rowOff>
    </xdr:to>
    <xdr:graphicFrame macro="">
      <xdr:nvGraphicFramePr>
        <xdr:cNvPr id="5105816" name="Graphique 4">
          <a:extLst>
            <a:ext uri="{FF2B5EF4-FFF2-40B4-BE49-F238E27FC236}">
              <a16:creationId xmlns:a16="http://schemas.microsoft.com/office/drawing/2014/main" id="{00000000-0008-0000-0200-000098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44450</xdr:rowOff>
    </xdr:from>
    <xdr:to>
      <xdr:col>7</xdr:col>
      <xdr:colOff>215900</xdr:colOff>
      <xdr:row>19</xdr:row>
      <xdr:rowOff>133350</xdr:rowOff>
    </xdr:to>
    <xdr:graphicFrame macro="">
      <xdr:nvGraphicFramePr>
        <xdr:cNvPr id="5110822" name="Graphique 1">
          <a:extLst>
            <a:ext uri="{FF2B5EF4-FFF2-40B4-BE49-F238E27FC236}">
              <a16:creationId xmlns:a16="http://schemas.microsoft.com/office/drawing/2014/main" id="{00000000-0008-0000-0300-000026FC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273050</xdr:colOff>
      <xdr:row>1008</xdr:row>
      <xdr:rowOff>146050</xdr:rowOff>
    </xdr:from>
    <xdr:to>
      <xdr:col>16</xdr:col>
      <xdr:colOff>152400</xdr:colOff>
      <xdr:row>1010</xdr:row>
      <xdr:rowOff>82550</xdr:rowOff>
    </xdr:to>
    <xdr:sp macro="" textlink="">
      <xdr:nvSpPr>
        <xdr:cNvPr id="3393" name="Line 60">
          <a:extLst>
            <a:ext uri="{FF2B5EF4-FFF2-40B4-BE49-F238E27FC236}">
              <a16:creationId xmlns:a16="http://schemas.microsoft.com/office/drawing/2014/main" id="{00000000-0008-0000-0400-0000410D0000}"/>
            </a:ext>
          </a:extLst>
        </xdr:cNvPr>
        <xdr:cNvSpPr>
          <a:spLocks noChangeShapeType="1"/>
        </xdr:cNvSpPr>
      </xdr:nvSpPr>
      <xdr:spPr bwMode="auto">
        <a:xfrm flipH="1">
          <a:off x="5759450" y="160172400"/>
          <a:ext cx="1098550" cy="254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279400</xdr:colOff>
      <xdr:row>1011</xdr:row>
      <xdr:rowOff>95250</xdr:rowOff>
    </xdr:from>
    <xdr:to>
      <xdr:col>17</xdr:col>
      <xdr:colOff>349250</xdr:colOff>
      <xdr:row>1013</xdr:row>
      <xdr:rowOff>139700</xdr:rowOff>
    </xdr:to>
    <xdr:sp macro="" textlink="">
      <xdr:nvSpPr>
        <xdr:cNvPr id="3394" name="Line 71">
          <a:extLst>
            <a:ext uri="{FF2B5EF4-FFF2-40B4-BE49-F238E27FC236}">
              <a16:creationId xmlns:a16="http://schemas.microsoft.com/office/drawing/2014/main" id="{00000000-0008-0000-0400-0000420D0000}"/>
            </a:ext>
          </a:extLst>
        </xdr:cNvPr>
        <xdr:cNvSpPr>
          <a:spLocks noChangeShapeType="1"/>
        </xdr:cNvSpPr>
      </xdr:nvSpPr>
      <xdr:spPr bwMode="auto">
        <a:xfrm flipH="1" flipV="1">
          <a:off x="5765800" y="160597850"/>
          <a:ext cx="1892300" cy="36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279400</xdr:colOff>
      <xdr:row>1012</xdr:row>
      <xdr:rowOff>139700</xdr:rowOff>
    </xdr:from>
    <xdr:to>
      <xdr:col>17</xdr:col>
      <xdr:colOff>349250</xdr:colOff>
      <xdr:row>1015</xdr:row>
      <xdr:rowOff>25400</xdr:rowOff>
    </xdr:to>
    <xdr:sp macro="" textlink="">
      <xdr:nvSpPr>
        <xdr:cNvPr id="3395" name="Line 71">
          <a:extLst>
            <a:ext uri="{FF2B5EF4-FFF2-40B4-BE49-F238E27FC236}">
              <a16:creationId xmlns:a16="http://schemas.microsoft.com/office/drawing/2014/main" id="{00000000-0008-0000-0400-0000430D0000}"/>
            </a:ext>
          </a:extLst>
        </xdr:cNvPr>
        <xdr:cNvSpPr>
          <a:spLocks noChangeShapeType="1"/>
        </xdr:cNvSpPr>
      </xdr:nvSpPr>
      <xdr:spPr bwMode="auto">
        <a:xfrm flipH="1" flipV="1">
          <a:off x="5765800" y="160801050"/>
          <a:ext cx="1892300" cy="36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18</xdr:col>
      <xdr:colOff>9525</xdr:colOff>
      <xdr:row>1010</xdr:row>
      <xdr:rowOff>85725</xdr:rowOff>
    </xdr:from>
    <xdr:to>
      <xdr:col>20</xdr:col>
      <xdr:colOff>238125</xdr:colOff>
      <xdr:row>1013</xdr:row>
      <xdr:rowOff>19050</xdr:rowOff>
    </xdr:to>
    <xdr:sp macro="" textlink="">
      <xdr:nvSpPr>
        <xdr:cNvPr id="3091" name="Object 19" hidden="1">
          <a:extLst>
            <a:ext uri="{63B3BB69-23CF-44E3-9099-C40C66FF867C}">
              <a14:compatExt xmlns:a14="http://schemas.microsoft.com/office/drawing/2010/main" spid="_x0000_s3091"/>
            </a:ext>
            <a:ext uri="{FF2B5EF4-FFF2-40B4-BE49-F238E27FC236}">
              <a16:creationId xmlns:a16="http://schemas.microsoft.com/office/drawing/2014/main" id="{00000000-0008-0000-0400-00001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21</xdr:col>
      <xdr:colOff>19050</xdr:colOff>
      <xdr:row>1024</xdr:row>
      <xdr:rowOff>133350</xdr:rowOff>
    </xdr:from>
    <xdr:to>
      <xdr:col>25</xdr:col>
      <xdr:colOff>381000</xdr:colOff>
      <xdr:row>1026</xdr:row>
      <xdr:rowOff>66675</xdr:rowOff>
    </xdr:to>
    <xdr:sp macro="" textlink="">
      <xdr:nvSpPr>
        <xdr:cNvPr id="3092" name="Object 20" hidden="1">
          <a:extLst>
            <a:ext uri="{63B3BB69-23CF-44E3-9099-C40C66FF867C}">
              <a14:compatExt xmlns:a14="http://schemas.microsoft.com/office/drawing/2010/main" spid="_x0000_s3092"/>
            </a:ext>
            <a:ext uri="{FF2B5EF4-FFF2-40B4-BE49-F238E27FC236}">
              <a16:creationId xmlns:a16="http://schemas.microsoft.com/office/drawing/2014/main" id="{00000000-0008-0000-0400-00001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16</xdr:col>
      <xdr:colOff>209550</xdr:colOff>
      <xdr:row>1006</xdr:row>
      <xdr:rowOff>19050</xdr:rowOff>
    </xdr:from>
    <xdr:to>
      <xdr:col>24</xdr:col>
      <xdr:colOff>123825</xdr:colOff>
      <xdr:row>1007</xdr:row>
      <xdr:rowOff>85725</xdr:rowOff>
    </xdr:to>
    <xdr:sp macro="" textlink="">
      <xdr:nvSpPr>
        <xdr:cNvPr id="3096" name="Object 24" hidden="1">
          <a:extLst>
            <a:ext uri="{63B3BB69-23CF-44E3-9099-C40C66FF867C}">
              <a14:compatExt xmlns:a14="http://schemas.microsoft.com/office/drawing/2010/main" spid="_x0000_s3096"/>
            </a:ext>
            <a:ext uri="{FF2B5EF4-FFF2-40B4-BE49-F238E27FC236}">
              <a16:creationId xmlns:a16="http://schemas.microsoft.com/office/drawing/2014/main" id="{00000000-0008-0000-0400-00001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7</xdr:col>
      <xdr:colOff>9525</xdr:colOff>
      <xdr:row>1017</xdr:row>
      <xdr:rowOff>142875</xdr:rowOff>
    </xdr:from>
    <xdr:to>
      <xdr:col>10</xdr:col>
      <xdr:colOff>485775</xdr:colOff>
      <xdr:row>1019</xdr:row>
      <xdr:rowOff>114300</xdr:rowOff>
    </xdr:to>
    <xdr:sp macro="" textlink="">
      <xdr:nvSpPr>
        <xdr:cNvPr id="3112" name="Object 40" hidden="1">
          <a:extLst>
            <a:ext uri="{63B3BB69-23CF-44E3-9099-C40C66FF867C}">
              <a14:compatExt xmlns:a14="http://schemas.microsoft.com/office/drawing/2010/main" spid="_x0000_s3112"/>
            </a:ext>
            <a:ext uri="{FF2B5EF4-FFF2-40B4-BE49-F238E27FC236}">
              <a16:creationId xmlns:a16="http://schemas.microsoft.com/office/drawing/2014/main" id="{00000000-0008-0000-0400-00002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7</xdr:col>
      <xdr:colOff>9525</xdr:colOff>
      <xdr:row>1014</xdr:row>
      <xdr:rowOff>142875</xdr:rowOff>
    </xdr:from>
    <xdr:to>
      <xdr:col>11</xdr:col>
      <xdr:colOff>219075</xdr:colOff>
      <xdr:row>1016</xdr:row>
      <xdr:rowOff>57150</xdr:rowOff>
    </xdr:to>
    <xdr:sp macro="" textlink="">
      <xdr:nvSpPr>
        <xdr:cNvPr id="3114" name="Object 42" hidden="1">
          <a:extLst>
            <a:ext uri="{63B3BB69-23CF-44E3-9099-C40C66FF867C}">
              <a14:compatExt xmlns:a14="http://schemas.microsoft.com/office/drawing/2010/main" spid="_x0000_s3114"/>
            </a:ext>
            <a:ext uri="{FF2B5EF4-FFF2-40B4-BE49-F238E27FC236}">
              <a16:creationId xmlns:a16="http://schemas.microsoft.com/office/drawing/2014/main" id="{00000000-0008-0000-0400-00002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7</xdr:col>
      <xdr:colOff>9525</xdr:colOff>
      <xdr:row>1016</xdr:row>
      <xdr:rowOff>66675</xdr:rowOff>
    </xdr:from>
    <xdr:to>
      <xdr:col>11</xdr:col>
      <xdr:colOff>200025</xdr:colOff>
      <xdr:row>1017</xdr:row>
      <xdr:rowOff>133350</xdr:rowOff>
    </xdr:to>
    <xdr:sp macro="" textlink="">
      <xdr:nvSpPr>
        <xdr:cNvPr id="3115" name="Object 43" hidden="1">
          <a:extLst>
            <a:ext uri="{63B3BB69-23CF-44E3-9099-C40C66FF867C}">
              <a14:compatExt xmlns:a14="http://schemas.microsoft.com/office/drawing/2010/main" spid="_x0000_s3115"/>
            </a:ext>
            <a:ext uri="{FF2B5EF4-FFF2-40B4-BE49-F238E27FC236}">
              <a16:creationId xmlns:a16="http://schemas.microsoft.com/office/drawing/2014/main" id="{00000000-0008-0000-0400-00002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1022</xdr:row>
      <xdr:rowOff>57150</xdr:rowOff>
    </xdr:from>
    <xdr:to>
      <xdr:col>17</xdr:col>
      <xdr:colOff>228600</xdr:colOff>
      <xdr:row>1024</xdr:row>
      <xdr:rowOff>142875</xdr:rowOff>
    </xdr:to>
    <xdr:sp macro="" textlink="">
      <xdr:nvSpPr>
        <xdr:cNvPr id="3119" name="Object 47" hidden="1">
          <a:extLst>
            <a:ext uri="{63B3BB69-23CF-44E3-9099-C40C66FF867C}">
              <a14:compatExt xmlns:a14="http://schemas.microsoft.com/office/drawing/2010/main" spid="_x0000_s3119"/>
            </a:ext>
            <a:ext uri="{FF2B5EF4-FFF2-40B4-BE49-F238E27FC236}">
              <a16:creationId xmlns:a16="http://schemas.microsoft.com/office/drawing/2014/main" id="{00000000-0008-0000-0400-00002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1008</xdr:row>
      <xdr:rowOff>0</xdr:rowOff>
    </xdr:from>
    <xdr:to>
      <xdr:col>11</xdr:col>
      <xdr:colOff>200025</xdr:colOff>
      <xdr:row>1010</xdr:row>
      <xdr:rowOff>76200</xdr:rowOff>
    </xdr:to>
    <xdr:sp macro="" textlink="">
      <xdr:nvSpPr>
        <xdr:cNvPr id="3120" name="Object 48" hidden="1">
          <a:extLst>
            <a:ext uri="{63B3BB69-23CF-44E3-9099-C40C66FF867C}">
              <a14:compatExt xmlns:a14="http://schemas.microsoft.com/office/drawing/2010/main" spid="_x0000_s3120"/>
            </a:ext>
            <a:ext uri="{FF2B5EF4-FFF2-40B4-BE49-F238E27FC236}">
              <a16:creationId xmlns:a16="http://schemas.microsoft.com/office/drawing/2014/main" id="{00000000-0008-0000-0400-00003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1010</xdr:row>
      <xdr:rowOff>85725</xdr:rowOff>
    </xdr:from>
    <xdr:to>
      <xdr:col>12</xdr:col>
      <xdr:colOff>200025</xdr:colOff>
      <xdr:row>1013</xdr:row>
      <xdr:rowOff>0</xdr:rowOff>
    </xdr:to>
    <xdr:sp macro="" textlink="">
      <xdr:nvSpPr>
        <xdr:cNvPr id="3121" name="Object 49" hidden="1">
          <a:extLst>
            <a:ext uri="{63B3BB69-23CF-44E3-9099-C40C66FF867C}">
              <a14:compatExt xmlns:a14="http://schemas.microsoft.com/office/drawing/2010/main" spid="_x0000_s3121"/>
            </a:ext>
            <a:ext uri="{FF2B5EF4-FFF2-40B4-BE49-F238E27FC236}">
              <a16:creationId xmlns:a16="http://schemas.microsoft.com/office/drawing/2014/main" id="{00000000-0008-0000-0400-00003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9525</xdr:colOff>
      <xdr:row>1006</xdr:row>
      <xdr:rowOff>85725</xdr:rowOff>
    </xdr:from>
    <xdr:to>
      <xdr:col>3</xdr:col>
      <xdr:colOff>447675</xdr:colOff>
      <xdr:row>1007</xdr:row>
      <xdr:rowOff>142875</xdr:rowOff>
    </xdr:to>
    <xdr:sp macro="" textlink="">
      <xdr:nvSpPr>
        <xdr:cNvPr id="3122" name="Object 50" hidden="1">
          <a:extLst>
            <a:ext uri="{63B3BB69-23CF-44E3-9099-C40C66FF867C}">
              <a14:compatExt xmlns:a14="http://schemas.microsoft.com/office/drawing/2010/main" spid="_x0000_s3122"/>
            </a:ext>
            <a:ext uri="{FF2B5EF4-FFF2-40B4-BE49-F238E27FC236}">
              <a16:creationId xmlns:a16="http://schemas.microsoft.com/office/drawing/2014/main" id="{00000000-0008-0000-0400-00003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1024</xdr:row>
      <xdr:rowOff>142875</xdr:rowOff>
    </xdr:from>
    <xdr:to>
      <xdr:col>16</xdr:col>
      <xdr:colOff>0</xdr:colOff>
      <xdr:row>1026</xdr:row>
      <xdr:rowOff>123825</xdr:rowOff>
    </xdr:to>
    <xdr:sp macro="" textlink="">
      <xdr:nvSpPr>
        <xdr:cNvPr id="3124" name="Object 52" hidden="1">
          <a:extLst>
            <a:ext uri="{63B3BB69-23CF-44E3-9099-C40C66FF867C}">
              <a14:compatExt xmlns:a14="http://schemas.microsoft.com/office/drawing/2010/main" spid="_x0000_s3124"/>
            </a:ext>
            <a:ext uri="{FF2B5EF4-FFF2-40B4-BE49-F238E27FC236}">
              <a16:creationId xmlns:a16="http://schemas.microsoft.com/office/drawing/2014/main" id="{00000000-0008-0000-0400-00003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18</xdr:col>
      <xdr:colOff>9525</xdr:colOff>
      <xdr:row>1013</xdr:row>
      <xdr:rowOff>28575</xdr:rowOff>
    </xdr:from>
    <xdr:to>
      <xdr:col>21</xdr:col>
      <xdr:colOff>19050</xdr:colOff>
      <xdr:row>1014</xdr:row>
      <xdr:rowOff>95250</xdr:rowOff>
    </xdr:to>
    <xdr:sp macro="" textlink="">
      <xdr:nvSpPr>
        <xdr:cNvPr id="3125" name="Object 53" hidden="1">
          <a:extLst>
            <a:ext uri="{63B3BB69-23CF-44E3-9099-C40C66FF867C}">
              <a14:compatExt xmlns:a14="http://schemas.microsoft.com/office/drawing/2010/main" spid="_x0000_s3125"/>
            </a:ext>
            <a:ext uri="{FF2B5EF4-FFF2-40B4-BE49-F238E27FC236}">
              <a16:creationId xmlns:a16="http://schemas.microsoft.com/office/drawing/2014/main" id="{00000000-0008-0000-0400-00003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9525</xdr:colOff>
      <xdr:row>1005</xdr:row>
      <xdr:rowOff>9525</xdr:rowOff>
    </xdr:from>
    <xdr:to>
      <xdr:col>10</xdr:col>
      <xdr:colOff>333375</xdr:colOff>
      <xdr:row>1006</xdr:row>
      <xdr:rowOff>76200</xdr:rowOff>
    </xdr:to>
    <xdr:sp macro="" textlink="">
      <xdr:nvSpPr>
        <xdr:cNvPr id="3127" name="Object 55" hidden="1">
          <a:extLst>
            <a:ext uri="{63B3BB69-23CF-44E3-9099-C40C66FF867C}">
              <a14:compatExt xmlns:a14="http://schemas.microsoft.com/office/drawing/2010/main" spid="_x0000_s3127"/>
            </a:ext>
            <a:ext uri="{FF2B5EF4-FFF2-40B4-BE49-F238E27FC236}">
              <a16:creationId xmlns:a16="http://schemas.microsoft.com/office/drawing/2014/main" id="{00000000-0008-0000-0400-00003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1013</xdr:row>
      <xdr:rowOff>9525</xdr:rowOff>
    </xdr:from>
    <xdr:to>
      <xdr:col>8</xdr:col>
      <xdr:colOff>161925</xdr:colOff>
      <xdr:row>1014</xdr:row>
      <xdr:rowOff>142875</xdr:rowOff>
    </xdr:to>
    <xdr:sp macro="" textlink="">
      <xdr:nvSpPr>
        <xdr:cNvPr id="3129" name="Object 57" hidden="1">
          <a:extLst>
            <a:ext uri="{63B3BB69-23CF-44E3-9099-C40C66FF867C}">
              <a14:compatExt xmlns:a14="http://schemas.microsoft.com/office/drawing/2010/main" spid="_x0000_s3129"/>
            </a:ext>
            <a:ext uri="{FF2B5EF4-FFF2-40B4-BE49-F238E27FC236}">
              <a16:creationId xmlns:a16="http://schemas.microsoft.com/office/drawing/2014/main" id="{00000000-0008-0000-0400-00003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20</xdr:col>
      <xdr:colOff>9525</xdr:colOff>
      <xdr:row>1018</xdr:row>
      <xdr:rowOff>47625</xdr:rowOff>
    </xdr:from>
    <xdr:to>
      <xdr:col>24</xdr:col>
      <xdr:colOff>904875</xdr:colOff>
      <xdr:row>1019</xdr:row>
      <xdr:rowOff>114300</xdr:rowOff>
    </xdr:to>
    <xdr:sp macro="" textlink="">
      <xdr:nvSpPr>
        <xdr:cNvPr id="3131" name="Object 59" hidden="1">
          <a:extLst>
            <a:ext uri="{63B3BB69-23CF-44E3-9099-C40C66FF867C}">
              <a14:compatExt xmlns:a14="http://schemas.microsoft.com/office/drawing/2010/main" spid="_x0000_s3131"/>
            </a:ext>
            <a:ext uri="{FF2B5EF4-FFF2-40B4-BE49-F238E27FC236}">
              <a16:creationId xmlns:a16="http://schemas.microsoft.com/office/drawing/2014/main" id="{00000000-0008-0000-0400-00003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1019</xdr:row>
      <xdr:rowOff>123825</xdr:rowOff>
    </xdr:from>
    <xdr:to>
      <xdr:col>20</xdr:col>
      <xdr:colOff>485775</xdr:colOff>
      <xdr:row>1022</xdr:row>
      <xdr:rowOff>47625</xdr:rowOff>
    </xdr:to>
    <xdr:sp macro="" textlink="">
      <xdr:nvSpPr>
        <xdr:cNvPr id="3134" name="Object 62" hidden="1">
          <a:extLst>
            <a:ext uri="{63B3BB69-23CF-44E3-9099-C40C66FF867C}">
              <a14:compatExt xmlns:a14="http://schemas.microsoft.com/office/drawing/2010/main" spid="_x0000_s3134"/>
            </a:ext>
            <a:ext uri="{FF2B5EF4-FFF2-40B4-BE49-F238E27FC236}">
              <a16:creationId xmlns:a16="http://schemas.microsoft.com/office/drawing/2014/main" id="{00000000-0008-0000-0400-00003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1018</xdr:row>
      <xdr:rowOff>47625</xdr:rowOff>
    </xdr:from>
    <xdr:to>
      <xdr:col>19</xdr:col>
      <xdr:colOff>152400</xdr:colOff>
      <xdr:row>1019</xdr:row>
      <xdr:rowOff>114300</xdr:rowOff>
    </xdr:to>
    <xdr:sp macro="" textlink="">
      <xdr:nvSpPr>
        <xdr:cNvPr id="3135" name="Object 63" hidden="1">
          <a:extLst>
            <a:ext uri="{63B3BB69-23CF-44E3-9099-C40C66FF867C}">
              <a14:compatExt xmlns:a14="http://schemas.microsoft.com/office/drawing/2010/main" spid="_x0000_s3135"/>
            </a:ext>
            <a:ext uri="{FF2B5EF4-FFF2-40B4-BE49-F238E27FC236}">
              <a16:creationId xmlns:a16="http://schemas.microsoft.com/office/drawing/2014/main" id="{00000000-0008-0000-0400-00003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9525</xdr:colOff>
      <xdr:row>1007</xdr:row>
      <xdr:rowOff>104775</xdr:rowOff>
    </xdr:from>
    <xdr:to>
      <xdr:col>37</xdr:col>
      <xdr:colOff>238125</xdr:colOff>
      <xdr:row>1010</xdr:row>
      <xdr:rowOff>66675</xdr:rowOff>
    </xdr:to>
    <xdr:sp macro="" textlink="">
      <xdr:nvSpPr>
        <xdr:cNvPr id="3141" name="Object 69" hidden="1">
          <a:extLst>
            <a:ext uri="{63B3BB69-23CF-44E3-9099-C40C66FF867C}">
              <a14:compatExt xmlns:a14="http://schemas.microsoft.com/office/drawing/2010/main" spid="_x0000_s3141"/>
            </a:ext>
            <a:ext uri="{FF2B5EF4-FFF2-40B4-BE49-F238E27FC236}">
              <a16:creationId xmlns:a16="http://schemas.microsoft.com/office/drawing/2014/main" id="{00000000-0008-0000-0400-00004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9525</xdr:colOff>
      <xdr:row>1010</xdr:row>
      <xdr:rowOff>76200</xdr:rowOff>
    </xdr:from>
    <xdr:to>
      <xdr:col>35</xdr:col>
      <xdr:colOff>600075</xdr:colOff>
      <xdr:row>1013</xdr:row>
      <xdr:rowOff>38100</xdr:rowOff>
    </xdr:to>
    <xdr:sp macro="" textlink="">
      <xdr:nvSpPr>
        <xdr:cNvPr id="3142" name="Object 70" hidden="1">
          <a:extLst>
            <a:ext uri="{63B3BB69-23CF-44E3-9099-C40C66FF867C}">
              <a14:compatExt xmlns:a14="http://schemas.microsoft.com/office/drawing/2010/main" spid="_x0000_s3142"/>
            </a:ext>
            <a:ext uri="{FF2B5EF4-FFF2-40B4-BE49-F238E27FC236}">
              <a16:creationId xmlns:a16="http://schemas.microsoft.com/office/drawing/2014/main" id="{00000000-0008-0000-0400-00004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1035</xdr:row>
      <xdr:rowOff>19050</xdr:rowOff>
    </xdr:from>
    <xdr:to>
      <xdr:col>11</xdr:col>
      <xdr:colOff>466725</xdr:colOff>
      <xdr:row>1038</xdr:row>
      <xdr:rowOff>19050</xdr:rowOff>
    </xdr:to>
    <xdr:sp macro="" textlink="">
      <xdr:nvSpPr>
        <xdr:cNvPr id="3157" name="Object 85" hidden="1">
          <a:extLst>
            <a:ext uri="{63B3BB69-23CF-44E3-9099-C40C66FF867C}">
              <a14:compatExt xmlns:a14="http://schemas.microsoft.com/office/drawing/2010/main" spid="_x0000_s3157"/>
            </a:ext>
            <a:ext uri="{FF2B5EF4-FFF2-40B4-BE49-F238E27FC236}">
              <a16:creationId xmlns:a16="http://schemas.microsoft.com/office/drawing/2014/main" id="{00000000-0008-0000-0400-00005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1040</xdr:row>
      <xdr:rowOff>19050</xdr:rowOff>
    </xdr:from>
    <xdr:to>
      <xdr:col>12</xdr:col>
      <xdr:colOff>28575</xdr:colOff>
      <xdr:row>1043</xdr:row>
      <xdr:rowOff>19050</xdr:rowOff>
    </xdr:to>
    <xdr:sp macro="" textlink="">
      <xdr:nvSpPr>
        <xdr:cNvPr id="3158" name="Object 86" hidden="1">
          <a:extLst>
            <a:ext uri="{63B3BB69-23CF-44E3-9099-C40C66FF867C}">
              <a14:compatExt xmlns:a14="http://schemas.microsoft.com/office/drawing/2010/main" spid="_x0000_s3158"/>
            </a:ext>
            <a:ext uri="{FF2B5EF4-FFF2-40B4-BE49-F238E27FC236}">
              <a16:creationId xmlns:a16="http://schemas.microsoft.com/office/drawing/2014/main" id="{00000000-0008-0000-0400-00005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18</xdr:col>
      <xdr:colOff>9525</xdr:colOff>
      <xdr:row>1014</xdr:row>
      <xdr:rowOff>104775</xdr:rowOff>
    </xdr:from>
    <xdr:to>
      <xdr:col>20</xdr:col>
      <xdr:colOff>276225</xdr:colOff>
      <xdr:row>1016</xdr:row>
      <xdr:rowOff>9525</xdr:rowOff>
    </xdr:to>
    <xdr:sp macro="" textlink="">
      <xdr:nvSpPr>
        <xdr:cNvPr id="3161" name="Object 89" hidden="1">
          <a:extLst>
            <a:ext uri="{63B3BB69-23CF-44E3-9099-C40C66FF867C}">
              <a14:compatExt xmlns:a14="http://schemas.microsoft.com/office/drawing/2010/main" spid="_x0000_s3161"/>
            </a:ext>
            <a:ext uri="{FF2B5EF4-FFF2-40B4-BE49-F238E27FC236}">
              <a16:creationId xmlns:a16="http://schemas.microsoft.com/office/drawing/2014/main" id="{00000000-0008-0000-0400-00005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16</xdr:col>
      <xdr:colOff>209550</xdr:colOff>
      <xdr:row>1007</xdr:row>
      <xdr:rowOff>95250</xdr:rowOff>
    </xdr:from>
    <xdr:to>
      <xdr:col>32</xdr:col>
      <xdr:colOff>142875</xdr:colOff>
      <xdr:row>1010</xdr:row>
      <xdr:rowOff>76200</xdr:rowOff>
    </xdr:to>
    <xdr:sp macro="" textlink="">
      <xdr:nvSpPr>
        <xdr:cNvPr id="3162" name="Object 90" hidden="1">
          <a:extLst>
            <a:ext uri="{63B3BB69-23CF-44E3-9099-C40C66FF867C}">
              <a14:compatExt xmlns:a14="http://schemas.microsoft.com/office/drawing/2010/main" spid="_x0000_s3162"/>
            </a:ext>
            <a:ext uri="{FF2B5EF4-FFF2-40B4-BE49-F238E27FC236}">
              <a16:creationId xmlns:a16="http://schemas.microsoft.com/office/drawing/2014/main" id="{00000000-0008-0000-0400-00005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1055</xdr:row>
      <xdr:rowOff>28575</xdr:rowOff>
    </xdr:from>
    <xdr:to>
      <xdr:col>12</xdr:col>
      <xdr:colOff>276225</xdr:colOff>
      <xdr:row>1058</xdr:row>
      <xdr:rowOff>47625</xdr:rowOff>
    </xdr:to>
    <xdr:sp macro="" textlink="">
      <xdr:nvSpPr>
        <xdr:cNvPr id="3167" name="Object 95" hidden="1">
          <a:extLst>
            <a:ext uri="{63B3BB69-23CF-44E3-9099-C40C66FF867C}">
              <a14:compatExt xmlns:a14="http://schemas.microsoft.com/office/drawing/2010/main" spid="_x0000_s3167"/>
            </a:ext>
            <a:ext uri="{FF2B5EF4-FFF2-40B4-BE49-F238E27FC236}">
              <a16:creationId xmlns:a16="http://schemas.microsoft.com/office/drawing/2014/main" id="{00000000-0008-0000-0400-00005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1060</xdr:row>
      <xdr:rowOff>28575</xdr:rowOff>
    </xdr:from>
    <xdr:to>
      <xdr:col>15</xdr:col>
      <xdr:colOff>47625</xdr:colOff>
      <xdr:row>1063</xdr:row>
      <xdr:rowOff>47625</xdr:rowOff>
    </xdr:to>
    <xdr:sp macro="" textlink="">
      <xdr:nvSpPr>
        <xdr:cNvPr id="3168" name="Object 96" hidden="1">
          <a:extLst>
            <a:ext uri="{63B3BB69-23CF-44E3-9099-C40C66FF867C}">
              <a14:compatExt xmlns:a14="http://schemas.microsoft.com/office/drawing/2010/main" spid="_x0000_s3168"/>
            </a:ext>
            <a:ext uri="{FF2B5EF4-FFF2-40B4-BE49-F238E27FC236}">
              <a16:creationId xmlns:a16="http://schemas.microsoft.com/office/drawing/2014/main" id="{00000000-0008-0000-0400-00006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1065</xdr:row>
      <xdr:rowOff>28575</xdr:rowOff>
    </xdr:from>
    <xdr:to>
      <xdr:col>16</xdr:col>
      <xdr:colOff>561975</xdr:colOff>
      <xdr:row>1068</xdr:row>
      <xdr:rowOff>47625</xdr:rowOff>
    </xdr:to>
    <xdr:sp macro="" textlink="">
      <xdr:nvSpPr>
        <xdr:cNvPr id="3169" name="Object 97" hidden="1">
          <a:extLst>
            <a:ext uri="{63B3BB69-23CF-44E3-9099-C40C66FF867C}">
              <a14:compatExt xmlns:a14="http://schemas.microsoft.com/office/drawing/2010/main" spid="_x0000_s3169"/>
            </a:ext>
            <a:ext uri="{FF2B5EF4-FFF2-40B4-BE49-F238E27FC236}">
              <a16:creationId xmlns:a16="http://schemas.microsoft.com/office/drawing/2014/main" id="{00000000-0008-0000-0400-00006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1045</xdr:row>
      <xdr:rowOff>28575</xdr:rowOff>
    </xdr:from>
    <xdr:to>
      <xdr:col>16</xdr:col>
      <xdr:colOff>85725</xdr:colOff>
      <xdr:row>1048</xdr:row>
      <xdr:rowOff>28575</xdr:rowOff>
    </xdr:to>
    <xdr:sp macro="" textlink="">
      <xdr:nvSpPr>
        <xdr:cNvPr id="3173" name="Object 101" hidden="1">
          <a:extLst>
            <a:ext uri="{63B3BB69-23CF-44E3-9099-C40C66FF867C}">
              <a14:compatExt xmlns:a14="http://schemas.microsoft.com/office/drawing/2010/main" spid="_x0000_s3173"/>
            </a:ext>
            <a:ext uri="{FF2B5EF4-FFF2-40B4-BE49-F238E27FC236}">
              <a16:creationId xmlns:a16="http://schemas.microsoft.com/office/drawing/2014/main" id="{00000000-0008-0000-0400-00006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1050</xdr:row>
      <xdr:rowOff>28575</xdr:rowOff>
    </xdr:from>
    <xdr:to>
      <xdr:col>16</xdr:col>
      <xdr:colOff>323850</xdr:colOff>
      <xdr:row>1053</xdr:row>
      <xdr:rowOff>47625</xdr:rowOff>
    </xdr:to>
    <xdr:sp macro="" textlink="">
      <xdr:nvSpPr>
        <xdr:cNvPr id="3174" name="Object 102" hidden="1">
          <a:extLst>
            <a:ext uri="{63B3BB69-23CF-44E3-9099-C40C66FF867C}">
              <a14:compatExt xmlns:a14="http://schemas.microsoft.com/office/drawing/2010/main" spid="_x0000_s3174"/>
            </a:ext>
            <a:ext uri="{FF2B5EF4-FFF2-40B4-BE49-F238E27FC236}">
              <a16:creationId xmlns:a16="http://schemas.microsoft.com/office/drawing/2014/main" id="{00000000-0008-0000-0400-00006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1070</xdr:row>
      <xdr:rowOff>28575</xdr:rowOff>
    </xdr:from>
    <xdr:to>
      <xdr:col>12</xdr:col>
      <xdr:colOff>342900</xdr:colOff>
      <xdr:row>1073</xdr:row>
      <xdr:rowOff>47625</xdr:rowOff>
    </xdr:to>
    <xdr:sp macro="" textlink="">
      <xdr:nvSpPr>
        <xdr:cNvPr id="3178" name="Object 106" hidden="1">
          <a:extLst>
            <a:ext uri="{63B3BB69-23CF-44E3-9099-C40C66FF867C}">
              <a14:compatExt xmlns:a14="http://schemas.microsoft.com/office/drawing/2010/main" spid="_x0000_s3178"/>
            </a:ext>
            <a:ext uri="{FF2B5EF4-FFF2-40B4-BE49-F238E27FC236}">
              <a16:creationId xmlns:a16="http://schemas.microsoft.com/office/drawing/2014/main" id="{00000000-0008-0000-0400-00006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19</xdr:col>
      <xdr:colOff>0</xdr:colOff>
      <xdr:row>1053</xdr:row>
      <xdr:rowOff>28575</xdr:rowOff>
    </xdr:from>
    <xdr:to>
      <xdr:col>32</xdr:col>
      <xdr:colOff>352425</xdr:colOff>
      <xdr:row>1056</xdr:row>
      <xdr:rowOff>28575</xdr:rowOff>
    </xdr:to>
    <xdr:sp macro="" textlink="">
      <xdr:nvSpPr>
        <xdr:cNvPr id="3188" name="Object 116" hidden="1">
          <a:extLst>
            <a:ext uri="{63B3BB69-23CF-44E3-9099-C40C66FF867C}">
              <a14:compatExt xmlns:a14="http://schemas.microsoft.com/office/drawing/2010/main" spid="_x0000_s3188"/>
            </a:ext>
            <a:ext uri="{FF2B5EF4-FFF2-40B4-BE49-F238E27FC236}">
              <a16:creationId xmlns:a16="http://schemas.microsoft.com/office/drawing/2014/main" id="{00000000-0008-0000-0400-00007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21</xdr:col>
      <xdr:colOff>19050</xdr:colOff>
      <xdr:row>1022</xdr:row>
      <xdr:rowOff>47625</xdr:rowOff>
    </xdr:from>
    <xdr:to>
      <xdr:col>32</xdr:col>
      <xdr:colOff>219075</xdr:colOff>
      <xdr:row>1024</xdr:row>
      <xdr:rowOff>114300</xdr:rowOff>
    </xdr:to>
    <xdr:sp macro="" textlink="">
      <xdr:nvSpPr>
        <xdr:cNvPr id="3192" name="Object 120" hidden="1">
          <a:extLst>
            <a:ext uri="{63B3BB69-23CF-44E3-9099-C40C66FF867C}">
              <a14:compatExt xmlns:a14="http://schemas.microsoft.com/office/drawing/2010/main" spid="_x0000_s3192"/>
            </a:ext>
            <a:ext uri="{FF2B5EF4-FFF2-40B4-BE49-F238E27FC236}">
              <a16:creationId xmlns:a16="http://schemas.microsoft.com/office/drawing/2014/main" id="{00000000-0008-0000-0400-00007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0</xdr:colOff>
      <xdr:row>1017</xdr:row>
      <xdr:rowOff>19050</xdr:rowOff>
    </xdr:from>
    <xdr:to>
      <xdr:col>36</xdr:col>
      <xdr:colOff>142875</xdr:colOff>
      <xdr:row>1020</xdr:row>
      <xdr:rowOff>19050</xdr:rowOff>
    </xdr:to>
    <xdr:sp macro="" textlink="">
      <xdr:nvSpPr>
        <xdr:cNvPr id="3220" name="Object 148" hidden="1">
          <a:extLst>
            <a:ext uri="{63B3BB69-23CF-44E3-9099-C40C66FF867C}">
              <a14:compatExt xmlns:a14="http://schemas.microsoft.com/office/drawing/2010/main" spid="_x0000_s3220"/>
            </a:ext>
            <a:ext uri="{FF2B5EF4-FFF2-40B4-BE49-F238E27FC236}">
              <a16:creationId xmlns:a16="http://schemas.microsoft.com/office/drawing/2014/main" id="{00000000-0008-0000-0400-00009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0</xdr:colOff>
      <xdr:row>1014</xdr:row>
      <xdr:rowOff>0</xdr:rowOff>
    </xdr:from>
    <xdr:to>
      <xdr:col>36</xdr:col>
      <xdr:colOff>581025</xdr:colOff>
      <xdr:row>1017</xdr:row>
      <xdr:rowOff>0</xdr:rowOff>
    </xdr:to>
    <xdr:sp macro="" textlink="">
      <xdr:nvSpPr>
        <xdr:cNvPr id="3222" name="Object 150" hidden="1">
          <a:extLst>
            <a:ext uri="{63B3BB69-23CF-44E3-9099-C40C66FF867C}">
              <a14:compatExt xmlns:a14="http://schemas.microsoft.com/office/drawing/2010/main" spid="_x0000_s3222"/>
            </a:ext>
            <a:ext uri="{FF2B5EF4-FFF2-40B4-BE49-F238E27FC236}">
              <a16:creationId xmlns:a16="http://schemas.microsoft.com/office/drawing/2014/main" id="{00000000-0008-0000-0400-00009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0</xdr:colOff>
      <xdr:row>1020</xdr:row>
      <xdr:rowOff>38100</xdr:rowOff>
    </xdr:from>
    <xdr:to>
      <xdr:col>35</xdr:col>
      <xdr:colOff>114300</xdr:colOff>
      <xdr:row>1023</xdr:row>
      <xdr:rowOff>38100</xdr:rowOff>
    </xdr:to>
    <xdr:sp macro="" textlink="">
      <xdr:nvSpPr>
        <xdr:cNvPr id="3223" name="Object 151" hidden="1">
          <a:extLst>
            <a:ext uri="{63B3BB69-23CF-44E3-9099-C40C66FF867C}">
              <a14:compatExt xmlns:a14="http://schemas.microsoft.com/office/drawing/2010/main" spid="_x0000_s3223"/>
            </a:ext>
            <a:ext uri="{FF2B5EF4-FFF2-40B4-BE49-F238E27FC236}">
              <a16:creationId xmlns:a16="http://schemas.microsoft.com/office/drawing/2014/main" id="{00000000-0008-0000-0400-00009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0</xdr:colOff>
      <xdr:row>1023</xdr:row>
      <xdr:rowOff>57150</xdr:rowOff>
    </xdr:from>
    <xdr:to>
      <xdr:col>36</xdr:col>
      <xdr:colOff>47625</xdr:colOff>
      <xdr:row>1026</xdr:row>
      <xdr:rowOff>57150</xdr:rowOff>
    </xdr:to>
    <xdr:sp macro="" textlink="">
      <xdr:nvSpPr>
        <xdr:cNvPr id="3225" name="Object 153" hidden="1">
          <a:extLst>
            <a:ext uri="{63B3BB69-23CF-44E3-9099-C40C66FF867C}">
              <a14:compatExt xmlns:a14="http://schemas.microsoft.com/office/drawing/2010/main" spid="_x0000_s3225"/>
            </a:ext>
            <a:ext uri="{FF2B5EF4-FFF2-40B4-BE49-F238E27FC236}">
              <a16:creationId xmlns:a16="http://schemas.microsoft.com/office/drawing/2014/main" id="{00000000-0008-0000-0400-00009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19</xdr:col>
      <xdr:colOff>0</xdr:colOff>
      <xdr:row>1048</xdr:row>
      <xdr:rowOff>28575</xdr:rowOff>
    </xdr:from>
    <xdr:to>
      <xdr:col>34</xdr:col>
      <xdr:colOff>295275</xdr:colOff>
      <xdr:row>1051</xdr:row>
      <xdr:rowOff>76200</xdr:rowOff>
    </xdr:to>
    <xdr:sp macro="" textlink="">
      <xdr:nvSpPr>
        <xdr:cNvPr id="3281" name="Object 209" hidden="1">
          <a:extLst>
            <a:ext uri="{63B3BB69-23CF-44E3-9099-C40C66FF867C}">
              <a14:compatExt xmlns:a14="http://schemas.microsoft.com/office/drawing/2010/main" spid="_x0000_s3281"/>
            </a:ext>
            <a:ext uri="{FF2B5EF4-FFF2-40B4-BE49-F238E27FC236}">
              <a16:creationId xmlns:a16="http://schemas.microsoft.com/office/drawing/2014/main" id="{00000000-0008-0000-0400-0000D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18</xdr:col>
      <xdr:colOff>9525</xdr:colOff>
      <xdr:row>1010</xdr:row>
      <xdr:rowOff>85725</xdr:rowOff>
    </xdr:from>
    <xdr:to>
      <xdr:col>20</xdr:col>
      <xdr:colOff>238125</xdr:colOff>
      <xdr:row>1013</xdr:row>
      <xdr:rowOff>19050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63639500"/>
          <a:ext cx="981075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21</xdr:col>
      <xdr:colOff>19050</xdr:colOff>
      <xdr:row>1024</xdr:row>
      <xdr:rowOff>133350</xdr:rowOff>
    </xdr:from>
    <xdr:to>
      <xdr:col>25</xdr:col>
      <xdr:colOff>381000</xdr:colOff>
      <xdr:row>1026</xdr:row>
      <xdr:rowOff>66675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165954075"/>
          <a:ext cx="2428875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16</xdr:col>
      <xdr:colOff>209550</xdr:colOff>
      <xdr:row>1006</xdr:row>
      <xdr:rowOff>19050</xdr:rowOff>
    </xdr:from>
    <xdr:to>
      <xdr:col>24</xdr:col>
      <xdr:colOff>123825</xdr:colOff>
      <xdr:row>1007</xdr:row>
      <xdr:rowOff>85725</xdr:rowOff>
    </xdr:to>
    <xdr:pic>
      <xdr:nvPicPr>
        <xdr:cNvPr id="4" name="Picture 2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162925125"/>
          <a:ext cx="32194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1017</xdr:row>
      <xdr:rowOff>142875</xdr:rowOff>
    </xdr:from>
    <xdr:to>
      <xdr:col>10</xdr:col>
      <xdr:colOff>485775</xdr:colOff>
      <xdr:row>1019</xdr:row>
      <xdr:rowOff>114300</xdr:rowOff>
    </xdr:to>
    <xdr:pic>
      <xdr:nvPicPr>
        <xdr:cNvPr id="5" name="Picture 40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64830125"/>
          <a:ext cx="1952625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1014</xdr:row>
      <xdr:rowOff>142875</xdr:rowOff>
    </xdr:from>
    <xdr:to>
      <xdr:col>11</xdr:col>
      <xdr:colOff>219075</xdr:colOff>
      <xdr:row>1016</xdr:row>
      <xdr:rowOff>57150</xdr:rowOff>
    </xdr:to>
    <xdr:pic>
      <xdr:nvPicPr>
        <xdr:cNvPr id="6" name="Picture 4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64344350"/>
          <a:ext cx="21907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1016</xdr:row>
      <xdr:rowOff>66675</xdr:rowOff>
    </xdr:from>
    <xdr:to>
      <xdr:col>11</xdr:col>
      <xdr:colOff>200025</xdr:colOff>
      <xdr:row>1017</xdr:row>
      <xdr:rowOff>133350</xdr:rowOff>
    </xdr:to>
    <xdr:pic>
      <xdr:nvPicPr>
        <xdr:cNvPr id="7" name="Picture 4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64592000"/>
          <a:ext cx="21717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1022</xdr:row>
      <xdr:rowOff>57150</xdr:rowOff>
    </xdr:from>
    <xdr:to>
      <xdr:col>17</xdr:col>
      <xdr:colOff>228600</xdr:colOff>
      <xdr:row>1024</xdr:row>
      <xdr:rowOff>142875</xdr:rowOff>
    </xdr:to>
    <xdr:pic>
      <xdr:nvPicPr>
        <xdr:cNvPr id="8" name="Picture 4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165554025"/>
          <a:ext cx="2981325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1008</xdr:row>
      <xdr:rowOff>0</xdr:rowOff>
    </xdr:from>
    <xdr:to>
      <xdr:col>11</xdr:col>
      <xdr:colOff>200025</xdr:colOff>
      <xdr:row>1010</xdr:row>
      <xdr:rowOff>76200</xdr:rowOff>
    </xdr:to>
    <xdr:pic>
      <xdr:nvPicPr>
        <xdr:cNvPr id="9" name="Picture 4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3229925"/>
          <a:ext cx="36480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1010</xdr:row>
      <xdr:rowOff>85725</xdr:rowOff>
    </xdr:from>
    <xdr:to>
      <xdr:col>12</xdr:col>
      <xdr:colOff>200025</xdr:colOff>
      <xdr:row>1013</xdr:row>
      <xdr:rowOff>0</xdr:rowOff>
    </xdr:to>
    <xdr:pic>
      <xdr:nvPicPr>
        <xdr:cNvPr id="10" name="Picture 4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3639500"/>
          <a:ext cx="41529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9525</xdr:colOff>
      <xdr:row>1006</xdr:row>
      <xdr:rowOff>85725</xdr:rowOff>
    </xdr:from>
    <xdr:to>
      <xdr:col>3</xdr:col>
      <xdr:colOff>447675</xdr:colOff>
      <xdr:row>1007</xdr:row>
      <xdr:rowOff>142875</xdr:rowOff>
    </xdr:to>
    <xdr:pic>
      <xdr:nvPicPr>
        <xdr:cNvPr id="11" name="Picture 5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62991800"/>
          <a:ext cx="9334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1024</xdr:row>
      <xdr:rowOff>142875</xdr:rowOff>
    </xdr:from>
    <xdr:to>
      <xdr:col>16</xdr:col>
      <xdr:colOff>0</xdr:colOff>
      <xdr:row>1026</xdr:row>
      <xdr:rowOff>123825</xdr:rowOff>
    </xdr:to>
    <xdr:pic>
      <xdr:nvPicPr>
        <xdr:cNvPr id="12" name="Picture 5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165963600"/>
          <a:ext cx="2181225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18</xdr:col>
      <xdr:colOff>9525</xdr:colOff>
      <xdr:row>1013</xdr:row>
      <xdr:rowOff>28575</xdr:rowOff>
    </xdr:from>
    <xdr:to>
      <xdr:col>21</xdr:col>
      <xdr:colOff>19050</xdr:colOff>
      <xdr:row>1014</xdr:row>
      <xdr:rowOff>95250</xdr:rowOff>
    </xdr:to>
    <xdr:pic>
      <xdr:nvPicPr>
        <xdr:cNvPr id="13" name="Picture 53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64068125"/>
          <a:ext cx="13430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9525</xdr:colOff>
      <xdr:row>1005</xdr:row>
      <xdr:rowOff>9525</xdr:rowOff>
    </xdr:from>
    <xdr:to>
      <xdr:col>10</xdr:col>
      <xdr:colOff>333375</xdr:colOff>
      <xdr:row>1006</xdr:row>
      <xdr:rowOff>76200</xdr:rowOff>
    </xdr:to>
    <xdr:pic>
      <xdr:nvPicPr>
        <xdr:cNvPr id="14" name="Picture 55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62753675"/>
          <a:ext cx="42386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1013</xdr:row>
      <xdr:rowOff>9525</xdr:rowOff>
    </xdr:from>
    <xdr:to>
      <xdr:col>8</xdr:col>
      <xdr:colOff>161925</xdr:colOff>
      <xdr:row>1014</xdr:row>
      <xdr:rowOff>142875</xdr:rowOff>
    </xdr:to>
    <xdr:pic>
      <xdr:nvPicPr>
        <xdr:cNvPr id="15" name="Picture 57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4049075"/>
          <a:ext cx="2124075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20</xdr:col>
      <xdr:colOff>9525</xdr:colOff>
      <xdr:row>1018</xdr:row>
      <xdr:rowOff>47625</xdr:rowOff>
    </xdr:from>
    <xdr:to>
      <xdr:col>24</xdr:col>
      <xdr:colOff>904875</xdr:colOff>
      <xdr:row>1019</xdr:row>
      <xdr:rowOff>114300</xdr:rowOff>
    </xdr:to>
    <xdr:pic>
      <xdr:nvPicPr>
        <xdr:cNvPr id="16" name="Picture 5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164896800"/>
          <a:ext cx="24955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1019</xdr:row>
      <xdr:rowOff>123825</xdr:rowOff>
    </xdr:from>
    <xdr:to>
      <xdr:col>20</xdr:col>
      <xdr:colOff>485775</xdr:colOff>
      <xdr:row>1022</xdr:row>
      <xdr:rowOff>47625</xdr:rowOff>
    </xdr:to>
    <xdr:pic>
      <xdr:nvPicPr>
        <xdr:cNvPr id="17" name="Picture 6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165134925"/>
          <a:ext cx="4371975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1018</xdr:row>
      <xdr:rowOff>47625</xdr:rowOff>
    </xdr:from>
    <xdr:to>
      <xdr:col>19</xdr:col>
      <xdr:colOff>152400</xdr:colOff>
      <xdr:row>1019</xdr:row>
      <xdr:rowOff>114300</xdr:rowOff>
    </xdr:to>
    <xdr:pic>
      <xdr:nvPicPr>
        <xdr:cNvPr id="18" name="Picture 63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164896800"/>
          <a:ext cx="26289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9525</xdr:colOff>
      <xdr:row>1007</xdr:row>
      <xdr:rowOff>104775</xdr:rowOff>
    </xdr:from>
    <xdr:to>
      <xdr:col>37</xdr:col>
      <xdr:colOff>238125</xdr:colOff>
      <xdr:row>1010</xdr:row>
      <xdr:rowOff>66675</xdr:rowOff>
    </xdr:to>
    <xdr:pic>
      <xdr:nvPicPr>
        <xdr:cNvPr id="19" name="Picture 6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0325" y="163172775"/>
          <a:ext cx="3276600" cy="447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9525</xdr:colOff>
      <xdr:row>1010</xdr:row>
      <xdr:rowOff>76200</xdr:rowOff>
    </xdr:from>
    <xdr:to>
      <xdr:col>35</xdr:col>
      <xdr:colOff>600075</xdr:colOff>
      <xdr:row>1013</xdr:row>
      <xdr:rowOff>38100</xdr:rowOff>
    </xdr:to>
    <xdr:pic>
      <xdr:nvPicPr>
        <xdr:cNvPr id="20" name="Picture 7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0325" y="163629975"/>
          <a:ext cx="2114550" cy="447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1035</xdr:row>
      <xdr:rowOff>19050</xdr:rowOff>
    </xdr:from>
    <xdr:to>
      <xdr:col>11</xdr:col>
      <xdr:colOff>466725</xdr:colOff>
      <xdr:row>1038</xdr:row>
      <xdr:rowOff>19050</xdr:rowOff>
    </xdr:to>
    <xdr:pic>
      <xdr:nvPicPr>
        <xdr:cNvPr id="21" name="Picture 85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7620950"/>
          <a:ext cx="39147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1040</xdr:row>
      <xdr:rowOff>19050</xdr:rowOff>
    </xdr:from>
    <xdr:to>
      <xdr:col>12</xdr:col>
      <xdr:colOff>28575</xdr:colOff>
      <xdr:row>1043</xdr:row>
      <xdr:rowOff>19050</xdr:rowOff>
    </xdr:to>
    <xdr:pic>
      <xdr:nvPicPr>
        <xdr:cNvPr id="22" name="Picture 86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8430575"/>
          <a:ext cx="39814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18</xdr:col>
      <xdr:colOff>9525</xdr:colOff>
      <xdr:row>1014</xdr:row>
      <xdr:rowOff>104775</xdr:rowOff>
    </xdr:from>
    <xdr:to>
      <xdr:col>20</xdr:col>
      <xdr:colOff>276225</xdr:colOff>
      <xdr:row>1016</xdr:row>
      <xdr:rowOff>9525</xdr:rowOff>
    </xdr:to>
    <xdr:pic>
      <xdr:nvPicPr>
        <xdr:cNvPr id="23" name="Picture 89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64306250"/>
          <a:ext cx="101917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16</xdr:col>
      <xdr:colOff>209550</xdr:colOff>
      <xdr:row>1007</xdr:row>
      <xdr:rowOff>95250</xdr:rowOff>
    </xdr:from>
    <xdr:to>
      <xdr:col>32</xdr:col>
      <xdr:colOff>142875</xdr:colOff>
      <xdr:row>1010</xdr:row>
      <xdr:rowOff>76200</xdr:rowOff>
    </xdr:to>
    <xdr:pic>
      <xdr:nvPicPr>
        <xdr:cNvPr id="24" name="Picture 90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163163250"/>
          <a:ext cx="6791325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1055</xdr:row>
      <xdr:rowOff>28575</xdr:rowOff>
    </xdr:from>
    <xdr:to>
      <xdr:col>12</xdr:col>
      <xdr:colOff>276225</xdr:colOff>
      <xdr:row>1058</xdr:row>
      <xdr:rowOff>47625</xdr:rowOff>
    </xdr:to>
    <xdr:pic>
      <xdr:nvPicPr>
        <xdr:cNvPr id="25" name="Picture 95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0868975"/>
          <a:ext cx="4229100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1060</xdr:row>
      <xdr:rowOff>28575</xdr:rowOff>
    </xdr:from>
    <xdr:to>
      <xdr:col>15</xdr:col>
      <xdr:colOff>47625</xdr:colOff>
      <xdr:row>1063</xdr:row>
      <xdr:rowOff>47625</xdr:rowOff>
    </xdr:to>
    <xdr:pic>
      <xdr:nvPicPr>
        <xdr:cNvPr id="26" name="Picture 96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1678600"/>
          <a:ext cx="490537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1065</xdr:row>
      <xdr:rowOff>28575</xdr:rowOff>
    </xdr:from>
    <xdr:to>
      <xdr:col>16</xdr:col>
      <xdr:colOff>561975</xdr:colOff>
      <xdr:row>1068</xdr:row>
      <xdr:rowOff>47625</xdr:rowOff>
    </xdr:to>
    <xdr:pic>
      <xdr:nvPicPr>
        <xdr:cNvPr id="27" name="Picture 9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2488225"/>
          <a:ext cx="56864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1045</xdr:row>
      <xdr:rowOff>28575</xdr:rowOff>
    </xdr:from>
    <xdr:to>
      <xdr:col>16</xdr:col>
      <xdr:colOff>85725</xdr:colOff>
      <xdr:row>1048</xdr:row>
      <xdr:rowOff>28575</xdr:rowOff>
    </xdr:to>
    <xdr:pic>
      <xdr:nvPicPr>
        <xdr:cNvPr id="28" name="Picture 10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9249725"/>
          <a:ext cx="52101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1050</xdr:row>
      <xdr:rowOff>28575</xdr:rowOff>
    </xdr:from>
    <xdr:to>
      <xdr:col>16</xdr:col>
      <xdr:colOff>323850</xdr:colOff>
      <xdr:row>1053</xdr:row>
      <xdr:rowOff>47625</xdr:rowOff>
    </xdr:to>
    <xdr:pic>
      <xdr:nvPicPr>
        <xdr:cNvPr id="29" name="Picture 10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0059350"/>
          <a:ext cx="5448300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1070</xdr:row>
      <xdr:rowOff>28575</xdr:rowOff>
    </xdr:from>
    <xdr:to>
      <xdr:col>12</xdr:col>
      <xdr:colOff>342900</xdr:colOff>
      <xdr:row>1073</xdr:row>
      <xdr:rowOff>47625</xdr:rowOff>
    </xdr:to>
    <xdr:pic>
      <xdr:nvPicPr>
        <xdr:cNvPr id="30" name="Picture 106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3297850"/>
          <a:ext cx="429577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19</xdr:col>
      <xdr:colOff>0</xdr:colOff>
      <xdr:row>1053</xdr:row>
      <xdr:rowOff>28575</xdr:rowOff>
    </xdr:from>
    <xdr:to>
      <xdr:col>32</xdr:col>
      <xdr:colOff>352425</xdr:colOff>
      <xdr:row>1056</xdr:row>
      <xdr:rowOff>28575</xdr:rowOff>
    </xdr:to>
    <xdr:pic>
      <xdr:nvPicPr>
        <xdr:cNvPr id="31" name="Picture 116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170545125"/>
          <a:ext cx="590550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21</xdr:col>
      <xdr:colOff>19050</xdr:colOff>
      <xdr:row>1022</xdr:row>
      <xdr:rowOff>47625</xdr:rowOff>
    </xdr:from>
    <xdr:to>
      <xdr:col>32</xdr:col>
      <xdr:colOff>219075</xdr:colOff>
      <xdr:row>1024</xdr:row>
      <xdr:rowOff>114300</xdr:rowOff>
    </xdr:to>
    <xdr:pic>
      <xdr:nvPicPr>
        <xdr:cNvPr id="32" name="Picture 120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165544500"/>
          <a:ext cx="47720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1017</xdr:row>
      <xdr:rowOff>19050</xdr:rowOff>
    </xdr:from>
    <xdr:to>
      <xdr:col>36</xdr:col>
      <xdr:colOff>142875</xdr:colOff>
      <xdr:row>1020</xdr:row>
      <xdr:rowOff>19050</xdr:rowOff>
    </xdr:to>
    <xdr:pic>
      <xdr:nvPicPr>
        <xdr:cNvPr id="33" name="Picture 148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4706300"/>
          <a:ext cx="24288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1014</xdr:row>
      <xdr:rowOff>0</xdr:rowOff>
    </xdr:from>
    <xdr:to>
      <xdr:col>36</xdr:col>
      <xdr:colOff>581025</xdr:colOff>
      <xdr:row>1017</xdr:row>
      <xdr:rowOff>0</xdr:rowOff>
    </xdr:to>
    <xdr:pic>
      <xdr:nvPicPr>
        <xdr:cNvPr id="34" name="Picture 150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4201475"/>
          <a:ext cx="286702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1020</xdr:row>
      <xdr:rowOff>38100</xdr:rowOff>
    </xdr:from>
    <xdr:to>
      <xdr:col>35</xdr:col>
      <xdr:colOff>114300</xdr:colOff>
      <xdr:row>1023</xdr:row>
      <xdr:rowOff>38100</xdr:rowOff>
    </xdr:to>
    <xdr:pic>
      <xdr:nvPicPr>
        <xdr:cNvPr id="35" name="Picture 151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5211125"/>
          <a:ext cx="163830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1023</xdr:row>
      <xdr:rowOff>57150</xdr:rowOff>
    </xdr:from>
    <xdr:to>
      <xdr:col>36</xdr:col>
      <xdr:colOff>47625</xdr:colOff>
      <xdr:row>1026</xdr:row>
      <xdr:rowOff>57150</xdr:rowOff>
    </xdr:to>
    <xdr:pic>
      <xdr:nvPicPr>
        <xdr:cNvPr id="36" name="Picture 153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5715950"/>
          <a:ext cx="233362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19</xdr:col>
      <xdr:colOff>0</xdr:colOff>
      <xdr:row>1048</xdr:row>
      <xdr:rowOff>28575</xdr:rowOff>
    </xdr:from>
    <xdr:to>
      <xdr:col>34</xdr:col>
      <xdr:colOff>295275</xdr:colOff>
      <xdr:row>1051</xdr:row>
      <xdr:rowOff>76200</xdr:rowOff>
    </xdr:to>
    <xdr:pic>
      <xdr:nvPicPr>
        <xdr:cNvPr id="37" name="Picture 209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169735500"/>
          <a:ext cx="73723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984250</xdr:colOff>
      <xdr:row>4</xdr:row>
      <xdr:rowOff>152400</xdr:rowOff>
    </xdr:to>
    <xdr:pic>
      <xdr:nvPicPr>
        <xdr:cNvPr id="2604352" name="Picture 8" descr="logoplasci">
          <a:extLst>
            <a:ext uri="{FF2B5EF4-FFF2-40B4-BE49-F238E27FC236}">
              <a16:creationId xmlns:a16="http://schemas.microsoft.com/office/drawing/2014/main" id="{00000000-0008-0000-0500-000040BD2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165100"/>
          <a:ext cx="984250" cy="635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450850</xdr:colOff>
      <xdr:row>0</xdr:row>
      <xdr:rowOff>120650</xdr:rowOff>
    </xdr:from>
    <xdr:to>
      <xdr:col>12</xdr:col>
      <xdr:colOff>450850</xdr:colOff>
      <xdr:row>17</xdr:row>
      <xdr:rowOff>25400</xdr:rowOff>
    </xdr:to>
    <xdr:graphicFrame macro="">
      <xdr:nvGraphicFramePr>
        <xdr:cNvPr id="2604353" name="Graphique 2">
          <a:extLst>
            <a:ext uri="{FF2B5EF4-FFF2-40B4-BE49-F238E27FC236}">
              <a16:creationId xmlns:a16="http://schemas.microsoft.com/office/drawing/2014/main" id="{00000000-0008-0000-0500-000041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450850</xdr:colOff>
      <xdr:row>17</xdr:row>
      <xdr:rowOff>25400</xdr:rowOff>
    </xdr:from>
    <xdr:to>
      <xdr:col>12</xdr:col>
      <xdr:colOff>450850</xdr:colOff>
      <xdr:row>34</xdr:row>
      <xdr:rowOff>19050</xdr:rowOff>
    </xdr:to>
    <xdr:graphicFrame macro="">
      <xdr:nvGraphicFramePr>
        <xdr:cNvPr id="2604354" name="Graphique 2">
          <a:extLst>
            <a:ext uri="{FF2B5EF4-FFF2-40B4-BE49-F238E27FC236}">
              <a16:creationId xmlns:a16="http://schemas.microsoft.com/office/drawing/2014/main" id="{00000000-0008-0000-0500-000042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17</xdr:row>
      <xdr:rowOff>25400</xdr:rowOff>
    </xdr:from>
    <xdr:to>
      <xdr:col>6</xdr:col>
      <xdr:colOff>450850</xdr:colOff>
      <xdr:row>34</xdr:row>
      <xdr:rowOff>19050</xdr:rowOff>
    </xdr:to>
    <xdr:graphicFrame macro="">
      <xdr:nvGraphicFramePr>
        <xdr:cNvPr id="2604355" name="Graphique 2">
          <a:extLst>
            <a:ext uri="{FF2B5EF4-FFF2-40B4-BE49-F238E27FC236}">
              <a16:creationId xmlns:a16="http://schemas.microsoft.com/office/drawing/2014/main" id="{00000000-0008-0000-0500-000043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638175</xdr:colOff>
          <xdr:row>9</xdr:row>
          <xdr:rowOff>9525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2604063" name="Spinner 31" hidden="1">
              <a:extLst>
                <a:ext uri="{63B3BB69-23CF-44E3-9099-C40C66FF867C}">
                  <a14:compatExt spid="_x0000_s2604063"/>
                </a:ext>
                <a:ext uri="{FF2B5EF4-FFF2-40B4-BE49-F238E27FC236}">
                  <a16:creationId xmlns:a16="http://schemas.microsoft.com/office/drawing/2014/main" id="{00000000-0008-0000-0500-00001FBC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8</xdr:col>
      <xdr:colOff>323850</xdr:colOff>
      <xdr:row>68</xdr:row>
      <xdr:rowOff>19050</xdr:rowOff>
    </xdr:from>
    <xdr:to>
      <xdr:col>12</xdr:col>
      <xdr:colOff>752475</xdr:colOff>
      <xdr:row>85</xdr:row>
      <xdr:rowOff>9525</xdr:rowOff>
    </xdr:to>
    <xdr:sp macro="" textlink="">
      <xdr:nvSpPr>
        <xdr:cNvPr id="2604101" name="Object 69" hidden="1">
          <a:extLst>
            <a:ext uri="{63B3BB69-23CF-44E3-9099-C40C66FF867C}">
              <a14:compatExt xmlns:a14="http://schemas.microsoft.com/office/drawing/2010/main" spid="_x0000_s2604101"/>
            </a:ext>
            <a:ext uri="{FF2B5EF4-FFF2-40B4-BE49-F238E27FC236}">
              <a16:creationId xmlns:a16="http://schemas.microsoft.com/office/drawing/2014/main" id="{00000000-0008-0000-0500-000045BC27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638175</xdr:colOff>
          <xdr:row>10</xdr:row>
          <xdr:rowOff>9525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2604202" name="Spinner 170" hidden="1">
              <a:extLst>
                <a:ext uri="{63B3BB69-23CF-44E3-9099-C40C66FF867C}">
                  <a14:compatExt spid="_x0000_s2604202"/>
                </a:ext>
                <a:ext uri="{FF2B5EF4-FFF2-40B4-BE49-F238E27FC236}">
                  <a16:creationId xmlns:a16="http://schemas.microsoft.com/office/drawing/2014/main" id="{00000000-0008-0000-0500-0000AABC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8</xdr:col>
      <xdr:colOff>323850</xdr:colOff>
      <xdr:row>68</xdr:row>
      <xdr:rowOff>19050</xdr:rowOff>
    </xdr:from>
    <xdr:to>
      <xdr:col>12</xdr:col>
      <xdr:colOff>752475</xdr:colOff>
      <xdr:row>85</xdr:row>
      <xdr:rowOff>9525</xdr:rowOff>
    </xdr:to>
    <xdr:pic>
      <xdr:nvPicPr>
        <xdr:cNvPr id="2" name="Picture 69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4575" y="11115675"/>
          <a:ext cx="3476625" cy="2743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33</xdr:row>
      <xdr:rowOff>25400</xdr:rowOff>
    </xdr:from>
    <xdr:to>
      <xdr:col>2</xdr:col>
      <xdr:colOff>12700</xdr:colOff>
      <xdr:row>44</xdr:row>
      <xdr:rowOff>19050</xdr:rowOff>
    </xdr:to>
    <xdr:pic>
      <xdr:nvPicPr>
        <xdr:cNvPr id="5938" name="Image 1">
          <a:extLst>
            <a:ext uri="{FF2B5EF4-FFF2-40B4-BE49-F238E27FC236}">
              <a16:creationId xmlns:a16="http://schemas.microsoft.com/office/drawing/2014/main" id="{00000000-0008-0000-0600-000032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850" y="5295900"/>
          <a:ext cx="1231900" cy="1739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1123950</xdr:colOff>
      <xdr:row>53</xdr:row>
      <xdr:rowOff>44450</xdr:rowOff>
    </xdr:from>
    <xdr:to>
      <xdr:col>10</xdr:col>
      <xdr:colOff>609600</xdr:colOff>
      <xdr:row>81</xdr:row>
      <xdr:rowOff>25400</xdr:rowOff>
    </xdr:to>
    <xdr:pic>
      <xdr:nvPicPr>
        <xdr:cNvPr id="5939" name="Image 2">
          <a:extLst>
            <a:ext uri="{FF2B5EF4-FFF2-40B4-BE49-F238E27FC236}">
              <a16:creationId xmlns:a16="http://schemas.microsoft.com/office/drawing/2014/main" id="{00000000-0008-0000-0600-000033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76350" y="8331200"/>
          <a:ext cx="7099300" cy="442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984250</xdr:colOff>
      <xdr:row>4</xdr:row>
      <xdr:rowOff>152400</xdr:rowOff>
    </xdr:to>
    <xdr:pic>
      <xdr:nvPicPr>
        <xdr:cNvPr id="5940" name="Picture 8" descr="logoplasci">
          <a:extLst>
            <a:ext uri="{FF2B5EF4-FFF2-40B4-BE49-F238E27FC236}">
              <a16:creationId xmlns:a16="http://schemas.microsoft.com/office/drawing/2014/main" id="{00000000-0008-0000-0600-00003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2400" y="158750"/>
          <a:ext cx="9842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80</xdr:row>
      <xdr:rowOff>12700</xdr:rowOff>
    </xdr:from>
    <xdr:to>
      <xdr:col>8</xdr:col>
      <xdr:colOff>0</xdr:colOff>
      <xdr:row>102</xdr:row>
      <xdr:rowOff>107950</xdr:rowOff>
    </xdr:to>
    <xdr:grpSp>
      <xdr:nvGrpSpPr>
        <xdr:cNvPr id="5501606" name="Group 232">
          <a:extLst>
            <a:ext uri="{FF2B5EF4-FFF2-40B4-BE49-F238E27FC236}">
              <a16:creationId xmlns:a16="http://schemas.microsoft.com/office/drawing/2014/main" id="{00000000-0008-0000-0700-0000A6F25300}"/>
            </a:ext>
          </a:extLst>
        </xdr:cNvPr>
        <xdr:cNvGrpSpPr>
          <a:grpSpLocks/>
        </xdr:cNvGrpSpPr>
      </xdr:nvGrpSpPr>
      <xdr:grpSpPr bwMode="auto">
        <a:xfrm>
          <a:off x="4108450" y="13214350"/>
          <a:ext cx="2139950" cy="3752850"/>
          <a:chOff x="3421" y="5379"/>
          <a:chExt cx="2289" cy="5759"/>
        </a:xfrm>
      </xdr:grpSpPr>
      <xdr:grpSp>
        <xdr:nvGrpSpPr>
          <xdr:cNvPr id="5501710" name="Group 233">
            <a:extLst>
              <a:ext uri="{FF2B5EF4-FFF2-40B4-BE49-F238E27FC236}">
                <a16:creationId xmlns:a16="http://schemas.microsoft.com/office/drawing/2014/main" id="{00000000-0008-0000-0700-00000EF35300}"/>
              </a:ext>
            </a:extLst>
          </xdr:cNvPr>
          <xdr:cNvGrpSpPr>
            <a:grpSpLocks/>
          </xdr:cNvGrpSpPr>
        </xdr:nvGrpSpPr>
        <xdr:grpSpPr bwMode="auto">
          <a:xfrm>
            <a:off x="4047" y="5379"/>
            <a:ext cx="515" cy="4096"/>
            <a:chOff x="4047" y="5379"/>
            <a:chExt cx="515" cy="4096"/>
          </a:xfrm>
        </xdr:grpSpPr>
        <xdr:sp macro="" textlink="">
          <xdr:nvSpPr>
            <xdr:cNvPr id="5501728" name="Arc 234">
              <a:extLst>
                <a:ext uri="{FF2B5EF4-FFF2-40B4-BE49-F238E27FC236}">
                  <a16:creationId xmlns:a16="http://schemas.microsoft.com/office/drawing/2014/main" id="{00000000-0008-0000-0700-000020F353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</xdr:spPr>
        </xdr:sp>
        <xdr:grpSp>
          <xdr:nvGrpSpPr>
            <xdr:cNvPr id="5501729" name="Group 235">
              <a:extLst>
                <a:ext uri="{FF2B5EF4-FFF2-40B4-BE49-F238E27FC236}">
                  <a16:creationId xmlns:a16="http://schemas.microsoft.com/office/drawing/2014/main" id="{00000000-0008-0000-0700-000021F353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501730" name="Line 236">
                <a:extLst>
                  <a:ext uri="{FF2B5EF4-FFF2-40B4-BE49-F238E27FC236}">
                    <a16:creationId xmlns:a16="http://schemas.microsoft.com/office/drawing/2014/main" id="{00000000-0008-0000-0700-000022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31" name="Line 237">
                <a:extLst>
                  <a:ext uri="{FF2B5EF4-FFF2-40B4-BE49-F238E27FC236}">
                    <a16:creationId xmlns:a16="http://schemas.microsoft.com/office/drawing/2014/main" id="{00000000-0008-0000-0700-000023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32" name="Line 238">
                <a:extLst>
                  <a:ext uri="{FF2B5EF4-FFF2-40B4-BE49-F238E27FC236}">
                    <a16:creationId xmlns:a16="http://schemas.microsoft.com/office/drawing/2014/main" id="{00000000-0008-0000-0700-000024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33" name="Line 239">
                <a:extLst>
                  <a:ext uri="{FF2B5EF4-FFF2-40B4-BE49-F238E27FC236}">
                    <a16:creationId xmlns:a16="http://schemas.microsoft.com/office/drawing/2014/main" id="{00000000-0008-0000-0700-000025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34" name="Line 240">
                <a:extLst>
                  <a:ext uri="{FF2B5EF4-FFF2-40B4-BE49-F238E27FC236}">
                    <a16:creationId xmlns:a16="http://schemas.microsoft.com/office/drawing/2014/main" id="{00000000-0008-0000-0700-000026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</xdr:grpSp>
      </xdr:grpSp>
      <xdr:grpSp>
        <xdr:nvGrpSpPr>
          <xdr:cNvPr id="5501711" name="Group 241">
            <a:extLst>
              <a:ext uri="{FF2B5EF4-FFF2-40B4-BE49-F238E27FC236}">
                <a16:creationId xmlns:a16="http://schemas.microsoft.com/office/drawing/2014/main" id="{00000000-0008-0000-0700-00000FF35300}"/>
              </a:ext>
            </a:extLst>
          </xdr:cNvPr>
          <xdr:cNvGrpSpPr>
            <a:grpSpLocks/>
          </xdr:cNvGrpSpPr>
        </xdr:nvGrpSpPr>
        <xdr:grpSpPr bwMode="auto">
          <a:xfrm flipH="1">
            <a:off x="4560" y="5379"/>
            <a:ext cx="515" cy="4096"/>
            <a:chOff x="4047" y="5379"/>
            <a:chExt cx="515" cy="4096"/>
          </a:xfrm>
        </xdr:grpSpPr>
        <xdr:sp macro="" textlink="">
          <xdr:nvSpPr>
            <xdr:cNvPr id="5501721" name="Arc 242">
              <a:extLst>
                <a:ext uri="{FF2B5EF4-FFF2-40B4-BE49-F238E27FC236}">
                  <a16:creationId xmlns:a16="http://schemas.microsoft.com/office/drawing/2014/main" id="{00000000-0008-0000-0700-000019F353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</xdr:spPr>
        </xdr:sp>
        <xdr:grpSp>
          <xdr:nvGrpSpPr>
            <xdr:cNvPr id="5501722" name="Group 243">
              <a:extLst>
                <a:ext uri="{FF2B5EF4-FFF2-40B4-BE49-F238E27FC236}">
                  <a16:creationId xmlns:a16="http://schemas.microsoft.com/office/drawing/2014/main" id="{00000000-0008-0000-0700-00001AF353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501723" name="Line 244">
                <a:extLst>
                  <a:ext uri="{FF2B5EF4-FFF2-40B4-BE49-F238E27FC236}">
                    <a16:creationId xmlns:a16="http://schemas.microsoft.com/office/drawing/2014/main" id="{00000000-0008-0000-0700-00001B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24" name="Line 245">
                <a:extLst>
                  <a:ext uri="{FF2B5EF4-FFF2-40B4-BE49-F238E27FC236}">
                    <a16:creationId xmlns:a16="http://schemas.microsoft.com/office/drawing/2014/main" id="{00000000-0008-0000-0700-00001C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25" name="Line 246">
                <a:extLst>
                  <a:ext uri="{FF2B5EF4-FFF2-40B4-BE49-F238E27FC236}">
                    <a16:creationId xmlns:a16="http://schemas.microsoft.com/office/drawing/2014/main" id="{00000000-0008-0000-0700-00001D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26" name="Line 247">
                <a:extLst>
                  <a:ext uri="{FF2B5EF4-FFF2-40B4-BE49-F238E27FC236}">
                    <a16:creationId xmlns:a16="http://schemas.microsoft.com/office/drawing/2014/main" id="{00000000-0008-0000-0700-00001E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27" name="Line 248">
                <a:extLst>
                  <a:ext uri="{FF2B5EF4-FFF2-40B4-BE49-F238E27FC236}">
                    <a16:creationId xmlns:a16="http://schemas.microsoft.com/office/drawing/2014/main" id="{00000000-0008-0000-0700-00001F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</xdr:grpSp>
      </xdr:grpSp>
      <xdr:sp macro="" textlink="">
        <xdr:nvSpPr>
          <xdr:cNvPr id="5501712" name="Line 249">
            <a:extLst>
              <a:ext uri="{FF2B5EF4-FFF2-40B4-BE49-F238E27FC236}">
                <a16:creationId xmlns:a16="http://schemas.microsoft.com/office/drawing/2014/main" id="{00000000-0008-0000-0700-000010F35300}"/>
              </a:ext>
            </a:extLst>
          </xdr:cNvPr>
          <xdr:cNvSpPr>
            <a:spLocks noChangeShapeType="1"/>
          </xdr:cNvSpPr>
        </xdr:nvSpPr>
        <xdr:spPr bwMode="auto">
          <a:xfrm>
            <a:off x="4332" y="9310"/>
            <a:ext cx="2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3" name="Line 250">
            <a:extLst>
              <a:ext uri="{FF2B5EF4-FFF2-40B4-BE49-F238E27FC236}">
                <a16:creationId xmlns:a16="http://schemas.microsoft.com/office/drawing/2014/main" id="{00000000-0008-0000-0700-000011F35300}"/>
              </a:ext>
            </a:extLst>
          </xdr:cNvPr>
          <xdr:cNvSpPr>
            <a:spLocks noChangeShapeType="1"/>
          </xdr:cNvSpPr>
        </xdr:nvSpPr>
        <xdr:spPr bwMode="auto">
          <a:xfrm>
            <a:off x="4790" y="9310"/>
            <a:ext cx="0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4" name="Line 251">
            <a:extLst>
              <a:ext uri="{FF2B5EF4-FFF2-40B4-BE49-F238E27FC236}">
                <a16:creationId xmlns:a16="http://schemas.microsoft.com/office/drawing/2014/main" id="{00000000-0008-0000-0700-000012F35300}"/>
              </a:ext>
            </a:extLst>
          </xdr:cNvPr>
          <xdr:cNvSpPr>
            <a:spLocks noChangeShapeType="1"/>
          </xdr:cNvSpPr>
        </xdr:nvSpPr>
        <xdr:spPr bwMode="auto">
          <a:xfrm>
            <a:off x="4330" y="10629"/>
            <a:ext cx="458" cy="0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5" name="Line 252">
            <a:extLst>
              <a:ext uri="{FF2B5EF4-FFF2-40B4-BE49-F238E27FC236}">
                <a16:creationId xmlns:a16="http://schemas.microsoft.com/office/drawing/2014/main" id="{00000000-0008-0000-0700-000013F353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709" y="10163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6" name="Line 253">
            <a:extLst>
              <a:ext uri="{FF2B5EF4-FFF2-40B4-BE49-F238E27FC236}">
                <a16:creationId xmlns:a16="http://schemas.microsoft.com/office/drawing/2014/main" id="{00000000-0008-0000-0700-000014F35300}"/>
              </a:ext>
            </a:extLst>
          </xdr:cNvPr>
          <xdr:cNvSpPr>
            <a:spLocks noChangeShapeType="1"/>
          </xdr:cNvSpPr>
        </xdr:nvSpPr>
        <xdr:spPr bwMode="auto">
          <a:xfrm>
            <a:off x="4796" y="10419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7" name="Line 254">
            <a:extLst>
              <a:ext uri="{FF2B5EF4-FFF2-40B4-BE49-F238E27FC236}">
                <a16:creationId xmlns:a16="http://schemas.microsoft.com/office/drawing/2014/main" id="{00000000-0008-0000-0700-000015F353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804" y="8797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8" name="Line 255">
            <a:extLst>
              <a:ext uri="{FF2B5EF4-FFF2-40B4-BE49-F238E27FC236}">
                <a16:creationId xmlns:a16="http://schemas.microsoft.com/office/drawing/2014/main" id="{00000000-0008-0000-0700-000016F353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421" y="10178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9" name="Line 256">
            <a:extLst>
              <a:ext uri="{FF2B5EF4-FFF2-40B4-BE49-F238E27FC236}">
                <a16:creationId xmlns:a16="http://schemas.microsoft.com/office/drawing/2014/main" id="{00000000-0008-0000-0700-000017F353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421" y="10426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20" name="Line 257">
            <a:extLst>
              <a:ext uri="{FF2B5EF4-FFF2-40B4-BE49-F238E27FC236}">
                <a16:creationId xmlns:a16="http://schemas.microsoft.com/office/drawing/2014/main" id="{00000000-0008-0000-0700-000018F353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429" y="8804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825500</xdr:colOff>
      <xdr:row>84</xdr:row>
      <xdr:rowOff>101600</xdr:rowOff>
    </xdr:from>
    <xdr:to>
      <xdr:col>6</xdr:col>
      <xdr:colOff>1543050</xdr:colOff>
      <xdr:row>84</xdr:row>
      <xdr:rowOff>101600</xdr:rowOff>
    </xdr:to>
    <xdr:sp macro="" textlink="">
      <xdr:nvSpPr>
        <xdr:cNvPr id="5501607" name="Line 268">
          <a:extLst>
            <a:ext uri="{FF2B5EF4-FFF2-40B4-BE49-F238E27FC236}">
              <a16:creationId xmlns:a16="http://schemas.microsoft.com/office/drawing/2014/main" id="{00000000-0008-0000-0700-0000A7F25300}"/>
            </a:ext>
          </a:extLst>
        </xdr:cNvPr>
        <xdr:cNvSpPr>
          <a:spLocks noChangeShapeType="1"/>
        </xdr:cNvSpPr>
      </xdr:nvSpPr>
      <xdr:spPr bwMode="auto">
        <a:xfrm flipV="1">
          <a:off x="5105400" y="14128750"/>
          <a:ext cx="71755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6</xdr:col>
      <xdr:colOff>152400</xdr:colOff>
      <xdr:row>80</xdr:row>
      <xdr:rowOff>0</xdr:rowOff>
    </xdr:from>
    <xdr:to>
      <xdr:col>8</xdr:col>
      <xdr:colOff>654050</xdr:colOff>
      <xdr:row>80</xdr:row>
      <xdr:rowOff>0</xdr:rowOff>
    </xdr:to>
    <xdr:sp macro="" textlink="">
      <xdr:nvSpPr>
        <xdr:cNvPr id="5501608" name="Line 269">
          <a:extLst>
            <a:ext uri="{FF2B5EF4-FFF2-40B4-BE49-F238E27FC236}">
              <a16:creationId xmlns:a16="http://schemas.microsoft.com/office/drawing/2014/main" id="{00000000-0008-0000-0700-0000A8F25300}"/>
            </a:ext>
          </a:extLst>
        </xdr:cNvPr>
        <xdr:cNvSpPr>
          <a:spLocks noChangeShapeType="1"/>
        </xdr:cNvSpPr>
      </xdr:nvSpPr>
      <xdr:spPr bwMode="auto">
        <a:xfrm flipV="1">
          <a:off x="4432300" y="13354050"/>
          <a:ext cx="26479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228600</xdr:colOff>
      <xdr:row>80</xdr:row>
      <xdr:rowOff>12700</xdr:rowOff>
    </xdr:from>
    <xdr:to>
      <xdr:col>8</xdr:col>
      <xdr:colOff>228600</xdr:colOff>
      <xdr:row>93</xdr:row>
      <xdr:rowOff>82550</xdr:rowOff>
    </xdr:to>
    <xdr:sp macro="" textlink="">
      <xdr:nvSpPr>
        <xdr:cNvPr id="5501609" name="Line 270">
          <a:extLst>
            <a:ext uri="{FF2B5EF4-FFF2-40B4-BE49-F238E27FC236}">
              <a16:creationId xmlns:a16="http://schemas.microsoft.com/office/drawing/2014/main" id="{00000000-0008-0000-0700-0000A9F25300}"/>
            </a:ext>
          </a:extLst>
        </xdr:cNvPr>
        <xdr:cNvSpPr>
          <a:spLocks noChangeShapeType="1"/>
        </xdr:cNvSpPr>
      </xdr:nvSpPr>
      <xdr:spPr bwMode="auto">
        <a:xfrm>
          <a:off x="6838950" y="13366750"/>
          <a:ext cx="0" cy="22098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6</xdr:col>
      <xdr:colOff>139700</xdr:colOff>
      <xdr:row>83</xdr:row>
      <xdr:rowOff>50800</xdr:rowOff>
    </xdr:from>
    <xdr:to>
      <xdr:col>6</xdr:col>
      <xdr:colOff>838200</xdr:colOff>
      <xdr:row>83</xdr:row>
      <xdr:rowOff>50800</xdr:rowOff>
    </xdr:to>
    <xdr:sp macro="" textlink="">
      <xdr:nvSpPr>
        <xdr:cNvPr id="5501610" name="Line 271">
          <a:extLst>
            <a:ext uri="{FF2B5EF4-FFF2-40B4-BE49-F238E27FC236}">
              <a16:creationId xmlns:a16="http://schemas.microsoft.com/office/drawing/2014/main" id="{00000000-0008-0000-0700-0000AAF25300}"/>
            </a:ext>
          </a:extLst>
        </xdr:cNvPr>
        <xdr:cNvSpPr>
          <a:spLocks noChangeShapeType="1"/>
        </xdr:cNvSpPr>
      </xdr:nvSpPr>
      <xdr:spPr bwMode="auto">
        <a:xfrm>
          <a:off x="4419600" y="13912850"/>
          <a:ext cx="6985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152400</xdr:colOff>
      <xdr:row>80</xdr:row>
      <xdr:rowOff>0</xdr:rowOff>
    </xdr:from>
    <xdr:to>
      <xdr:col>6</xdr:col>
      <xdr:colOff>152400</xdr:colOff>
      <xdr:row>83</xdr:row>
      <xdr:rowOff>50800</xdr:rowOff>
    </xdr:to>
    <xdr:sp macro="" textlink="">
      <xdr:nvSpPr>
        <xdr:cNvPr id="5501611" name="Line 272">
          <a:extLst>
            <a:ext uri="{FF2B5EF4-FFF2-40B4-BE49-F238E27FC236}">
              <a16:creationId xmlns:a16="http://schemas.microsoft.com/office/drawing/2014/main" id="{00000000-0008-0000-0700-0000ABF25300}"/>
            </a:ext>
          </a:extLst>
        </xdr:cNvPr>
        <xdr:cNvSpPr>
          <a:spLocks noChangeShapeType="1"/>
        </xdr:cNvSpPr>
      </xdr:nvSpPr>
      <xdr:spPr bwMode="auto">
        <a:xfrm>
          <a:off x="4432300" y="13354050"/>
          <a:ext cx="0" cy="5588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7</xdr:col>
      <xdr:colOff>787400</xdr:colOff>
      <xdr:row>102</xdr:row>
      <xdr:rowOff>95250</xdr:rowOff>
    </xdr:from>
    <xdr:to>
      <xdr:col>8</xdr:col>
      <xdr:colOff>552450</xdr:colOff>
      <xdr:row>102</xdr:row>
      <xdr:rowOff>95250</xdr:rowOff>
    </xdr:to>
    <xdr:sp macro="" textlink="">
      <xdr:nvSpPr>
        <xdr:cNvPr id="5501612" name="Line 277">
          <a:extLst>
            <a:ext uri="{FF2B5EF4-FFF2-40B4-BE49-F238E27FC236}">
              <a16:creationId xmlns:a16="http://schemas.microsoft.com/office/drawing/2014/main" id="{00000000-0008-0000-0700-0000ACF25300}"/>
            </a:ext>
          </a:extLst>
        </xdr:cNvPr>
        <xdr:cNvSpPr>
          <a:spLocks noChangeShapeType="1"/>
        </xdr:cNvSpPr>
      </xdr:nvSpPr>
      <xdr:spPr bwMode="auto">
        <a:xfrm>
          <a:off x="6610350" y="17068800"/>
          <a:ext cx="4699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12700</xdr:colOff>
      <xdr:row>98</xdr:row>
      <xdr:rowOff>133350</xdr:rowOff>
    </xdr:from>
    <xdr:to>
      <xdr:col>8</xdr:col>
      <xdr:colOff>469900</xdr:colOff>
      <xdr:row>98</xdr:row>
      <xdr:rowOff>133350</xdr:rowOff>
    </xdr:to>
    <xdr:sp macro="" textlink="">
      <xdr:nvSpPr>
        <xdr:cNvPr id="5501613" name="Line 278">
          <a:extLst>
            <a:ext uri="{FF2B5EF4-FFF2-40B4-BE49-F238E27FC236}">
              <a16:creationId xmlns:a16="http://schemas.microsoft.com/office/drawing/2014/main" id="{00000000-0008-0000-0700-0000ADF25300}"/>
            </a:ext>
          </a:extLst>
        </xdr:cNvPr>
        <xdr:cNvSpPr>
          <a:spLocks noChangeShapeType="1"/>
        </xdr:cNvSpPr>
      </xdr:nvSpPr>
      <xdr:spPr bwMode="auto">
        <a:xfrm>
          <a:off x="6623050" y="16440150"/>
          <a:ext cx="4572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476250</xdr:colOff>
      <xdr:row>93</xdr:row>
      <xdr:rowOff>76200</xdr:rowOff>
    </xdr:from>
    <xdr:to>
      <xdr:col>8</xdr:col>
      <xdr:colOff>552450</xdr:colOff>
      <xdr:row>93</xdr:row>
      <xdr:rowOff>76200</xdr:rowOff>
    </xdr:to>
    <xdr:sp macro="" textlink="">
      <xdr:nvSpPr>
        <xdr:cNvPr id="5501614" name="Line 279">
          <a:extLst>
            <a:ext uri="{FF2B5EF4-FFF2-40B4-BE49-F238E27FC236}">
              <a16:creationId xmlns:a16="http://schemas.microsoft.com/office/drawing/2014/main" id="{00000000-0008-0000-0700-0000AEF25300}"/>
            </a:ext>
          </a:extLst>
        </xdr:cNvPr>
        <xdr:cNvSpPr>
          <a:spLocks noChangeShapeType="1"/>
        </xdr:cNvSpPr>
      </xdr:nvSpPr>
      <xdr:spPr bwMode="auto">
        <a:xfrm flipV="1">
          <a:off x="4756150" y="15570200"/>
          <a:ext cx="23241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476250</xdr:colOff>
      <xdr:row>99</xdr:row>
      <xdr:rowOff>152400</xdr:rowOff>
    </xdr:from>
    <xdr:to>
      <xdr:col>6</xdr:col>
      <xdr:colOff>1428750</xdr:colOff>
      <xdr:row>99</xdr:row>
      <xdr:rowOff>152400</xdr:rowOff>
    </xdr:to>
    <xdr:sp macro="" textlink="">
      <xdr:nvSpPr>
        <xdr:cNvPr id="5501615" name="Line 280">
          <a:extLst>
            <a:ext uri="{FF2B5EF4-FFF2-40B4-BE49-F238E27FC236}">
              <a16:creationId xmlns:a16="http://schemas.microsoft.com/office/drawing/2014/main" id="{00000000-0008-0000-0700-0000AFF25300}"/>
            </a:ext>
          </a:extLst>
        </xdr:cNvPr>
        <xdr:cNvSpPr>
          <a:spLocks noChangeShapeType="1"/>
        </xdr:cNvSpPr>
      </xdr:nvSpPr>
      <xdr:spPr bwMode="auto">
        <a:xfrm flipV="1">
          <a:off x="4756150" y="16617950"/>
          <a:ext cx="9525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476250</xdr:colOff>
      <xdr:row>93</xdr:row>
      <xdr:rowOff>76200</xdr:rowOff>
    </xdr:from>
    <xdr:to>
      <xdr:col>6</xdr:col>
      <xdr:colOff>476250</xdr:colOff>
      <xdr:row>100</xdr:row>
      <xdr:rowOff>0</xdr:rowOff>
    </xdr:to>
    <xdr:sp macro="" textlink="">
      <xdr:nvSpPr>
        <xdr:cNvPr id="5501616" name="Line 281">
          <a:extLst>
            <a:ext uri="{FF2B5EF4-FFF2-40B4-BE49-F238E27FC236}">
              <a16:creationId xmlns:a16="http://schemas.microsoft.com/office/drawing/2014/main" id="{00000000-0008-0000-0700-0000B0F25300}"/>
            </a:ext>
          </a:extLst>
        </xdr:cNvPr>
        <xdr:cNvSpPr>
          <a:spLocks noChangeShapeType="1"/>
        </xdr:cNvSpPr>
      </xdr:nvSpPr>
      <xdr:spPr bwMode="auto">
        <a:xfrm>
          <a:off x="4756150" y="15570200"/>
          <a:ext cx="0" cy="10668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8</xdr:col>
      <xdr:colOff>488950</xdr:colOff>
      <xdr:row>98</xdr:row>
      <xdr:rowOff>133350</xdr:rowOff>
    </xdr:from>
    <xdr:to>
      <xdr:col>8</xdr:col>
      <xdr:colOff>488950</xdr:colOff>
      <xdr:row>102</xdr:row>
      <xdr:rowOff>95250</xdr:rowOff>
    </xdr:to>
    <xdr:sp macro="" textlink="">
      <xdr:nvSpPr>
        <xdr:cNvPr id="5501617" name="Line 282">
          <a:extLst>
            <a:ext uri="{FF2B5EF4-FFF2-40B4-BE49-F238E27FC236}">
              <a16:creationId xmlns:a16="http://schemas.microsoft.com/office/drawing/2014/main" id="{00000000-0008-0000-0700-0000B1F25300}"/>
            </a:ext>
          </a:extLst>
        </xdr:cNvPr>
        <xdr:cNvSpPr>
          <a:spLocks noChangeShapeType="1"/>
        </xdr:cNvSpPr>
      </xdr:nvSpPr>
      <xdr:spPr bwMode="auto">
        <a:xfrm>
          <a:off x="7080250" y="16440150"/>
          <a:ext cx="0" cy="6286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8</xdr:col>
      <xdr:colOff>488950</xdr:colOff>
      <xdr:row>93</xdr:row>
      <xdr:rowOff>63500</xdr:rowOff>
    </xdr:from>
    <xdr:to>
      <xdr:col>8</xdr:col>
      <xdr:colOff>488950</xdr:colOff>
      <xdr:row>98</xdr:row>
      <xdr:rowOff>133350</xdr:rowOff>
    </xdr:to>
    <xdr:sp macro="" textlink="">
      <xdr:nvSpPr>
        <xdr:cNvPr id="5501618" name="Line 283">
          <a:extLst>
            <a:ext uri="{FF2B5EF4-FFF2-40B4-BE49-F238E27FC236}">
              <a16:creationId xmlns:a16="http://schemas.microsoft.com/office/drawing/2014/main" id="{00000000-0008-0000-0700-0000B2F25300}"/>
            </a:ext>
          </a:extLst>
        </xdr:cNvPr>
        <xdr:cNvSpPr>
          <a:spLocks noChangeShapeType="1"/>
        </xdr:cNvSpPr>
      </xdr:nvSpPr>
      <xdr:spPr bwMode="auto">
        <a:xfrm>
          <a:off x="7080250" y="15557500"/>
          <a:ext cx="0" cy="8826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8</xdr:col>
      <xdr:colOff>0</xdr:colOff>
      <xdr:row>102</xdr:row>
      <xdr:rowOff>95250</xdr:rowOff>
    </xdr:from>
    <xdr:to>
      <xdr:col>8</xdr:col>
      <xdr:colOff>0</xdr:colOff>
      <xdr:row>103</xdr:row>
      <xdr:rowOff>0</xdr:rowOff>
    </xdr:to>
    <xdr:sp macro="" textlink="">
      <xdr:nvSpPr>
        <xdr:cNvPr id="5501619" name="Line 284">
          <a:extLst>
            <a:ext uri="{FF2B5EF4-FFF2-40B4-BE49-F238E27FC236}">
              <a16:creationId xmlns:a16="http://schemas.microsoft.com/office/drawing/2014/main" id="{00000000-0008-0000-0700-0000B3F25300}"/>
            </a:ext>
          </a:extLst>
        </xdr:cNvPr>
        <xdr:cNvSpPr>
          <a:spLocks noChangeShapeType="1"/>
        </xdr:cNvSpPr>
      </xdr:nvSpPr>
      <xdr:spPr bwMode="auto">
        <a:xfrm flipV="1">
          <a:off x="6610350" y="17068800"/>
          <a:ext cx="0" cy="6985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1428750</xdr:colOff>
      <xdr:row>99</xdr:row>
      <xdr:rowOff>139700</xdr:rowOff>
    </xdr:from>
    <xdr:to>
      <xdr:col>6</xdr:col>
      <xdr:colOff>1428750</xdr:colOff>
      <xdr:row>103</xdr:row>
      <xdr:rowOff>0</xdr:rowOff>
    </xdr:to>
    <xdr:sp macro="" textlink="">
      <xdr:nvSpPr>
        <xdr:cNvPr id="5501620" name="Line 285">
          <a:extLst>
            <a:ext uri="{FF2B5EF4-FFF2-40B4-BE49-F238E27FC236}">
              <a16:creationId xmlns:a16="http://schemas.microsoft.com/office/drawing/2014/main" id="{00000000-0008-0000-0700-0000B4F25300}"/>
            </a:ext>
          </a:extLst>
        </xdr:cNvPr>
        <xdr:cNvSpPr>
          <a:spLocks noChangeShapeType="1"/>
        </xdr:cNvSpPr>
      </xdr:nvSpPr>
      <xdr:spPr bwMode="auto">
        <a:xfrm flipH="1" flipV="1">
          <a:off x="5708650" y="16605250"/>
          <a:ext cx="0" cy="5334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1422400</xdr:colOff>
      <xdr:row>103</xdr:row>
      <xdr:rowOff>0</xdr:rowOff>
    </xdr:from>
    <xdr:to>
      <xdr:col>8</xdr:col>
      <xdr:colOff>0</xdr:colOff>
      <xdr:row>103</xdr:row>
      <xdr:rowOff>0</xdr:rowOff>
    </xdr:to>
    <xdr:sp macro="" textlink="">
      <xdr:nvSpPr>
        <xdr:cNvPr id="5501621" name="Line 286">
          <a:extLst>
            <a:ext uri="{FF2B5EF4-FFF2-40B4-BE49-F238E27FC236}">
              <a16:creationId xmlns:a16="http://schemas.microsoft.com/office/drawing/2014/main" id="{00000000-0008-0000-0700-0000B5F25300}"/>
            </a:ext>
          </a:extLst>
        </xdr:cNvPr>
        <xdr:cNvSpPr>
          <a:spLocks noChangeShapeType="1"/>
        </xdr:cNvSpPr>
      </xdr:nvSpPr>
      <xdr:spPr bwMode="auto">
        <a:xfrm>
          <a:off x="5702300" y="17138650"/>
          <a:ext cx="90805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6</xdr:col>
      <xdr:colOff>685800</xdr:colOff>
      <xdr:row>89</xdr:row>
      <xdr:rowOff>69850</xdr:rowOff>
    </xdr:from>
    <xdr:to>
      <xdr:col>6</xdr:col>
      <xdr:colOff>1695450</xdr:colOff>
      <xdr:row>89</xdr:row>
      <xdr:rowOff>69850</xdr:rowOff>
    </xdr:to>
    <xdr:sp macro="" textlink="">
      <xdr:nvSpPr>
        <xdr:cNvPr id="5501622" name="Line 287">
          <a:extLst>
            <a:ext uri="{FF2B5EF4-FFF2-40B4-BE49-F238E27FC236}">
              <a16:creationId xmlns:a16="http://schemas.microsoft.com/office/drawing/2014/main" id="{00000000-0008-0000-0700-0000B6F25300}"/>
            </a:ext>
          </a:extLst>
        </xdr:cNvPr>
        <xdr:cNvSpPr>
          <a:spLocks noChangeShapeType="1"/>
        </xdr:cNvSpPr>
      </xdr:nvSpPr>
      <xdr:spPr bwMode="auto">
        <a:xfrm>
          <a:off x="4965700" y="14916150"/>
          <a:ext cx="100965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6</xdr:col>
      <xdr:colOff>990600</xdr:colOff>
      <xdr:row>93</xdr:row>
      <xdr:rowOff>25400</xdr:rowOff>
    </xdr:from>
    <xdr:to>
      <xdr:col>6</xdr:col>
      <xdr:colOff>1397000</xdr:colOff>
      <xdr:row>93</xdr:row>
      <xdr:rowOff>25400</xdr:rowOff>
    </xdr:to>
    <xdr:sp macro="" textlink="">
      <xdr:nvSpPr>
        <xdr:cNvPr id="5501623" name="Line 288">
          <a:extLst>
            <a:ext uri="{FF2B5EF4-FFF2-40B4-BE49-F238E27FC236}">
              <a16:creationId xmlns:a16="http://schemas.microsoft.com/office/drawing/2014/main" id="{00000000-0008-0000-0700-0000B7F25300}"/>
            </a:ext>
          </a:extLst>
        </xdr:cNvPr>
        <xdr:cNvSpPr>
          <a:spLocks noChangeShapeType="1"/>
        </xdr:cNvSpPr>
      </xdr:nvSpPr>
      <xdr:spPr bwMode="auto">
        <a:xfrm>
          <a:off x="5270500" y="15519400"/>
          <a:ext cx="40640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6</xdr:col>
      <xdr:colOff>850900</xdr:colOff>
      <xdr:row>87</xdr:row>
      <xdr:rowOff>57150</xdr:rowOff>
    </xdr:from>
    <xdr:to>
      <xdr:col>8</xdr:col>
      <xdr:colOff>44450</xdr:colOff>
      <xdr:row>87</xdr:row>
      <xdr:rowOff>57150</xdr:rowOff>
    </xdr:to>
    <xdr:sp macro="" textlink="">
      <xdr:nvSpPr>
        <xdr:cNvPr id="5501624" name="Line 289">
          <a:extLst>
            <a:ext uri="{FF2B5EF4-FFF2-40B4-BE49-F238E27FC236}">
              <a16:creationId xmlns:a16="http://schemas.microsoft.com/office/drawing/2014/main" id="{00000000-0008-0000-0700-0000B8F25300}"/>
            </a:ext>
          </a:extLst>
        </xdr:cNvPr>
        <xdr:cNvSpPr>
          <a:spLocks noChangeShapeType="1"/>
        </xdr:cNvSpPr>
      </xdr:nvSpPr>
      <xdr:spPr bwMode="auto">
        <a:xfrm>
          <a:off x="5130800" y="14579600"/>
          <a:ext cx="15240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698500</xdr:colOff>
      <xdr:row>88</xdr:row>
      <xdr:rowOff>57150</xdr:rowOff>
    </xdr:from>
    <xdr:to>
      <xdr:col>8</xdr:col>
      <xdr:colOff>57150</xdr:colOff>
      <xdr:row>88</xdr:row>
      <xdr:rowOff>57150</xdr:rowOff>
    </xdr:to>
    <xdr:sp macro="" textlink="">
      <xdr:nvSpPr>
        <xdr:cNvPr id="5501625" name="Line 290">
          <a:extLst>
            <a:ext uri="{FF2B5EF4-FFF2-40B4-BE49-F238E27FC236}">
              <a16:creationId xmlns:a16="http://schemas.microsoft.com/office/drawing/2014/main" id="{00000000-0008-0000-0700-0000B9F25300}"/>
            </a:ext>
          </a:extLst>
        </xdr:cNvPr>
        <xdr:cNvSpPr>
          <a:spLocks noChangeShapeType="1"/>
        </xdr:cNvSpPr>
      </xdr:nvSpPr>
      <xdr:spPr bwMode="auto">
        <a:xfrm>
          <a:off x="4978400" y="14738350"/>
          <a:ext cx="16891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698500</xdr:colOff>
      <xdr:row>90</xdr:row>
      <xdr:rowOff>139700</xdr:rowOff>
    </xdr:from>
    <xdr:to>
      <xdr:col>8</xdr:col>
      <xdr:colOff>69850</xdr:colOff>
      <xdr:row>90</xdr:row>
      <xdr:rowOff>139700</xdr:rowOff>
    </xdr:to>
    <xdr:sp macro="" textlink="">
      <xdr:nvSpPr>
        <xdr:cNvPr id="5501626" name="Line 291">
          <a:extLst>
            <a:ext uri="{FF2B5EF4-FFF2-40B4-BE49-F238E27FC236}">
              <a16:creationId xmlns:a16="http://schemas.microsoft.com/office/drawing/2014/main" id="{00000000-0008-0000-0700-0000BAF25300}"/>
            </a:ext>
          </a:extLst>
        </xdr:cNvPr>
        <xdr:cNvSpPr>
          <a:spLocks noChangeShapeType="1"/>
        </xdr:cNvSpPr>
      </xdr:nvSpPr>
      <xdr:spPr bwMode="auto">
        <a:xfrm>
          <a:off x="4978400" y="15157450"/>
          <a:ext cx="17018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977900</xdr:colOff>
      <xdr:row>92</xdr:row>
      <xdr:rowOff>44450</xdr:rowOff>
    </xdr:from>
    <xdr:to>
      <xdr:col>8</xdr:col>
      <xdr:colOff>44450</xdr:colOff>
      <xdr:row>92</xdr:row>
      <xdr:rowOff>44450</xdr:rowOff>
    </xdr:to>
    <xdr:sp macro="" textlink="">
      <xdr:nvSpPr>
        <xdr:cNvPr id="5501627" name="Line 292">
          <a:extLst>
            <a:ext uri="{FF2B5EF4-FFF2-40B4-BE49-F238E27FC236}">
              <a16:creationId xmlns:a16="http://schemas.microsoft.com/office/drawing/2014/main" id="{00000000-0008-0000-0700-0000BBF25300}"/>
            </a:ext>
          </a:extLst>
        </xdr:cNvPr>
        <xdr:cNvSpPr>
          <a:spLocks noChangeShapeType="1"/>
        </xdr:cNvSpPr>
      </xdr:nvSpPr>
      <xdr:spPr bwMode="auto">
        <a:xfrm>
          <a:off x="5257800" y="15379700"/>
          <a:ext cx="13970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1790700</xdr:colOff>
      <xdr:row>80</xdr:row>
      <xdr:rowOff>0</xdr:rowOff>
    </xdr:from>
    <xdr:to>
      <xdr:col>6</xdr:col>
      <xdr:colOff>1790700</xdr:colOff>
      <xdr:row>87</xdr:row>
      <xdr:rowOff>63500</xdr:rowOff>
    </xdr:to>
    <xdr:sp macro="" textlink="">
      <xdr:nvSpPr>
        <xdr:cNvPr id="5501628" name="Line 293">
          <a:extLst>
            <a:ext uri="{FF2B5EF4-FFF2-40B4-BE49-F238E27FC236}">
              <a16:creationId xmlns:a16="http://schemas.microsoft.com/office/drawing/2014/main" id="{00000000-0008-0000-0700-0000BCF25300}"/>
            </a:ext>
          </a:extLst>
        </xdr:cNvPr>
        <xdr:cNvSpPr>
          <a:spLocks noChangeShapeType="1"/>
        </xdr:cNvSpPr>
      </xdr:nvSpPr>
      <xdr:spPr bwMode="auto">
        <a:xfrm>
          <a:off x="6070600" y="13354050"/>
          <a:ext cx="0" cy="12319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7</xdr:col>
      <xdr:colOff>190500</xdr:colOff>
      <xdr:row>80</xdr:row>
      <xdr:rowOff>0</xdr:rowOff>
    </xdr:from>
    <xdr:to>
      <xdr:col>7</xdr:col>
      <xdr:colOff>190500</xdr:colOff>
      <xdr:row>90</xdr:row>
      <xdr:rowOff>133350</xdr:rowOff>
    </xdr:to>
    <xdr:sp macro="" textlink="">
      <xdr:nvSpPr>
        <xdr:cNvPr id="5501629" name="Line 294">
          <a:extLst>
            <a:ext uri="{FF2B5EF4-FFF2-40B4-BE49-F238E27FC236}">
              <a16:creationId xmlns:a16="http://schemas.microsoft.com/office/drawing/2014/main" id="{00000000-0008-0000-0700-0000BDF25300}"/>
            </a:ext>
          </a:extLst>
        </xdr:cNvPr>
        <xdr:cNvSpPr>
          <a:spLocks noChangeShapeType="1"/>
        </xdr:cNvSpPr>
      </xdr:nvSpPr>
      <xdr:spPr bwMode="auto">
        <a:xfrm>
          <a:off x="6330950" y="13354050"/>
          <a:ext cx="0" cy="179705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8</xdr:col>
      <xdr:colOff>44450</xdr:colOff>
      <xdr:row>87</xdr:row>
      <xdr:rowOff>57150</xdr:rowOff>
    </xdr:from>
    <xdr:to>
      <xdr:col>8</xdr:col>
      <xdr:colOff>44450</xdr:colOff>
      <xdr:row>88</xdr:row>
      <xdr:rowOff>57150</xdr:rowOff>
    </xdr:to>
    <xdr:sp macro="" textlink="">
      <xdr:nvSpPr>
        <xdr:cNvPr id="5501630" name="Line 295">
          <a:extLst>
            <a:ext uri="{FF2B5EF4-FFF2-40B4-BE49-F238E27FC236}">
              <a16:creationId xmlns:a16="http://schemas.microsoft.com/office/drawing/2014/main" id="{00000000-0008-0000-0700-0000BEF25300}"/>
            </a:ext>
          </a:extLst>
        </xdr:cNvPr>
        <xdr:cNvSpPr>
          <a:spLocks noChangeShapeType="1"/>
        </xdr:cNvSpPr>
      </xdr:nvSpPr>
      <xdr:spPr bwMode="auto">
        <a:xfrm>
          <a:off x="6654800" y="14579600"/>
          <a:ext cx="0" cy="15875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8</xdr:col>
      <xdr:colOff>44450</xdr:colOff>
      <xdr:row>90</xdr:row>
      <xdr:rowOff>139700</xdr:rowOff>
    </xdr:from>
    <xdr:to>
      <xdr:col>8</xdr:col>
      <xdr:colOff>44450</xdr:colOff>
      <xdr:row>92</xdr:row>
      <xdr:rowOff>44450</xdr:rowOff>
    </xdr:to>
    <xdr:sp macro="" textlink="">
      <xdr:nvSpPr>
        <xdr:cNvPr id="5501631" name="Line 296">
          <a:extLst>
            <a:ext uri="{FF2B5EF4-FFF2-40B4-BE49-F238E27FC236}">
              <a16:creationId xmlns:a16="http://schemas.microsoft.com/office/drawing/2014/main" id="{00000000-0008-0000-0700-0000BFF25300}"/>
            </a:ext>
          </a:extLst>
        </xdr:cNvPr>
        <xdr:cNvSpPr>
          <a:spLocks noChangeShapeType="1"/>
        </xdr:cNvSpPr>
      </xdr:nvSpPr>
      <xdr:spPr bwMode="auto">
        <a:xfrm>
          <a:off x="6654800" y="15157450"/>
          <a:ext cx="0" cy="22225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6</xdr:col>
      <xdr:colOff>0</xdr:colOff>
      <xdr:row>84</xdr:row>
      <xdr:rowOff>101600</xdr:rowOff>
    </xdr:from>
    <xdr:to>
      <xdr:col>6</xdr:col>
      <xdr:colOff>838200</xdr:colOff>
      <xdr:row>84</xdr:row>
      <xdr:rowOff>101600</xdr:rowOff>
    </xdr:to>
    <xdr:sp macro="" textlink="">
      <xdr:nvSpPr>
        <xdr:cNvPr id="5501632" name="Line 297">
          <a:extLst>
            <a:ext uri="{FF2B5EF4-FFF2-40B4-BE49-F238E27FC236}">
              <a16:creationId xmlns:a16="http://schemas.microsoft.com/office/drawing/2014/main" id="{00000000-0008-0000-0700-0000C0F25300}"/>
            </a:ext>
          </a:extLst>
        </xdr:cNvPr>
        <xdr:cNvSpPr>
          <a:spLocks noChangeShapeType="1"/>
        </xdr:cNvSpPr>
      </xdr:nvSpPr>
      <xdr:spPr bwMode="auto">
        <a:xfrm>
          <a:off x="4279900" y="14128750"/>
          <a:ext cx="838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89</xdr:row>
      <xdr:rowOff>69850</xdr:rowOff>
    </xdr:from>
    <xdr:to>
      <xdr:col>6</xdr:col>
      <xdr:colOff>685800</xdr:colOff>
      <xdr:row>89</xdr:row>
      <xdr:rowOff>69850</xdr:rowOff>
    </xdr:to>
    <xdr:sp macro="" textlink="">
      <xdr:nvSpPr>
        <xdr:cNvPr id="5501633" name="Line 298">
          <a:extLst>
            <a:ext uri="{FF2B5EF4-FFF2-40B4-BE49-F238E27FC236}">
              <a16:creationId xmlns:a16="http://schemas.microsoft.com/office/drawing/2014/main" id="{00000000-0008-0000-0700-0000C1F25300}"/>
            </a:ext>
          </a:extLst>
        </xdr:cNvPr>
        <xdr:cNvSpPr>
          <a:spLocks noChangeShapeType="1"/>
        </xdr:cNvSpPr>
      </xdr:nvSpPr>
      <xdr:spPr bwMode="auto">
        <a:xfrm>
          <a:off x="4279900" y="14916150"/>
          <a:ext cx="68580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93</xdr:row>
      <xdr:rowOff>25400</xdr:rowOff>
    </xdr:from>
    <xdr:to>
      <xdr:col>6</xdr:col>
      <xdr:colOff>971550</xdr:colOff>
      <xdr:row>93</xdr:row>
      <xdr:rowOff>25400</xdr:rowOff>
    </xdr:to>
    <xdr:sp macro="" textlink="">
      <xdr:nvSpPr>
        <xdr:cNvPr id="5501634" name="Line 299">
          <a:extLst>
            <a:ext uri="{FF2B5EF4-FFF2-40B4-BE49-F238E27FC236}">
              <a16:creationId xmlns:a16="http://schemas.microsoft.com/office/drawing/2014/main" id="{00000000-0008-0000-0700-0000C2F25300}"/>
            </a:ext>
          </a:extLst>
        </xdr:cNvPr>
        <xdr:cNvSpPr>
          <a:spLocks noChangeShapeType="1"/>
        </xdr:cNvSpPr>
      </xdr:nvSpPr>
      <xdr:spPr bwMode="auto">
        <a:xfrm>
          <a:off x="4279900" y="15519400"/>
          <a:ext cx="97155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96</xdr:row>
      <xdr:rowOff>76200</xdr:rowOff>
    </xdr:from>
    <xdr:to>
      <xdr:col>6</xdr:col>
      <xdr:colOff>476250</xdr:colOff>
      <xdr:row>96</xdr:row>
      <xdr:rowOff>76200</xdr:rowOff>
    </xdr:to>
    <xdr:sp macro="" textlink="">
      <xdr:nvSpPr>
        <xdr:cNvPr id="5501635" name="Line 300">
          <a:extLst>
            <a:ext uri="{FF2B5EF4-FFF2-40B4-BE49-F238E27FC236}">
              <a16:creationId xmlns:a16="http://schemas.microsoft.com/office/drawing/2014/main" id="{00000000-0008-0000-0700-0000C3F25300}"/>
            </a:ext>
          </a:extLst>
        </xdr:cNvPr>
        <xdr:cNvSpPr>
          <a:spLocks noChangeShapeType="1"/>
        </xdr:cNvSpPr>
      </xdr:nvSpPr>
      <xdr:spPr bwMode="auto">
        <a:xfrm>
          <a:off x="4279900" y="16052800"/>
          <a:ext cx="476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152400</xdr:colOff>
      <xdr:row>103</xdr:row>
      <xdr:rowOff>0</xdr:rowOff>
    </xdr:from>
    <xdr:to>
      <xdr:col>7</xdr:col>
      <xdr:colOff>152400</xdr:colOff>
      <xdr:row>104</xdr:row>
      <xdr:rowOff>12700</xdr:rowOff>
    </xdr:to>
    <xdr:sp macro="" textlink="">
      <xdr:nvSpPr>
        <xdr:cNvPr id="5501636" name="Line 301">
          <a:extLst>
            <a:ext uri="{FF2B5EF4-FFF2-40B4-BE49-F238E27FC236}">
              <a16:creationId xmlns:a16="http://schemas.microsoft.com/office/drawing/2014/main" id="{00000000-0008-0000-0700-0000C4F25300}"/>
            </a:ext>
          </a:extLst>
        </xdr:cNvPr>
        <xdr:cNvSpPr>
          <a:spLocks noChangeShapeType="1"/>
        </xdr:cNvSpPr>
      </xdr:nvSpPr>
      <xdr:spPr bwMode="auto">
        <a:xfrm>
          <a:off x="6292850" y="17138650"/>
          <a:ext cx="0" cy="184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81</xdr:row>
      <xdr:rowOff>76200</xdr:rowOff>
    </xdr:from>
    <xdr:to>
      <xdr:col>6</xdr:col>
      <xdr:colOff>152400</xdr:colOff>
      <xdr:row>81</xdr:row>
      <xdr:rowOff>76200</xdr:rowOff>
    </xdr:to>
    <xdr:sp macro="" textlink="">
      <xdr:nvSpPr>
        <xdr:cNvPr id="5501637" name="Line 302">
          <a:extLst>
            <a:ext uri="{FF2B5EF4-FFF2-40B4-BE49-F238E27FC236}">
              <a16:creationId xmlns:a16="http://schemas.microsoft.com/office/drawing/2014/main" id="{00000000-0008-0000-0700-0000C5F25300}"/>
            </a:ext>
          </a:extLst>
        </xdr:cNvPr>
        <xdr:cNvSpPr>
          <a:spLocks noChangeShapeType="1"/>
        </xdr:cNvSpPr>
      </xdr:nvSpPr>
      <xdr:spPr bwMode="auto">
        <a:xfrm>
          <a:off x="4279900" y="1360170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1778000</xdr:colOff>
      <xdr:row>83</xdr:row>
      <xdr:rowOff>82550</xdr:rowOff>
    </xdr:from>
    <xdr:to>
      <xdr:col>9</xdr:col>
      <xdr:colOff>0</xdr:colOff>
      <xdr:row>83</xdr:row>
      <xdr:rowOff>82550</xdr:rowOff>
    </xdr:to>
    <xdr:sp macro="" textlink="">
      <xdr:nvSpPr>
        <xdr:cNvPr id="5501638" name="Line 303">
          <a:extLst>
            <a:ext uri="{FF2B5EF4-FFF2-40B4-BE49-F238E27FC236}">
              <a16:creationId xmlns:a16="http://schemas.microsoft.com/office/drawing/2014/main" id="{00000000-0008-0000-0700-0000C6F25300}"/>
            </a:ext>
          </a:extLst>
        </xdr:cNvPr>
        <xdr:cNvSpPr>
          <a:spLocks noChangeShapeType="1"/>
        </xdr:cNvSpPr>
      </xdr:nvSpPr>
      <xdr:spPr bwMode="auto">
        <a:xfrm flipV="1">
          <a:off x="6057900" y="13944600"/>
          <a:ext cx="10223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7</xdr:col>
      <xdr:colOff>190500</xdr:colOff>
      <xdr:row>85</xdr:row>
      <xdr:rowOff>76200</xdr:rowOff>
    </xdr:from>
    <xdr:to>
      <xdr:col>9</xdr:col>
      <xdr:colOff>0</xdr:colOff>
      <xdr:row>85</xdr:row>
      <xdr:rowOff>76200</xdr:rowOff>
    </xdr:to>
    <xdr:sp macro="" textlink="">
      <xdr:nvSpPr>
        <xdr:cNvPr id="5501639" name="Line 304">
          <a:extLst>
            <a:ext uri="{FF2B5EF4-FFF2-40B4-BE49-F238E27FC236}">
              <a16:creationId xmlns:a16="http://schemas.microsoft.com/office/drawing/2014/main" id="{00000000-0008-0000-0700-0000C7F25300}"/>
            </a:ext>
          </a:extLst>
        </xdr:cNvPr>
        <xdr:cNvSpPr>
          <a:spLocks noChangeShapeType="1"/>
        </xdr:cNvSpPr>
      </xdr:nvSpPr>
      <xdr:spPr bwMode="auto">
        <a:xfrm flipV="1">
          <a:off x="6330950" y="14274800"/>
          <a:ext cx="7493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8</xdr:col>
      <xdr:colOff>44450</xdr:colOff>
      <xdr:row>87</xdr:row>
      <xdr:rowOff>133350</xdr:rowOff>
    </xdr:from>
    <xdr:to>
      <xdr:col>9</xdr:col>
      <xdr:colOff>0</xdr:colOff>
      <xdr:row>87</xdr:row>
      <xdr:rowOff>133350</xdr:rowOff>
    </xdr:to>
    <xdr:sp macro="" textlink="">
      <xdr:nvSpPr>
        <xdr:cNvPr id="5501640" name="Line 305">
          <a:extLst>
            <a:ext uri="{FF2B5EF4-FFF2-40B4-BE49-F238E27FC236}">
              <a16:creationId xmlns:a16="http://schemas.microsoft.com/office/drawing/2014/main" id="{00000000-0008-0000-0700-0000C8F25300}"/>
            </a:ext>
          </a:extLst>
        </xdr:cNvPr>
        <xdr:cNvSpPr>
          <a:spLocks noChangeShapeType="1"/>
        </xdr:cNvSpPr>
      </xdr:nvSpPr>
      <xdr:spPr bwMode="auto">
        <a:xfrm flipV="1">
          <a:off x="6654800" y="14655800"/>
          <a:ext cx="4254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8</xdr:col>
      <xdr:colOff>488950</xdr:colOff>
      <xdr:row>89</xdr:row>
      <xdr:rowOff>88900</xdr:rowOff>
    </xdr:from>
    <xdr:to>
      <xdr:col>9</xdr:col>
      <xdr:colOff>0</xdr:colOff>
      <xdr:row>89</xdr:row>
      <xdr:rowOff>88900</xdr:rowOff>
    </xdr:to>
    <xdr:sp macro="" textlink="">
      <xdr:nvSpPr>
        <xdr:cNvPr id="5501641" name="Line 307">
          <a:extLst>
            <a:ext uri="{FF2B5EF4-FFF2-40B4-BE49-F238E27FC236}">
              <a16:creationId xmlns:a16="http://schemas.microsoft.com/office/drawing/2014/main" id="{00000000-0008-0000-0700-0000C9F25300}"/>
            </a:ext>
          </a:extLst>
        </xdr:cNvPr>
        <xdr:cNvSpPr>
          <a:spLocks noChangeShapeType="1"/>
        </xdr:cNvSpPr>
      </xdr:nvSpPr>
      <xdr:spPr bwMode="auto">
        <a:xfrm flipV="1">
          <a:off x="7080250" y="1493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44450</xdr:colOff>
      <xdr:row>91</xdr:row>
      <xdr:rowOff>76200</xdr:rowOff>
    </xdr:from>
    <xdr:to>
      <xdr:col>9</xdr:col>
      <xdr:colOff>12700</xdr:colOff>
      <xdr:row>91</xdr:row>
      <xdr:rowOff>76200</xdr:rowOff>
    </xdr:to>
    <xdr:sp macro="" textlink="">
      <xdr:nvSpPr>
        <xdr:cNvPr id="5501642" name="Line 308">
          <a:extLst>
            <a:ext uri="{FF2B5EF4-FFF2-40B4-BE49-F238E27FC236}">
              <a16:creationId xmlns:a16="http://schemas.microsoft.com/office/drawing/2014/main" id="{00000000-0008-0000-0700-0000CAF25300}"/>
            </a:ext>
          </a:extLst>
        </xdr:cNvPr>
        <xdr:cNvSpPr>
          <a:spLocks noChangeShapeType="1"/>
        </xdr:cNvSpPr>
      </xdr:nvSpPr>
      <xdr:spPr bwMode="auto">
        <a:xfrm flipH="1" flipV="1">
          <a:off x="6654800" y="15252700"/>
          <a:ext cx="4381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none" w="sm" len="sm"/>
          <a:tailEnd type="none" w="sm" len="sm"/>
        </a:ln>
      </xdr:spPr>
    </xdr:sp>
    <xdr:clientData/>
  </xdr:twoCellAnchor>
  <xdr:twoCellAnchor>
    <xdr:from>
      <xdr:col>8</xdr:col>
      <xdr:colOff>488950</xdr:colOff>
      <xdr:row>96</xdr:row>
      <xdr:rowOff>76200</xdr:rowOff>
    </xdr:from>
    <xdr:to>
      <xdr:col>9</xdr:col>
      <xdr:colOff>0</xdr:colOff>
      <xdr:row>96</xdr:row>
      <xdr:rowOff>76200</xdr:rowOff>
    </xdr:to>
    <xdr:sp macro="" textlink="">
      <xdr:nvSpPr>
        <xdr:cNvPr id="5501643" name="Line 309">
          <a:extLst>
            <a:ext uri="{FF2B5EF4-FFF2-40B4-BE49-F238E27FC236}">
              <a16:creationId xmlns:a16="http://schemas.microsoft.com/office/drawing/2014/main" id="{00000000-0008-0000-0700-0000CBF25300}"/>
            </a:ext>
          </a:extLst>
        </xdr:cNvPr>
        <xdr:cNvSpPr>
          <a:spLocks noChangeShapeType="1"/>
        </xdr:cNvSpPr>
      </xdr:nvSpPr>
      <xdr:spPr bwMode="auto">
        <a:xfrm>
          <a:off x="7080250" y="16052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488950</xdr:colOff>
      <xdr:row>100</xdr:row>
      <xdr:rowOff>88900</xdr:rowOff>
    </xdr:from>
    <xdr:to>
      <xdr:col>9</xdr:col>
      <xdr:colOff>0</xdr:colOff>
      <xdr:row>100</xdr:row>
      <xdr:rowOff>88900</xdr:rowOff>
    </xdr:to>
    <xdr:sp macro="" textlink="">
      <xdr:nvSpPr>
        <xdr:cNvPr id="5501644" name="Line 310">
          <a:extLst>
            <a:ext uri="{FF2B5EF4-FFF2-40B4-BE49-F238E27FC236}">
              <a16:creationId xmlns:a16="http://schemas.microsoft.com/office/drawing/2014/main" id="{00000000-0008-0000-0700-0000CCF25300}"/>
            </a:ext>
          </a:extLst>
        </xdr:cNvPr>
        <xdr:cNvSpPr>
          <a:spLocks noChangeShapeType="1"/>
        </xdr:cNvSpPr>
      </xdr:nvSpPr>
      <xdr:spPr bwMode="auto">
        <a:xfrm>
          <a:off x="7080250" y="16725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222250</xdr:colOff>
      <xdr:row>89</xdr:row>
      <xdr:rowOff>88900</xdr:rowOff>
    </xdr:from>
    <xdr:to>
      <xdr:col>8</xdr:col>
      <xdr:colOff>463550</xdr:colOff>
      <xdr:row>89</xdr:row>
      <xdr:rowOff>88900</xdr:rowOff>
    </xdr:to>
    <xdr:sp macro="" textlink="">
      <xdr:nvSpPr>
        <xdr:cNvPr id="5501645" name="Line 278">
          <a:extLst>
            <a:ext uri="{FF2B5EF4-FFF2-40B4-BE49-F238E27FC236}">
              <a16:creationId xmlns:a16="http://schemas.microsoft.com/office/drawing/2014/main" id="{00000000-0008-0000-0700-0000CDF25300}"/>
            </a:ext>
          </a:extLst>
        </xdr:cNvPr>
        <xdr:cNvSpPr>
          <a:spLocks noChangeShapeType="1"/>
        </xdr:cNvSpPr>
      </xdr:nvSpPr>
      <xdr:spPr bwMode="auto">
        <a:xfrm>
          <a:off x="6832600" y="14935200"/>
          <a:ext cx="2413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69850</xdr:colOff>
      <xdr:row>1</xdr:row>
      <xdr:rowOff>12700</xdr:rowOff>
    </xdr:from>
    <xdr:to>
      <xdr:col>19</xdr:col>
      <xdr:colOff>0</xdr:colOff>
      <xdr:row>31</xdr:row>
      <xdr:rowOff>101600</xdr:rowOff>
    </xdr:to>
    <xdr:grpSp>
      <xdr:nvGrpSpPr>
        <xdr:cNvPr id="5501646" name="Group 232">
          <a:extLst>
            <a:ext uri="{FF2B5EF4-FFF2-40B4-BE49-F238E27FC236}">
              <a16:creationId xmlns:a16="http://schemas.microsoft.com/office/drawing/2014/main" id="{00000000-0008-0000-0700-0000CEF25300}"/>
            </a:ext>
          </a:extLst>
        </xdr:cNvPr>
        <xdr:cNvGrpSpPr>
          <a:grpSpLocks/>
        </xdr:cNvGrpSpPr>
      </xdr:nvGrpSpPr>
      <xdr:grpSpPr bwMode="auto">
        <a:xfrm>
          <a:off x="12909550" y="184150"/>
          <a:ext cx="2101850" cy="5127625"/>
          <a:chOff x="3421" y="5379"/>
          <a:chExt cx="2289" cy="5759"/>
        </a:xfrm>
      </xdr:grpSpPr>
      <xdr:grpSp>
        <xdr:nvGrpSpPr>
          <xdr:cNvPr id="5501685" name="Group 233">
            <a:extLst>
              <a:ext uri="{FF2B5EF4-FFF2-40B4-BE49-F238E27FC236}">
                <a16:creationId xmlns:a16="http://schemas.microsoft.com/office/drawing/2014/main" id="{00000000-0008-0000-0700-0000F5F25300}"/>
              </a:ext>
            </a:extLst>
          </xdr:cNvPr>
          <xdr:cNvGrpSpPr>
            <a:grpSpLocks/>
          </xdr:cNvGrpSpPr>
        </xdr:nvGrpSpPr>
        <xdr:grpSpPr bwMode="auto">
          <a:xfrm>
            <a:off x="4047" y="5379"/>
            <a:ext cx="515" cy="4096"/>
            <a:chOff x="4047" y="5379"/>
            <a:chExt cx="515" cy="4096"/>
          </a:xfrm>
        </xdr:grpSpPr>
        <xdr:sp macro="" textlink="">
          <xdr:nvSpPr>
            <xdr:cNvPr id="5501703" name="Arc 234">
              <a:extLst>
                <a:ext uri="{FF2B5EF4-FFF2-40B4-BE49-F238E27FC236}">
                  <a16:creationId xmlns:a16="http://schemas.microsoft.com/office/drawing/2014/main" id="{00000000-0008-0000-0700-000007F353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</xdr:spPr>
        </xdr:sp>
        <xdr:grpSp>
          <xdr:nvGrpSpPr>
            <xdr:cNvPr id="5501704" name="Group 235">
              <a:extLst>
                <a:ext uri="{FF2B5EF4-FFF2-40B4-BE49-F238E27FC236}">
                  <a16:creationId xmlns:a16="http://schemas.microsoft.com/office/drawing/2014/main" id="{00000000-0008-0000-0700-000008F353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501705" name="Line 236">
                <a:extLst>
                  <a:ext uri="{FF2B5EF4-FFF2-40B4-BE49-F238E27FC236}">
                    <a16:creationId xmlns:a16="http://schemas.microsoft.com/office/drawing/2014/main" id="{00000000-0008-0000-0700-000009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6" name="Line 237">
                <a:extLst>
                  <a:ext uri="{FF2B5EF4-FFF2-40B4-BE49-F238E27FC236}">
                    <a16:creationId xmlns:a16="http://schemas.microsoft.com/office/drawing/2014/main" id="{00000000-0008-0000-0700-00000A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7" name="Line 238">
                <a:extLst>
                  <a:ext uri="{FF2B5EF4-FFF2-40B4-BE49-F238E27FC236}">
                    <a16:creationId xmlns:a16="http://schemas.microsoft.com/office/drawing/2014/main" id="{00000000-0008-0000-0700-00000B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8" name="Line 239">
                <a:extLst>
                  <a:ext uri="{FF2B5EF4-FFF2-40B4-BE49-F238E27FC236}">
                    <a16:creationId xmlns:a16="http://schemas.microsoft.com/office/drawing/2014/main" id="{00000000-0008-0000-0700-00000C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9" name="Line 240">
                <a:extLst>
                  <a:ext uri="{FF2B5EF4-FFF2-40B4-BE49-F238E27FC236}">
                    <a16:creationId xmlns:a16="http://schemas.microsoft.com/office/drawing/2014/main" id="{00000000-0008-0000-0700-00000D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</xdr:grpSp>
      </xdr:grpSp>
      <xdr:grpSp>
        <xdr:nvGrpSpPr>
          <xdr:cNvPr id="5501686" name="Group 241">
            <a:extLst>
              <a:ext uri="{FF2B5EF4-FFF2-40B4-BE49-F238E27FC236}">
                <a16:creationId xmlns:a16="http://schemas.microsoft.com/office/drawing/2014/main" id="{00000000-0008-0000-0700-0000F6F25300}"/>
              </a:ext>
            </a:extLst>
          </xdr:cNvPr>
          <xdr:cNvGrpSpPr>
            <a:grpSpLocks/>
          </xdr:cNvGrpSpPr>
        </xdr:nvGrpSpPr>
        <xdr:grpSpPr bwMode="auto">
          <a:xfrm flipH="1">
            <a:off x="4560" y="5379"/>
            <a:ext cx="515" cy="4096"/>
            <a:chOff x="4047" y="5379"/>
            <a:chExt cx="515" cy="4096"/>
          </a:xfrm>
        </xdr:grpSpPr>
        <xdr:sp macro="" textlink="">
          <xdr:nvSpPr>
            <xdr:cNvPr id="5501696" name="Arc 242">
              <a:extLst>
                <a:ext uri="{FF2B5EF4-FFF2-40B4-BE49-F238E27FC236}">
                  <a16:creationId xmlns:a16="http://schemas.microsoft.com/office/drawing/2014/main" id="{00000000-0008-0000-0700-000000F353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</xdr:spPr>
        </xdr:sp>
        <xdr:grpSp>
          <xdr:nvGrpSpPr>
            <xdr:cNvPr id="5501697" name="Group 243">
              <a:extLst>
                <a:ext uri="{FF2B5EF4-FFF2-40B4-BE49-F238E27FC236}">
                  <a16:creationId xmlns:a16="http://schemas.microsoft.com/office/drawing/2014/main" id="{00000000-0008-0000-0700-000001F353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501698" name="Line 244">
                <a:extLst>
                  <a:ext uri="{FF2B5EF4-FFF2-40B4-BE49-F238E27FC236}">
                    <a16:creationId xmlns:a16="http://schemas.microsoft.com/office/drawing/2014/main" id="{00000000-0008-0000-0700-000002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699" name="Line 245">
                <a:extLst>
                  <a:ext uri="{FF2B5EF4-FFF2-40B4-BE49-F238E27FC236}">
                    <a16:creationId xmlns:a16="http://schemas.microsoft.com/office/drawing/2014/main" id="{00000000-0008-0000-0700-000003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0" name="Line 246">
                <a:extLst>
                  <a:ext uri="{FF2B5EF4-FFF2-40B4-BE49-F238E27FC236}">
                    <a16:creationId xmlns:a16="http://schemas.microsoft.com/office/drawing/2014/main" id="{00000000-0008-0000-0700-000004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1" name="Line 247">
                <a:extLst>
                  <a:ext uri="{FF2B5EF4-FFF2-40B4-BE49-F238E27FC236}">
                    <a16:creationId xmlns:a16="http://schemas.microsoft.com/office/drawing/2014/main" id="{00000000-0008-0000-0700-000005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2" name="Line 248">
                <a:extLst>
                  <a:ext uri="{FF2B5EF4-FFF2-40B4-BE49-F238E27FC236}">
                    <a16:creationId xmlns:a16="http://schemas.microsoft.com/office/drawing/2014/main" id="{00000000-0008-0000-0700-000006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</xdr:grpSp>
      </xdr:grpSp>
      <xdr:sp macro="" textlink="">
        <xdr:nvSpPr>
          <xdr:cNvPr id="5501687" name="Line 249">
            <a:extLst>
              <a:ext uri="{FF2B5EF4-FFF2-40B4-BE49-F238E27FC236}">
                <a16:creationId xmlns:a16="http://schemas.microsoft.com/office/drawing/2014/main" id="{00000000-0008-0000-0700-0000F7F25300}"/>
              </a:ext>
            </a:extLst>
          </xdr:cNvPr>
          <xdr:cNvSpPr>
            <a:spLocks noChangeShapeType="1"/>
          </xdr:cNvSpPr>
        </xdr:nvSpPr>
        <xdr:spPr bwMode="auto">
          <a:xfrm>
            <a:off x="4332" y="9310"/>
            <a:ext cx="2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88" name="Line 250">
            <a:extLst>
              <a:ext uri="{FF2B5EF4-FFF2-40B4-BE49-F238E27FC236}">
                <a16:creationId xmlns:a16="http://schemas.microsoft.com/office/drawing/2014/main" id="{00000000-0008-0000-0700-0000F8F25300}"/>
              </a:ext>
            </a:extLst>
          </xdr:cNvPr>
          <xdr:cNvSpPr>
            <a:spLocks noChangeShapeType="1"/>
          </xdr:cNvSpPr>
        </xdr:nvSpPr>
        <xdr:spPr bwMode="auto">
          <a:xfrm>
            <a:off x="4790" y="9310"/>
            <a:ext cx="0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89" name="Line 251">
            <a:extLst>
              <a:ext uri="{FF2B5EF4-FFF2-40B4-BE49-F238E27FC236}">
                <a16:creationId xmlns:a16="http://schemas.microsoft.com/office/drawing/2014/main" id="{00000000-0008-0000-0700-0000F9F25300}"/>
              </a:ext>
            </a:extLst>
          </xdr:cNvPr>
          <xdr:cNvSpPr>
            <a:spLocks noChangeShapeType="1"/>
          </xdr:cNvSpPr>
        </xdr:nvSpPr>
        <xdr:spPr bwMode="auto">
          <a:xfrm>
            <a:off x="4330" y="10629"/>
            <a:ext cx="458" cy="0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0" name="Line 252">
            <a:extLst>
              <a:ext uri="{FF2B5EF4-FFF2-40B4-BE49-F238E27FC236}">
                <a16:creationId xmlns:a16="http://schemas.microsoft.com/office/drawing/2014/main" id="{00000000-0008-0000-0700-0000FAF253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709" y="10163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1" name="Line 253">
            <a:extLst>
              <a:ext uri="{FF2B5EF4-FFF2-40B4-BE49-F238E27FC236}">
                <a16:creationId xmlns:a16="http://schemas.microsoft.com/office/drawing/2014/main" id="{00000000-0008-0000-0700-0000FBF25300}"/>
              </a:ext>
            </a:extLst>
          </xdr:cNvPr>
          <xdr:cNvSpPr>
            <a:spLocks noChangeShapeType="1"/>
          </xdr:cNvSpPr>
        </xdr:nvSpPr>
        <xdr:spPr bwMode="auto">
          <a:xfrm>
            <a:off x="4796" y="10419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2" name="Line 254">
            <a:extLst>
              <a:ext uri="{FF2B5EF4-FFF2-40B4-BE49-F238E27FC236}">
                <a16:creationId xmlns:a16="http://schemas.microsoft.com/office/drawing/2014/main" id="{00000000-0008-0000-0700-0000FCF253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804" y="8797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3" name="Line 255">
            <a:extLst>
              <a:ext uri="{FF2B5EF4-FFF2-40B4-BE49-F238E27FC236}">
                <a16:creationId xmlns:a16="http://schemas.microsoft.com/office/drawing/2014/main" id="{00000000-0008-0000-0700-0000FDF253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421" y="10178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4" name="Line 256">
            <a:extLst>
              <a:ext uri="{FF2B5EF4-FFF2-40B4-BE49-F238E27FC236}">
                <a16:creationId xmlns:a16="http://schemas.microsoft.com/office/drawing/2014/main" id="{00000000-0008-0000-0700-0000FEF253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421" y="10426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5" name="Line 257">
            <a:extLst>
              <a:ext uri="{FF2B5EF4-FFF2-40B4-BE49-F238E27FC236}">
                <a16:creationId xmlns:a16="http://schemas.microsoft.com/office/drawing/2014/main" id="{00000000-0008-0000-0700-0000FFF253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429" y="8804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</xdr:grpSp>
    <xdr:clientData/>
  </xdr:twoCellAnchor>
  <xdr:twoCellAnchor>
    <xdr:from>
      <xdr:col>17</xdr:col>
      <xdr:colOff>831850</xdr:colOff>
      <xdr:row>11</xdr:row>
      <xdr:rowOff>101600</xdr:rowOff>
    </xdr:from>
    <xdr:to>
      <xdr:col>18</xdr:col>
      <xdr:colOff>368300</xdr:colOff>
      <xdr:row>11</xdr:row>
      <xdr:rowOff>101600</xdr:rowOff>
    </xdr:to>
    <xdr:sp macro="" textlink="">
      <xdr:nvSpPr>
        <xdr:cNvPr id="5501647" name="Line 268">
          <a:extLst>
            <a:ext uri="{FF2B5EF4-FFF2-40B4-BE49-F238E27FC236}">
              <a16:creationId xmlns:a16="http://schemas.microsoft.com/office/drawing/2014/main" id="{00000000-0008-0000-0700-0000CFF25300}"/>
            </a:ext>
          </a:extLst>
        </xdr:cNvPr>
        <xdr:cNvSpPr>
          <a:spLocks noChangeShapeType="1"/>
        </xdr:cNvSpPr>
      </xdr:nvSpPr>
      <xdr:spPr bwMode="auto">
        <a:xfrm flipV="1">
          <a:off x="14408150" y="2032000"/>
          <a:ext cx="67310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88900</xdr:colOff>
      <xdr:row>1</xdr:row>
      <xdr:rowOff>12700</xdr:rowOff>
    </xdr:from>
    <xdr:to>
      <xdr:col>19</xdr:col>
      <xdr:colOff>336550</xdr:colOff>
      <xdr:row>1</xdr:row>
      <xdr:rowOff>12700</xdr:rowOff>
    </xdr:to>
    <xdr:sp macro="" textlink="">
      <xdr:nvSpPr>
        <xdr:cNvPr id="5501648" name="Line 269">
          <a:extLst>
            <a:ext uri="{FF2B5EF4-FFF2-40B4-BE49-F238E27FC236}">
              <a16:creationId xmlns:a16="http://schemas.microsoft.com/office/drawing/2014/main" id="{00000000-0008-0000-0700-0000D0F25300}"/>
            </a:ext>
          </a:extLst>
        </xdr:cNvPr>
        <xdr:cNvSpPr>
          <a:spLocks noChangeShapeType="1"/>
        </xdr:cNvSpPr>
      </xdr:nvSpPr>
      <xdr:spPr bwMode="auto">
        <a:xfrm flipV="1">
          <a:off x="13665200" y="184150"/>
          <a:ext cx="25209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1054100</xdr:colOff>
      <xdr:row>1</xdr:row>
      <xdr:rowOff>12700</xdr:rowOff>
    </xdr:from>
    <xdr:to>
      <xdr:col>18</xdr:col>
      <xdr:colOff>1054100</xdr:colOff>
      <xdr:row>28</xdr:row>
      <xdr:rowOff>139700</xdr:rowOff>
    </xdr:to>
    <xdr:sp macro="" textlink="">
      <xdr:nvSpPr>
        <xdr:cNvPr id="5501649" name="Line 270">
          <a:extLst>
            <a:ext uri="{FF2B5EF4-FFF2-40B4-BE49-F238E27FC236}">
              <a16:creationId xmlns:a16="http://schemas.microsoft.com/office/drawing/2014/main" id="{00000000-0008-0000-0700-0000D1F25300}"/>
            </a:ext>
          </a:extLst>
        </xdr:cNvPr>
        <xdr:cNvSpPr>
          <a:spLocks noChangeShapeType="1"/>
        </xdr:cNvSpPr>
      </xdr:nvSpPr>
      <xdr:spPr bwMode="auto">
        <a:xfrm>
          <a:off x="15767050" y="184150"/>
          <a:ext cx="0" cy="47053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120650</xdr:colOff>
      <xdr:row>10</xdr:row>
      <xdr:rowOff>152400</xdr:rowOff>
    </xdr:from>
    <xdr:to>
      <xdr:col>18</xdr:col>
      <xdr:colOff>412750</xdr:colOff>
      <xdr:row>10</xdr:row>
      <xdr:rowOff>152400</xdr:rowOff>
    </xdr:to>
    <xdr:sp macro="" textlink="">
      <xdr:nvSpPr>
        <xdr:cNvPr id="5501650" name="Line 271">
          <a:extLst>
            <a:ext uri="{FF2B5EF4-FFF2-40B4-BE49-F238E27FC236}">
              <a16:creationId xmlns:a16="http://schemas.microsoft.com/office/drawing/2014/main" id="{00000000-0008-0000-0700-0000D2F25300}"/>
            </a:ext>
          </a:extLst>
        </xdr:cNvPr>
        <xdr:cNvSpPr>
          <a:spLocks noChangeShapeType="1"/>
        </xdr:cNvSpPr>
      </xdr:nvSpPr>
      <xdr:spPr bwMode="auto">
        <a:xfrm>
          <a:off x="13696950" y="1911350"/>
          <a:ext cx="14287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152400</xdr:colOff>
      <xdr:row>0</xdr:row>
      <xdr:rowOff>158750</xdr:rowOff>
    </xdr:from>
    <xdr:to>
      <xdr:col>17</xdr:col>
      <xdr:colOff>152400</xdr:colOff>
      <xdr:row>10</xdr:row>
      <xdr:rowOff>139700</xdr:rowOff>
    </xdr:to>
    <xdr:sp macro="" textlink="">
      <xdr:nvSpPr>
        <xdr:cNvPr id="5501651" name="Line 272">
          <a:extLst>
            <a:ext uri="{FF2B5EF4-FFF2-40B4-BE49-F238E27FC236}">
              <a16:creationId xmlns:a16="http://schemas.microsoft.com/office/drawing/2014/main" id="{00000000-0008-0000-0700-0000D3F25300}"/>
            </a:ext>
          </a:extLst>
        </xdr:cNvPr>
        <xdr:cNvSpPr>
          <a:spLocks noChangeShapeType="1"/>
        </xdr:cNvSpPr>
      </xdr:nvSpPr>
      <xdr:spPr bwMode="auto">
        <a:xfrm flipH="1">
          <a:off x="13728700" y="158750"/>
          <a:ext cx="0" cy="17399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16</xdr:col>
      <xdr:colOff>234950</xdr:colOff>
      <xdr:row>31</xdr:row>
      <xdr:rowOff>95250</xdr:rowOff>
    </xdr:from>
    <xdr:to>
      <xdr:col>17</xdr:col>
      <xdr:colOff>82550</xdr:colOff>
      <xdr:row>31</xdr:row>
      <xdr:rowOff>95250</xdr:rowOff>
    </xdr:to>
    <xdr:sp macro="" textlink="">
      <xdr:nvSpPr>
        <xdr:cNvPr id="5501652" name="Line 277">
          <a:extLst>
            <a:ext uri="{FF2B5EF4-FFF2-40B4-BE49-F238E27FC236}">
              <a16:creationId xmlns:a16="http://schemas.microsoft.com/office/drawing/2014/main" id="{00000000-0008-0000-0700-0000D4F25300}"/>
            </a:ext>
          </a:extLst>
        </xdr:cNvPr>
        <xdr:cNvSpPr>
          <a:spLocks noChangeShapeType="1"/>
        </xdr:cNvSpPr>
      </xdr:nvSpPr>
      <xdr:spPr bwMode="auto">
        <a:xfrm>
          <a:off x="12998450" y="5359400"/>
          <a:ext cx="6604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196850</xdr:colOff>
      <xdr:row>29</xdr:row>
      <xdr:rowOff>88900</xdr:rowOff>
    </xdr:from>
    <xdr:to>
      <xdr:col>18</xdr:col>
      <xdr:colOff>1035050</xdr:colOff>
      <xdr:row>29</xdr:row>
      <xdr:rowOff>88900</xdr:rowOff>
    </xdr:to>
    <xdr:sp macro="" textlink="">
      <xdr:nvSpPr>
        <xdr:cNvPr id="5501653" name="Line 280">
          <a:extLst>
            <a:ext uri="{FF2B5EF4-FFF2-40B4-BE49-F238E27FC236}">
              <a16:creationId xmlns:a16="http://schemas.microsoft.com/office/drawing/2014/main" id="{00000000-0008-0000-0700-0000D5F25300}"/>
            </a:ext>
          </a:extLst>
        </xdr:cNvPr>
        <xdr:cNvSpPr>
          <a:spLocks noChangeShapeType="1"/>
        </xdr:cNvSpPr>
      </xdr:nvSpPr>
      <xdr:spPr bwMode="auto">
        <a:xfrm>
          <a:off x="14909800" y="5010150"/>
          <a:ext cx="8382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508000</xdr:colOff>
      <xdr:row>20</xdr:row>
      <xdr:rowOff>0</xdr:rowOff>
    </xdr:from>
    <xdr:to>
      <xdr:col>17</xdr:col>
      <xdr:colOff>508000</xdr:colOff>
      <xdr:row>28</xdr:row>
      <xdr:rowOff>127000</xdr:rowOff>
    </xdr:to>
    <xdr:sp macro="" textlink="">
      <xdr:nvSpPr>
        <xdr:cNvPr id="5501654" name="Line 281">
          <a:extLst>
            <a:ext uri="{FF2B5EF4-FFF2-40B4-BE49-F238E27FC236}">
              <a16:creationId xmlns:a16="http://schemas.microsoft.com/office/drawing/2014/main" id="{00000000-0008-0000-0700-0000D6F25300}"/>
            </a:ext>
          </a:extLst>
        </xdr:cNvPr>
        <xdr:cNvSpPr>
          <a:spLocks noChangeShapeType="1"/>
        </xdr:cNvSpPr>
      </xdr:nvSpPr>
      <xdr:spPr bwMode="auto">
        <a:xfrm flipH="1">
          <a:off x="14084300" y="3422650"/>
          <a:ext cx="0" cy="14541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16</xdr:col>
      <xdr:colOff>311150</xdr:colOff>
      <xdr:row>27</xdr:row>
      <xdr:rowOff>133350</xdr:rowOff>
    </xdr:from>
    <xdr:to>
      <xdr:col>16</xdr:col>
      <xdr:colOff>323850</xdr:colOff>
      <xdr:row>31</xdr:row>
      <xdr:rowOff>95250</xdr:rowOff>
    </xdr:to>
    <xdr:sp macro="" textlink="">
      <xdr:nvSpPr>
        <xdr:cNvPr id="5501655" name="Line 282">
          <a:extLst>
            <a:ext uri="{FF2B5EF4-FFF2-40B4-BE49-F238E27FC236}">
              <a16:creationId xmlns:a16="http://schemas.microsoft.com/office/drawing/2014/main" id="{00000000-0008-0000-0700-0000D7F25300}"/>
            </a:ext>
          </a:extLst>
        </xdr:cNvPr>
        <xdr:cNvSpPr>
          <a:spLocks noChangeShapeType="1"/>
        </xdr:cNvSpPr>
      </xdr:nvSpPr>
      <xdr:spPr bwMode="auto">
        <a:xfrm flipH="1">
          <a:off x="13074650" y="4711700"/>
          <a:ext cx="12700" cy="6477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16</xdr:col>
      <xdr:colOff>730250</xdr:colOff>
      <xdr:row>20</xdr:row>
      <xdr:rowOff>0</xdr:rowOff>
    </xdr:from>
    <xdr:to>
      <xdr:col>16</xdr:col>
      <xdr:colOff>730250</xdr:colOff>
      <xdr:row>27</xdr:row>
      <xdr:rowOff>133350</xdr:rowOff>
    </xdr:to>
    <xdr:sp macro="" textlink="">
      <xdr:nvSpPr>
        <xdr:cNvPr id="5501656" name="Line 283">
          <a:extLst>
            <a:ext uri="{FF2B5EF4-FFF2-40B4-BE49-F238E27FC236}">
              <a16:creationId xmlns:a16="http://schemas.microsoft.com/office/drawing/2014/main" id="{00000000-0008-0000-0700-0000D8F25300}"/>
            </a:ext>
          </a:extLst>
        </xdr:cNvPr>
        <xdr:cNvSpPr>
          <a:spLocks noChangeShapeType="1"/>
        </xdr:cNvSpPr>
      </xdr:nvSpPr>
      <xdr:spPr bwMode="auto">
        <a:xfrm>
          <a:off x="13493750" y="3422650"/>
          <a:ext cx="0" cy="12890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69850</xdr:colOff>
      <xdr:row>31</xdr:row>
      <xdr:rowOff>95250</xdr:rowOff>
    </xdr:from>
    <xdr:to>
      <xdr:col>17</xdr:col>
      <xdr:colOff>69850</xdr:colOff>
      <xdr:row>32</xdr:row>
      <xdr:rowOff>0</xdr:rowOff>
    </xdr:to>
    <xdr:sp macro="" textlink="">
      <xdr:nvSpPr>
        <xdr:cNvPr id="5501657" name="Line 284">
          <a:extLst>
            <a:ext uri="{FF2B5EF4-FFF2-40B4-BE49-F238E27FC236}">
              <a16:creationId xmlns:a16="http://schemas.microsoft.com/office/drawing/2014/main" id="{00000000-0008-0000-0700-0000D9F25300}"/>
            </a:ext>
          </a:extLst>
        </xdr:cNvPr>
        <xdr:cNvSpPr>
          <a:spLocks noChangeShapeType="1"/>
        </xdr:cNvSpPr>
      </xdr:nvSpPr>
      <xdr:spPr bwMode="auto">
        <a:xfrm flipV="1">
          <a:off x="13646150" y="5359400"/>
          <a:ext cx="0" cy="762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946150</xdr:colOff>
      <xdr:row>29</xdr:row>
      <xdr:rowOff>88900</xdr:rowOff>
    </xdr:from>
    <xdr:to>
      <xdr:col>17</xdr:col>
      <xdr:colOff>946150</xdr:colOff>
      <xdr:row>31</xdr:row>
      <xdr:rowOff>158750</xdr:rowOff>
    </xdr:to>
    <xdr:sp macro="" textlink="">
      <xdr:nvSpPr>
        <xdr:cNvPr id="5501658" name="Line 285">
          <a:extLst>
            <a:ext uri="{FF2B5EF4-FFF2-40B4-BE49-F238E27FC236}">
              <a16:creationId xmlns:a16="http://schemas.microsoft.com/office/drawing/2014/main" id="{00000000-0008-0000-0700-0000DAF25300}"/>
            </a:ext>
          </a:extLst>
        </xdr:cNvPr>
        <xdr:cNvSpPr>
          <a:spLocks noChangeShapeType="1"/>
        </xdr:cNvSpPr>
      </xdr:nvSpPr>
      <xdr:spPr bwMode="auto">
        <a:xfrm flipH="1" flipV="1">
          <a:off x="14522450" y="5010150"/>
          <a:ext cx="0" cy="41275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88900</xdr:colOff>
      <xdr:row>31</xdr:row>
      <xdr:rowOff>127000</xdr:rowOff>
    </xdr:from>
    <xdr:to>
      <xdr:col>17</xdr:col>
      <xdr:colOff>958850</xdr:colOff>
      <xdr:row>31</xdr:row>
      <xdr:rowOff>127000</xdr:rowOff>
    </xdr:to>
    <xdr:sp macro="" textlink="">
      <xdr:nvSpPr>
        <xdr:cNvPr id="5501659" name="Line 286">
          <a:extLst>
            <a:ext uri="{FF2B5EF4-FFF2-40B4-BE49-F238E27FC236}">
              <a16:creationId xmlns:a16="http://schemas.microsoft.com/office/drawing/2014/main" id="{00000000-0008-0000-0700-0000DBF25300}"/>
            </a:ext>
          </a:extLst>
        </xdr:cNvPr>
        <xdr:cNvSpPr>
          <a:spLocks noChangeShapeType="1"/>
        </xdr:cNvSpPr>
      </xdr:nvSpPr>
      <xdr:spPr bwMode="auto">
        <a:xfrm flipV="1">
          <a:off x="13665200" y="5391150"/>
          <a:ext cx="86995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666750</xdr:colOff>
      <xdr:row>16</xdr:row>
      <xdr:rowOff>57150</xdr:rowOff>
    </xdr:from>
    <xdr:to>
      <xdr:col>18</xdr:col>
      <xdr:colOff>514350</xdr:colOff>
      <xdr:row>16</xdr:row>
      <xdr:rowOff>57150</xdr:rowOff>
    </xdr:to>
    <xdr:sp macro="" textlink="">
      <xdr:nvSpPr>
        <xdr:cNvPr id="5501660" name="Line 287">
          <a:extLst>
            <a:ext uri="{FF2B5EF4-FFF2-40B4-BE49-F238E27FC236}">
              <a16:creationId xmlns:a16="http://schemas.microsoft.com/office/drawing/2014/main" id="{00000000-0008-0000-0700-0000DCF25300}"/>
            </a:ext>
          </a:extLst>
        </xdr:cNvPr>
        <xdr:cNvSpPr>
          <a:spLocks noChangeShapeType="1"/>
        </xdr:cNvSpPr>
      </xdr:nvSpPr>
      <xdr:spPr bwMode="auto">
        <a:xfrm flipV="1">
          <a:off x="14243050" y="2819400"/>
          <a:ext cx="98425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17</xdr:col>
      <xdr:colOff>831850</xdr:colOff>
      <xdr:row>14</xdr:row>
      <xdr:rowOff>127000</xdr:rowOff>
    </xdr:from>
    <xdr:to>
      <xdr:col>19</xdr:col>
      <xdr:colOff>19050</xdr:colOff>
      <xdr:row>14</xdr:row>
      <xdr:rowOff>127000</xdr:rowOff>
    </xdr:to>
    <xdr:sp macro="" textlink="">
      <xdr:nvSpPr>
        <xdr:cNvPr id="5501661" name="Line 289">
          <a:extLst>
            <a:ext uri="{FF2B5EF4-FFF2-40B4-BE49-F238E27FC236}">
              <a16:creationId xmlns:a16="http://schemas.microsoft.com/office/drawing/2014/main" id="{00000000-0008-0000-0700-0000DDF25300}"/>
            </a:ext>
          </a:extLst>
        </xdr:cNvPr>
        <xdr:cNvSpPr>
          <a:spLocks noChangeShapeType="1"/>
        </xdr:cNvSpPr>
      </xdr:nvSpPr>
      <xdr:spPr bwMode="auto">
        <a:xfrm>
          <a:off x="14408150" y="2559050"/>
          <a:ext cx="14605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679450</xdr:colOff>
      <xdr:row>15</xdr:row>
      <xdr:rowOff>127000</xdr:rowOff>
    </xdr:from>
    <xdr:to>
      <xdr:col>19</xdr:col>
      <xdr:colOff>44450</xdr:colOff>
      <xdr:row>15</xdr:row>
      <xdr:rowOff>127000</xdr:rowOff>
    </xdr:to>
    <xdr:sp macro="" textlink="">
      <xdr:nvSpPr>
        <xdr:cNvPr id="5501662" name="Line 290">
          <a:extLst>
            <a:ext uri="{FF2B5EF4-FFF2-40B4-BE49-F238E27FC236}">
              <a16:creationId xmlns:a16="http://schemas.microsoft.com/office/drawing/2014/main" id="{00000000-0008-0000-0700-0000DEF25300}"/>
            </a:ext>
          </a:extLst>
        </xdr:cNvPr>
        <xdr:cNvSpPr>
          <a:spLocks noChangeShapeType="1"/>
        </xdr:cNvSpPr>
      </xdr:nvSpPr>
      <xdr:spPr bwMode="auto">
        <a:xfrm>
          <a:off x="14255750" y="2724150"/>
          <a:ext cx="16383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666750</xdr:colOff>
      <xdr:row>18</xdr:row>
      <xdr:rowOff>69850</xdr:rowOff>
    </xdr:from>
    <xdr:to>
      <xdr:col>19</xdr:col>
      <xdr:colOff>44450</xdr:colOff>
      <xdr:row>18</xdr:row>
      <xdr:rowOff>69850</xdr:rowOff>
    </xdr:to>
    <xdr:sp macro="" textlink="">
      <xdr:nvSpPr>
        <xdr:cNvPr id="5501663" name="Line 291">
          <a:extLst>
            <a:ext uri="{FF2B5EF4-FFF2-40B4-BE49-F238E27FC236}">
              <a16:creationId xmlns:a16="http://schemas.microsoft.com/office/drawing/2014/main" id="{00000000-0008-0000-0700-0000DFF25300}"/>
            </a:ext>
          </a:extLst>
        </xdr:cNvPr>
        <xdr:cNvSpPr>
          <a:spLocks noChangeShapeType="1"/>
        </xdr:cNvSpPr>
      </xdr:nvSpPr>
      <xdr:spPr bwMode="auto">
        <a:xfrm>
          <a:off x="14243050" y="3162300"/>
          <a:ext cx="16510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946150</xdr:colOff>
      <xdr:row>19</xdr:row>
      <xdr:rowOff>139700</xdr:rowOff>
    </xdr:from>
    <xdr:to>
      <xdr:col>19</xdr:col>
      <xdr:colOff>12700</xdr:colOff>
      <xdr:row>19</xdr:row>
      <xdr:rowOff>139700</xdr:rowOff>
    </xdr:to>
    <xdr:sp macro="" textlink="">
      <xdr:nvSpPr>
        <xdr:cNvPr id="5501664" name="Line 292">
          <a:extLst>
            <a:ext uri="{FF2B5EF4-FFF2-40B4-BE49-F238E27FC236}">
              <a16:creationId xmlns:a16="http://schemas.microsoft.com/office/drawing/2014/main" id="{00000000-0008-0000-0700-0000E0F25300}"/>
            </a:ext>
          </a:extLst>
        </xdr:cNvPr>
        <xdr:cNvSpPr>
          <a:spLocks noChangeShapeType="1"/>
        </xdr:cNvSpPr>
      </xdr:nvSpPr>
      <xdr:spPr bwMode="auto">
        <a:xfrm>
          <a:off x="14522450" y="3397250"/>
          <a:ext cx="133985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1136650</xdr:colOff>
      <xdr:row>1</xdr:row>
      <xdr:rowOff>0</xdr:rowOff>
    </xdr:from>
    <xdr:to>
      <xdr:col>18</xdr:col>
      <xdr:colOff>0</xdr:colOff>
      <xdr:row>14</xdr:row>
      <xdr:rowOff>127000</xdr:rowOff>
    </xdr:to>
    <xdr:sp macro="" textlink="">
      <xdr:nvSpPr>
        <xdr:cNvPr id="5501665" name="Line 293">
          <a:extLst>
            <a:ext uri="{FF2B5EF4-FFF2-40B4-BE49-F238E27FC236}">
              <a16:creationId xmlns:a16="http://schemas.microsoft.com/office/drawing/2014/main" id="{00000000-0008-0000-0700-0000E1F25300}"/>
            </a:ext>
          </a:extLst>
        </xdr:cNvPr>
        <xdr:cNvSpPr>
          <a:spLocks noChangeShapeType="1"/>
        </xdr:cNvSpPr>
      </xdr:nvSpPr>
      <xdr:spPr bwMode="auto">
        <a:xfrm flipH="1">
          <a:off x="14712950" y="171450"/>
          <a:ext cx="0" cy="23876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18</xdr:col>
      <xdr:colOff>190500</xdr:colOff>
      <xdr:row>1</xdr:row>
      <xdr:rowOff>0</xdr:rowOff>
    </xdr:from>
    <xdr:to>
      <xdr:col>18</xdr:col>
      <xdr:colOff>190500</xdr:colOff>
      <xdr:row>18</xdr:row>
      <xdr:rowOff>69850</xdr:rowOff>
    </xdr:to>
    <xdr:sp macro="" textlink="">
      <xdr:nvSpPr>
        <xdr:cNvPr id="5501666" name="Line 294">
          <a:extLst>
            <a:ext uri="{FF2B5EF4-FFF2-40B4-BE49-F238E27FC236}">
              <a16:creationId xmlns:a16="http://schemas.microsoft.com/office/drawing/2014/main" id="{00000000-0008-0000-0700-0000E2F25300}"/>
            </a:ext>
          </a:extLst>
        </xdr:cNvPr>
        <xdr:cNvSpPr>
          <a:spLocks noChangeShapeType="1"/>
        </xdr:cNvSpPr>
      </xdr:nvSpPr>
      <xdr:spPr bwMode="auto">
        <a:xfrm>
          <a:off x="14903450" y="171450"/>
          <a:ext cx="0" cy="299085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19</xdr:col>
      <xdr:colOff>19050</xdr:colOff>
      <xdr:row>14</xdr:row>
      <xdr:rowOff>127000</xdr:rowOff>
    </xdr:from>
    <xdr:to>
      <xdr:col>19</xdr:col>
      <xdr:colOff>19050</xdr:colOff>
      <xdr:row>15</xdr:row>
      <xdr:rowOff>127000</xdr:rowOff>
    </xdr:to>
    <xdr:sp macro="" textlink="">
      <xdr:nvSpPr>
        <xdr:cNvPr id="5501667" name="Line 295">
          <a:extLst>
            <a:ext uri="{FF2B5EF4-FFF2-40B4-BE49-F238E27FC236}">
              <a16:creationId xmlns:a16="http://schemas.microsoft.com/office/drawing/2014/main" id="{00000000-0008-0000-0700-0000E3F25300}"/>
            </a:ext>
          </a:extLst>
        </xdr:cNvPr>
        <xdr:cNvSpPr>
          <a:spLocks noChangeShapeType="1"/>
        </xdr:cNvSpPr>
      </xdr:nvSpPr>
      <xdr:spPr bwMode="auto">
        <a:xfrm>
          <a:off x="15868650" y="2559050"/>
          <a:ext cx="0" cy="16510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19</xdr:col>
      <xdr:colOff>12700</xdr:colOff>
      <xdr:row>18</xdr:row>
      <xdr:rowOff>69850</xdr:rowOff>
    </xdr:from>
    <xdr:to>
      <xdr:col>19</xdr:col>
      <xdr:colOff>12700</xdr:colOff>
      <xdr:row>19</xdr:row>
      <xdr:rowOff>139700</xdr:rowOff>
    </xdr:to>
    <xdr:sp macro="" textlink="">
      <xdr:nvSpPr>
        <xdr:cNvPr id="5501668" name="Line 296">
          <a:extLst>
            <a:ext uri="{FF2B5EF4-FFF2-40B4-BE49-F238E27FC236}">
              <a16:creationId xmlns:a16="http://schemas.microsoft.com/office/drawing/2014/main" id="{00000000-0008-0000-0700-0000E4F25300}"/>
            </a:ext>
          </a:extLst>
        </xdr:cNvPr>
        <xdr:cNvSpPr>
          <a:spLocks noChangeShapeType="1"/>
        </xdr:cNvSpPr>
      </xdr:nvSpPr>
      <xdr:spPr bwMode="auto">
        <a:xfrm>
          <a:off x="15862300" y="3162300"/>
          <a:ext cx="0" cy="23495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17</xdr:col>
      <xdr:colOff>0</xdr:colOff>
      <xdr:row>11</xdr:row>
      <xdr:rowOff>101600</xdr:rowOff>
    </xdr:from>
    <xdr:to>
      <xdr:col>17</xdr:col>
      <xdr:colOff>838200</xdr:colOff>
      <xdr:row>11</xdr:row>
      <xdr:rowOff>101600</xdr:rowOff>
    </xdr:to>
    <xdr:sp macro="" textlink="">
      <xdr:nvSpPr>
        <xdr:cNvPr id="5501669" name="Line 297">
          <a:extLst>
            <a:ext uri="{FF2B5EF4-FFF2-40B4-BE49-F238E27FC236}">
              <a16:creationId xmlns:a16="http://schemas.microsoft.com/office/drawing/2014/main" id="{00000000-0008-0000-0700-0000E5F25300}"/>
            </a:ext>
          </a:extLst>
        </xdr:cNvPr>
        <xdr:cNvSpPr>
          <a:spLocks noChangeShapeType="1"/>
        </xdr:cNvSpPr>
      </xdr:nvSpPr>
      <xdr:spPr bwMode="auto">
        <a:xfrm>
          <a:off x="13576300" y="2032000"/>
          <a:ext cx="838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16</xdr:row>
      <xdr:rowOff>69850</xdr:rowOff>
    </xdr:from>
    <xdr:to>
      <xdr:col>17</xdr:col>
      <xdr:colOff>679450</xdr:colOff>
      <xdr:row>16</xdr:row>
      <xdr:rowOff>69850</xdr:rowOff>
    </xdr:to>
    <xdr:sp macro="" textlink="">
      <xdr:nvSpPr>
        <xdr:cNvPr id="5501670" name="Line 298">
          <a:extLst>
            <a:ext uri="{FF2B5EF4-FFF2-40B4-BE49-F238E27FC236}">
              <a16:creationId xmlns:a16="http://schemas.microsoft.com/office/drawing/2014/main" id="{00000000-0008-0000-0700-0000E6F25300}"/>
            </a:ext>
          </a:extLst>
        </xdr:cNvPr>
        <xdr:cNvSpPr>
          <a:spLocks noChangeShapeType="1"/>
        </xdr:cNvSpPr>
      </xdr:nvSpPr>
      <xdr:spPr bwMode="auto">
        <a:xfrm>
          <a:off x="13576300" y="2832100"/>
          <a:ext cx="67945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514350</xdr:colOff>
      <xdr:row>31</xdr:row>
      <xdr:rowOff>127000</xdr:rowOff>
    </xdr:from>
    <xdr:to>
      <xdr:col>17</xdr:col>
      <xdr:colOff>514350</xdr:colOff>
      <xdr:row>33</xdr:row>
      <xdr:rowOff>95250</xdr:rowOff>
    </xdr:to>
    <xdr:sp macro="" textlink="">
      <xdr:nvSpPr>
        <xdr:cNvPr id="5501671" name="Line 301">
          <a:extLst>
            <a:ext uri="{FF2B5EF4-FFF2-40B4-BE49-F238E27FC236}">
              <a16:creationId xmlns:a16="http://schemas.microsoft.com/office/drawing/2014/main" id="{00000000-0008-0000-0700-0000E7F25300}"/>
            </a:ext>
          </a:extLst>
        </xdr:cNvPr>
        <xdr:cNvSpPr>
          <a:spLocks noChangeShapeType="1"/>
        </xdr:cNvSpPr>
      </xdr:nvSpPr>
      <xdr:spPr bwMode="auto">
        <a:xfrm flipH="1">
          <a:off x="14090650" y="5391150"/>
          <a:ext cx="0" cy="31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</xdr:row>
      <xdr:rowOff>76200</xdr:rowOff>
    </xdr:from>
    <xdr:to>
      <xdr:col>17</xdr:col>
      <xdr:colOff>152400</xdr:colOff>
      <xdr:row>2</xdr:row>
      <xdr:rowOff>76200</xdr:rowOff>
    </xdr:to>
    <xdr:sp macro="" textlink="">
      <xdr:nvSpPr>
        <xdr:cNvPr id="5501672" name="Line 302">
          <a:extLst>
            <a:ext uri="{FF2B5EF4-FFF2-40B4-BE49-F238E27FC236}">
              <a16:creationId xmlns:a16="http://schemas.microsoft.com/office/drawing/2014/main" id="{00000000-0008-0000-0700-0000E8F25300}"/>
            </a:ext>
          </a:extLst>
        </xdr:cNvPr>
        <xdr:cNvSpPr>
          <a:spLocks noChangeShapeType="1"/>
        </xdr:cNvSpPr>
      </xdr:nvSpPr>
      <xdr:spPr bwMode="auto">
        <a:xfrm>
          <a:off x="13576300" y="41910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1771650</xdr:colOff>
      <xdr:row>10</xdr:row>
      <xdr:rowOff>88900</xdr:rowOff>
    </xdr:from>
    <xdr:to>
      <xdr:col>20</xdr:col>
      <xdr:colOff>0</xdr:colOff>
      <xdr:row>10</xdr:row>
      <xdr:rowOff>88900</xdr:rowOff>
    </xdr:to>
    <xdr:sp macro="" textlink="">
      <xdr:nvSpPr>
        <xdr:cNvPr id="5501673" name="Line 303">
          <a:extLst>
            <a:ext uri="{FF2B5EF4-FFF2-40B4-BE49-F238E27FC236}">
              <a16:creationId xmlns:a16="http://schemas.microsoft.com/office/drawing/2014/main" id="{00000000-0008-0000-0700-0000E9F25300}"/>
            </a:ext>
          </a:extLst>
        </xdr:cNvPr>
        <xdr:cNvSpPr>
          <a:spLocks noChangeShapeType="1"/>
        </xdr:cNvSpPr>
      </xdr:nvSpPr>
      <xdr:spPr bwMode="auto">
        <a:xfrm flipV="1">
          <a:off x="14712950" y="1847850"/>
          <a:ext cx="19494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18</xdr:col>
      <xdr:colOff>190500</xdr:colOff>
      <xdr:row>12</xdr:row>
      <xdr:rowOff>76200</xdr:rowOff>
    </xdr:from>
    <xdr:to>
      <xdr:col>20</xdr:col>
      <xdr:colOff>0</xdr:colOff>
      <xdr:row>12</xdr:row>
      <xdr:rowOff>76200</xdr:rowOff>
    </xdr:to>
    <xdr:sp macro="" textlink="">
      <xdr:nvSpPr>
        <xdr:cNvPr id="5501674" name="Line 304">
          <a:extLst>
            <a:ext uri="{FF2B5EF4-FFF2-40B4-BE49-F238E27FC236}">
              <a16:creationId xmlns:a16="http://schemas.microsoft.com/office/drawing/2014/main" id="{00000000-0008-0000-0700-0000EAF25300}"/>
            </a:ext>
          </a:extLst>
        </xdr:cNvPr>
        <xdr:cNvSpPr>
          <a:spLocks noChangeShapeType="1"/>
        </xdr:cNvSpPr>
      </xdr:nvSpPr>
      <xdr:spPr bwMode="auto">
        <a:xfrm flipV="1">
          <a:off x="14903450" y="2178050"/>
          <a:ext cx="17589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19</xdr:col>
      <xdr:colOff>19050</xdr:colOff>
      <xdr:row>15</xdr:row>
      <xdr:rowOff>44450</xdr:rowOff>
    </xdr:from>
    <xdr:to>
      <xdr:col>19</xdr:col>
      <xdr:colOff>787400</xdr:colOff>
      <xdr:row>15</xdr:row>
      <xdr:rowOff>44450</xdr:rowOff>
    </xdr:to>
    <xdr:sp macro="" textlink="">
      <xdr:nvSpPr>
        <xdr:cNvPr id="5501675" name="Line 305">
          <a:extLst>
            <a:ext uri="{FF2B5EF4-FFF2-40B4-BE49-F238E27FC236}">
              <a16:creationId xmlns:a16="http://schemas.microsoft.com/office/drawing/2014/main" id="{00000000-0008-0000-0700-0000EBF25300}"/>
            </a:ext>
          </a:extLst>
        </xdr:cNvPr>
        <xdr:cNvSpPr>
          <a:spLocks noChangeShapeType="1"/>
        </xdr:cNvSpPr>
      </xdr:nvSpPr>
      <xdr:spPr bwMode="auto">
        <a:xfrm flipV="1">
          <a:off x="15868650" y="2641600"/>
          <a:ext cx="7683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19</xdr:col>
      <xdr:colOff>19050</xdr:colOff>
      <xdr:row>19</xdr:row>
      <xdr:rowOff>25400</xdr:rowOff>
    </xdr:from>
    <xdr:to>
      <xdr:col>19</xdr:col>
      <xdr:colOff>806450</xdr:colOff>
      <xdr:row>19</xdr:row>
      <xdr:rowOff>25400</xdr:rowOff>
    </xdr:to>
    <xdr:sp macro="" textlink="">
      <xdr:nvSpPr>
        <xdr:cNvPr id="5501676" name="Line 308">
          <a:extLst>
            <a:ext uri="{FF2B5EF4-FFF2-40B4-BE49-F238E27FC236}">
              <a16:creationId xmlns:a16="http://schemas.microsoft.com/office/drawing/2014/main" id="{00000000-0008-0000-0700-0000ECF25300}"/>
            </a:ext>
          </a:extLst>
        </xdr:cNvPr>
        <xdr:cNvSpPr>
          <a:spLocks noChangeShapeType="1"/>
        </xdr:cNvSpPr>
      </xdr:nvSpPr>
      <xdr:spPr bwMode="auto">
        <a:xfrm flipH="1" flipV="1">
          <a:off x="15868650" y="3282950"/>
          <a:ext cx="7874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none" w="sm" len="sm"/>
          <a:tailEnd type="none" w="sm" len="sm"/>
        </a:ln>
      </xdr:spPr>
    </xdr:sp>
    <xdr:clientData/>
  </xdr:twoCellAnchor>
  <xdr:twoCellAnchor>
    <xdr:from>
      <xdr:col>15</xdr:col>
      <xdr:colOff>812800</xdr:colOff>
      <xdr:row>28</xdr:row>
      <xdr:rowOff>88900</xdr:rowOff>
    </xdr:from>
    <xdr:to>
      <xdr:col>16</xdr:col>
      <xdr:colOff>323850</xdr:colOff>
      <xdr:row>28</xdr:row>
      <xdr:rowOff>88900</xdr:rowOff>
    </xdr:to>
    <xdr:sp macro="" textlink="">
      <xdr:nvSpPr>
        <xdr:cNvPr id="5501677" name="Line 310">
          <a:extLst>
            <a:ext uri="{FF2B5EF4-FFF2-40B4-BE49-F238E27FC236}">
              <a16:creationId xmlns:a16="http://schemas.microsoft.com/office/drawing/2014/main" id="{00000000-0008-0000-0700-0000EDF25300}"/>
            </a:ext>
          </a:extLst>
        </xdr:cNvPr>
        <xdr:cNvSpPr>
          <a:spLocks noChangeShapeType="1"/>
        </xdr:cNvSpPr>
      </xdr:nvSpPr>
      <xdr:spPr bwMode="auto">
        <a:xfrm>
          <a:off x="12763500" y="48387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234950</xdr:colOff>
      <xdr:row>27</xdr:row>
      <xdr:rowOff>127000</xdr:rowOff>
    </xdr:from>
    <xdr:to>
      <xdr:col>17</xdr:col>
      <xdr:colOff>69850</xdr:colOff>
      <xdr:row>27</xdr:row>
      <xdr:rowOff>127000</xdr:rowOff>
    </xdr:to>
    <xdr:sp macro="" textlink="">
      <xdr:nvSpPr>
        <xdr:cNvPr id="5501678" name="Line 277">
          <a:extLst>
            <a:ext uri="{FF2B5EF4-FFF2-40B4-BE49-F238E27FC236}">
              <a16:creationId xmlns:a16="http://schemas.microsoft.com/office/drawing/2014/main" id="{00000000-0008-0000-0700-0000EEF25300}"/>
            </a:ext>
          </a:extLst>
        </xdr:cNvPr>
        <xdr:cNvSpPr>
          <a:spLocks noChangeShapeType="1"/>
        </xdr:cNvSpPr>
      </xdr:nvSpPr>
      <xdr:spPr bwMode="auto">
        <a:xfrm>
          <a:off x="12998450" y="4705350"/>
          <a:ext cx="6477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412750</xdr:colOff>
      <xdr:row>28</xdr:row>
      <xdr:rowOff>127000</xdr:rowOff>
    </xdr:from>
    <xdr:to>
      <xdr:col>19</xdr:col>
      <xdr:colOff>82550</xdr:colOff>
      <xdr:row>28</xdr:row>
      <xdr:rowOff>127000</xdr:rowOff>
    </xdr:to>
    <xdr:sp macro="" textlink="">
      <xdr:nvSpPr>
        <xdr:cNvPr id="5501679" name="Line 280">
          <a:extLst>
            <a:ext uri="{FF2B5EF4-FFF2-40B4-BE49-F238E27FC236}">
              <a16:creationId xmlns:a16="http://schemas.microsoft.com/office/drawing/2014/main" id="{00000000-0008-0000-0700-0000EFF25300}"/>
            </a:ext>
          </a:extLst>
        </xdr:cNvPr>
        <xdr:cNvSpPr>
          <a:spLocks noChangeShapeType="1"/>
        </xdr:cNvSpPr>
      </xdr:nvSpPr>
      <xdr:spPr bwMode="auto">
        <a:xfrm flipV="1">
          <a:off x="13989050" y="4876800"/>
          <a:ext cx="19431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165100</xdr:colOff>
      <xdr:row>30</xdr:row>
      <xdr:rowOff>44450</xdr:rowOff>
    </xdr:from>
    <xdr:to>
      <xdr:col>18</xdr:col>
      <xdr:colOff>927100</xdr:colOff>
      <xdr:row>30</xdr:row>
      <xdr:rowOff>44450</xdr:rowOff>
    </xdr:to>
    <xdr:sp macro="" textlink="">
      <xdr:nvSpPr>
        <xdr:cNvPr id="5501680" name="Line 280">
          <a:extLst>
            <a:ext uri="{FF2B5EF4-FFF2-40B4-BE49-F238E27FC236}">
              <a16:creationId xmlns:a16="http://schemas.microsoft.com/office/drawing/2014/main" id="{00000000-0008-0000-0700-0000F0F25300}"/>
            </a:ext>
          </a:extLst>
        </xdr:cNvPr>
        <xdr:cNvSpPr>
          <a:spLocks noChangeShapeType="1"/>
        </xdr:cNvSpPr>
      </xdr:nvSpPr>
      <xdr:spPr bwMode="auto">
        <a:xfrm>
          <a:off x="14878050" y="5137150"/>
          <a:ext cx="762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1047750</xdr:colOff>
      <xdr:row>20</xdr:row>
      <xdr:rowOff>0</xdr:rowOff>
    </xdr:from>
    <xdr:to>
      <xdr:col>18</xdr:col>
      <xdr:colOff>158750</xdr:colOff>
      <xdr:row>30</xdr:row>
      <xdr:rowOff>44450</xdr:rowOff>
    </xdr:to>
    <xdr:sp macro="" textlink="">
      <xdr:nvSpPr>
        <xdr:cNvPr id="5501681" name="Rectangle 139">
          <a:extLst>
            <a:ext uri="{FF2B5EF4-FFF2-40B4-BE49-F238E27FC236}">
              <a16:creationId xmlns:a16="http://schemas.microsoft.com/office/drawing/2014/main" id="{00000000-0008-0000-0700-0000F1F25300}"/>
            </a:ext>
          </a:extLst>
        </xdr:cNvPr>
        <xdr:cNvSpPr>
          <a:spLocks noChangeArrowheads="1"/>
        </xdr:cNvSpPr>
      </xdr:nvSpPr>
      <xdr:spPr bwMode="auto">
        <a:xfrm>
          <a:off x="14624050" y="3422650"/>
          <a:ext cx="247650" cy="1714500"/>
        </a:xfrm>
        <a:prstGeom prst="rect">
          <a:avLst/>
        </a:prstGeom>
        <a:noFill/>
        <a:ln w="9525" algn="ctr">
          <a:solidFill>
            <a:srgbClr val="00B0F0"/>
          </a:solidFill>
          <a:prstDash val="sysDash"/>
          <a:round/>
          <a:headEnd/>
          <a:tailEnd/>
        </a:ln>
      </xdr:spPr>
    </xdr:sp>
    <xdr:clientData/>
  </xdr:twoCellAnchor>
  <xdr:twoCellAnchor>
    <xdr:from>
      <xdr:col>18</xdr:col>
      <xdr:colOff>927100</xdr:colOff>
      <xdr:row>1</xdr:row>
      <xdr:rowOff>12700</xdr:rowOff>
    </xdr:from>
    <xdr:to>
      <xdr:col>18</xdr:col>
      <xdr:colOff>927100</xdr:colOff>
      <xdr:row>29</xdr:row>
      <xdr:rowOff>69850</xdr:rowOff>
    </xdr:to>
    <xdr:sp macro="" textlink="">
      <xdr:nvSpPr>
        <xdr:cNvPr id="5501682" name="Line 270">
          <a:extLst>
            <a:ext uri="{FF2B5EF4-FFF2-40B4-BE49-F238E27FC236}">
              <a16:creationId xmlns:a16="http://schemas.microsoft.com/office/drawing/2014/main" id="{00000000-0008-0000-0700-0000F2F25300}"/>
            </a:ext>
          </a:extLst>
        </xdr:cNvPr>
        <xdr:cNvSpPr>
          <a:spLocks noChangeShapeType="1"/>
        </xdr:cNvSpPr>
      </xdr:nvSpPr>
      <xdr:spPr bwMode="auto">
        <a:xfrm flipH="1">
          <a:off x="15640050" y="184150"/>
          <a:ext cx="0" cy="48069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12700</xdr:colOff>
      <xdr:row>33</xdr:row>
      <xdr:rowOff>95250</xdr:rowOff>
    </xdr:from>
    <xdr:to>
      <xdr:col>17</xdr:col>
      <xdr:colOff>520700</xdr:colOff>
      <xdr:row>33</xdr:row>
      <xdr:rowOff>95250</xdr:rowOff>
    </xdr:to>
    <xdr:sp macro="" textlink="">
      <xdr:nvSpPr>
        <xdr:cNvPr id="5501683" name="Line 301">
          <a:extLst>
            <a:ext uri="{FF2B5EF4-FFF2-40B4-BE49-F238E27FC236}">
              <a16:creationId xmlns:a16="http://schemas.microsoft.com/office/drawing/2014/main" id="{00000000-0008-0000-0700-0000F3F25300}"/>
            </a:ext>
          </a:extLst>
        </xdr:cNvPr>
        <xdr:cNvSpPr>
          <a:spLocks noChangeShapeType="1"/>
        </xdr:cNvSpPr>
      </xdr:nvSpPr>
      <xdr:spPr bwMode="auto">
        <a:xfrm>
          <a:off x="13589000" y="5702300"/>
          <a:ext cx="508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787400</xdr:colOff>
      <xdr:row>1</xdr:row>
      <xdr:rowOff>19050</xdr:rowOff>
    </xdr:from>
    <xdr:to>
      <xdr:col>18</xdr:col>
      <xdr:colOff>787400</xdr:colOff>
      <xdr:row>30</xdr:row>
      <xdr:rowOff>38100</xdr:rowOff>
    </xdr:to>
    <xdr:sp macro="" textlink="">
      <xdr:nvSpPr>
        <xdr:cNvPr id="5501684" name="Line 270">
          <a:extLst>
            <a:ext uri="{FF2B5EF4-FFF2-40B4-BE49-F238E27FC236}">
              <a16:creationId xmlns:a16="http://schemas.microsoft.com/office/drawing/2014/main" id="{00000000-0008-0000-0700-0000F4F25300}"/>
            </a:ext>
          </a:extLst>
        </xdr:cNvPr>
        <xdr:cNvSpPr>
          <a:spLocks noChangeShapeType="1"/>
        </xdr:cNvSpPr>
      </xdr:nvSpPr>
      <xdr:spPr bwMode="auto">
        <a:xfrm>
          <a:off x="15500350" y="190500"/>
          <a:ext cx="0" cy="49403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planete-sciences.org/espace/basedoc/" TargetMode="External"/><Relationship Id="rId1" Type="http://schemas.openxmlformats.org/officeDocument/2006/relationships/hyperlink" Target="http://en.wikipedia.org/wiki/Template:Numerical_integrators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3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reativecommons.org/licenses/by-sa/3.0/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espace@planete-sciences.org" TargetMode="External"/><Relationship Id="rId1" Type="http://schemas.openxmlformats.org/officeDocument/2006/relationships/hyperlink" Target="http://www.planete-sciences.org/espace/basedoc/" TargetMode="External"/><Relationship Id="rId6" Type="http://schemas.openxmlformats.org/officeDocument/2006/relationships/vmlDrawing" Target="../drawings/vmlDrawing4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pageSetUpPr fitToPage="1"/>
  </sheetPr>
  <dimension ref="A1:W361"/>
  <sheetViews>
    <sheetView showGridLines="0" tabSelected="1" zoomScale="115" zoomScaleNormal="115" zoomScaleSheetLayoutView="100" workbookViewId="0">
      <selection activeCell="E33" sqref="E33"/>
    </sheetView>
  </sheetViews>
  <sheetFormatPr baseColWidth="10" defaultColWidth="11.42578125" defaultRowHeight="12.75" x14ac:dyDescent="0.2"/>
  <cols>
    <col min="1" max="1" width="2.140625" style="24" customWidth="1"/>
    <col min="2" max="2" width="16.28515625" style="24" customWidth="1"/>
    <col min="3" max="3" width="12.85546875" style="31" customWidth="1"/>
    <col min="4" max="4" width="12.85546875" style="24" customWidth="1"/>
    <col min="5" max="5" width="4.140625" style="89" customWidth="1"/>
    <col min="6" max="6" width="10.140625" style="26" bestFit="1" customWidth="1"/>
    <col min="7" max="7" width="10" style="26" bestFit="1" customWidth="1"/>
    <col min="8" max="9" width="8.42578125" style="26" customWidth="1"/>
    <col min="10" max="10" width="5.42578125" style="24" customWidth="1"/>
    <col min="11" max="11" width="2.140625" style="24" customWidth="1"/>
    <col min="12" max="12" width="17" style="24" customWidth="1"/>
    <col min="13" max="13" width="8.42578125" style="24" customWidth="1"/>
    <col min="14" max="15" width="4.28515625" style="24" customWidth="1"/>
    <col min="16" max="16" width="8.42578125" style="24" customWidth="1"/>
    <col min="17" max="18" width="2.140625" style="24" customWidth="1"/>
    <col min="19" max="16384" width="11.42578125" style="24"/>
  </cols>
  <sheetData>
    <row r="1" spans="1:20" ht="12.75" customHeight="1" x14ac:dyDescent="0.2">
      <c r="A1" s="19"/>
      <c r="B1" s="20"/>
      <c r="C1" s="21"/>
      <c r="D1" s="20"/>
      <c r="E1" s="88"/>
      <c r="F1" s="22"/>
      <c r="G1" s="22"/>
      <c r="H1" s="22"/>
      <c r="I1" s="22"/>
      <c r="J1" s="20"/>
      <c r="K1" s="20"/>
      <c r="L1" s="20"/>
      <c r="M1" s="20"/>
      <c r="N1" s="20"/>
      <c r="O1" s="20"/>
      <c r="P1" s="20"/>
      <c r="Q1" s="23"/>
    </row>
    <row r="2" spans="1:20" ht="12.75" customHeight="1" x14ac:dyDescent="0.2">
      <c r="A2" s="25"/>
      <c r="C2" s="553" t="s">
        <v>54</v>
      </c>
      <c r="D2" s="553"/>
      <c r="L2" s="147" t="str">
        <f>"Language/Langue"</f>
        <v>Language/Langue</v>
      </c>
      <c r="M2" s="578" t="s">
        <v>1</v>
      </c>
      <c r="N2" s="578"/>
      <c r="O2" s="578"/>
      <c r="P2" s="579"/>
      <c r="Q2" s="27"/>
    </row>
    <row r="3" spans="1:20" ht="12.75" customHeight="1" x14ac:dyDescent="0.2">
      <c r="A3" s="25"/>
      <c r="C3" s="553"/>
      <c r="D3" s="553"/>
      <c r="L3" s="586"/>
      <c r="M3" s="586"/>
      <c r="N3" s="45"/>
      <c r="Q3" s="27"/>
    </row>
    <row r="4" spans="1:20" ht="12.75" customHeight="1" x14ac:dyDescent="0.2">
      <c r="A4" s="25"/>
      <c r="C4" s="554" t="str">
        <f>IF(Lang="Français","Stabilité de fusée à ailerons",IF(Lang="English","Stability for rocket with fins",""))</f>
        <v>Stabilité de fusée à ailerons</v>
      </c>
      <c r="D4" s="554"/>
      <c r="L4" s="33"/>
      <c r="M4" s="578" t="s">
        <v>557</v>
      </c>
      <c r="N4" s="578"/>
      <c r="O4" s="578"/>
      <c r="P4" s="579"/>
      <c r="Q4" s="27"/>
    </row>
    <row r="5" spans="1:20" ht="12.75" customHeight="1" x14ac:dyDescent="0.25">
      <c r="A5" s="25"/>
      <c r="B5" s="28"/>
      <c r="C5" s="535"/>
      <c r="D5" s="535"/>
      <c r="L5" s="33"/>
      <c r="M5" s="560" t="s">
        <v>157</v>
      </c>
      <c r="N5" s="561"/>
      <c r="O5" s="589" t="s">
        <v>158</v>
      </c>
      <c r="P5" s="589"/>
      <c r="Q5" s="29"/>
    </row>
    <row r="6" spans="1:20" ht="12.75" customHeight="1" thickBot="1" x14ac:dyDescent="0.25">
      <c r="A6" s="25"/>
      <c r="B6" s="87"/>
      <c r="C6" s="548" t="str">
        <f>IF(Lang="Français","Remplir les cases jaunes",IF(Lang="English","Fill-in yellow cells only",""))</f>
        <v>Remplir les cases jaunes</v>
      </c>
      <c r="D6" s="548"/>
      <c r="L6" s="139" t="str">
        <f>IF(Lang="Français","Longueur      'L'",IF(Lang="English","Length      'L'",""))</f>
        <v>Longueur      'L'</v>
      </c>
      <c r="M6" s="549">
        <v>50</v>
      </c>
      <c r="N6" s="550"/>
      <c r="O6" s="570">
        <v>50</v>
      </c>
      <c r="P6" s="570"/>
      <c r="Q6" s="29"/>
    </row>
    <row r="7" spans="1:20" ht="12.75" customHeight="1" thickTop="1" thickBot="1" x14ac:dyDescent="0.25">
      <c r="A7" s="25"/>
      <c r="B7" s="31"/>
      <c r="C7" s="556" t="str">
        <f>IF(Lang="Français","Fusée",IF(Lang="English","Rocket",""))</f>
        <v>Fusée</v>
      </c>
      <c r="D7" s="557"/>
      <c r="L7" s="139" t="str">
        <f>IF(Lang="Français","Diamètre     'D1'",IF(Lang="English","Diameter 'D1'",""))</f>
        <v>Diamètre     'D1'</v>
      </c>
      <c r="M7" s="549">
        <v>84</v>
      </c>
      <c r="N7" s="550"/>
      <c r="O7" s="570">
        <v>84</v>
      </c>
      <c r="P7" s="570"/>
      <c r="Q7" s="29"/>
    </row>
    <row r="8" spans="1:20" ht="12.75" customHeight="1" thickTop="1" x14ac:dyDescent="0.2">
      <c r="A8" s="25"/>
      <c r="B8" s="138" t="str">
        <f>IF(Lang="Français","Nom",IF(Lang="English","Name",""))</f>
        <v>Nom</v>
      </c>
      <c r="C8" s="551" t="s">
        <v>559</v>
      </c>
      <c r="D8" s="551"/>
      <c r="E8" s="90"/>
      <c r="K8" s="33"/>
      <c r="L8" s="139" t="str">
        <f>IF(Lang="Français","Diamètre     'D2'",IF(Lang="English","Diameter 'D2'",""))</f>
        <v>Diamètre     'D2'</v>
      </c>
      <c r="M8" s="549">
        <v>104</v>
      </c>
      <c r="N8" s="550"/>
      <c r="O8" s="570">
        <v>104</v>
      </c>
      <c r="P8" s="570"/>
      <c r="Q8" s="29"/>
    </row>
    <row r="9" spans="1:20" ht="12.75" customHeight="1" x14ac:dyDescent="0.2">
      <c r="A9" s="25"/>
      <c r="B9" s="138" t="s">
        <v>4</v>
      </c>
      <c r="C9" s="552" t="s">
        <v>553</v>
      </c>
      <c r="D9" s="552"/>
      <c r="E9" s="90"/>
      <c r="K9" s="33"/>
      <c r="L9" s="139" t="str">
        <f>IF(Lang="Français","Implantation 'x'",IF(Lang="English","Basement 'x'",""))</f>
        <v>Implantation 'x'</v>
      </c>
      <c r="M9" s="549">
        <v>1</v>
      </c>
      <c r="N9" s="550"/>
      <c r="O9" s="570">
        <v>0</v>
      </c>
      <c r="P9" s="570"/>
      <c r="Q9" s="29"/>
    </row>
    <row r="10" spans="1:20" ht="12.75" customHeight="1" x14ac:dyDescent="0.2">
      <c r="A10" s="25"/>
      <c r="B10" s="139" t="s">
        <v>55</v>
      </c>
      <c r="C10" s="558" t="s">
        <v>558</v>
      </c>
      <c r="D10" s="559"/>
      <c r="E10" s="90"/>
      <c r="K10" s="33"/>
      <c r="Q10" s="29"/>
    </row>
    <row r="11" spans="1:20" ht="12.75" customHeight="1" x14ac:dyDescent="0.2">
      <c r="A11" s="25"/>
      <c r="B11" s="139" t="str">
        <f>IF(Lang="Français","Masse",IF(Lang="English","Weight",""))</f>
        <v>Masse</v>
      </c>
      <c r="C11" s="222">
        <v>4830</v>
      </c>
      <c r="D11" s="34" t="s">
        <v>423</v>
      </c>
      <c r="E11" s="90"/>
      <c r="K11" s="33"/>
      <c r="L11" s="107"/>
      <c r="M11" s="224" t="str">
        <f>IF(Lang="Français","Propu plein",IF(Lang="English","Loaded Motor",""))</f>
        <v>Propu plein</v>
      </c>
      <c r="N11" s="587" t="str">
        <f>IF(Lang="Français","Propu vide",IF(Lang="English","Empty Motor",""))</f>
        <v>Propu vide</v>
      </c>
      <c r="O11" s="588"/>
      <c r="P11" s="224" t="str">
        <f>IF(Lang="Français","Sans propu",IF(Lang="English","Without M",""))</f>
        <v>Sans propu</v>
      </c>
      <c r="Q11" s="29"/>
      <c r="S11" s="385"/>
      <c r="T11" s="386" t="str">
        <f>IF(Lang="Français","Propulseur",IF(Lang="English","Motor",""))</f>
        <v>Propulseur</v>
      </c>
    </row>
    <row r="12" spans="1:20" ht="12.75" customHeight="1" x14ac:dyDescent="0.2">
      <c r="A12" s="25"/>
      <c r="B12" s="139" t="str">
        <f>IF(Lang="Français","Centre de Masse",IF(Lang="English","Center of Mass",""))</f>
        <v>Centre de Masse</v>
      </c>
      <c r="C12" s="35">
        <v>250</v>
      </c>
      <c r="D12" s="34" t="s">
        <v>423</v>
      </c>
      <c r="L12" s="108" t="str">
        <f>IF(Lang="Français","Masse propu",IF(Lang="English","Motor Mass",""))</f>
        <v>Masse propu</v>
      </c>
      <c r="M12" s="109">
        <f ca="1">MpropuPlein</f>
        <v>3.5110000000000001</v>
      </c>
      <c r="N12" s="582">
        <f ca="1">MpropuVide</f>
        <v>1.6379999999999999</v>
      </c>
      <c r="O12" s="583"/>
      <c r="P12" s="110" t="s">
        <v>14</v>
      </c>
      <c r="Q12" s="29"/>
      <c r="S12" s="386" t="str">
        <f>IF(Lang="Français","Haut",IF(Lang="English","Top",""))</f>
        <v>Haut</v>
      </c>
      <c r="T12" s="387">
        <f ca="1">XpropuRef-Long_propu</f>
        <v>549</v>
      </c>
    </row>
    <row r="13" spans="1:20" ht="12.75" customHeight="1" x14ac:dyDescent="0.2">
      <c r="A13" s="25"/>
      <c r="B13" s="139" t="str">
        <f>IF(Lang="Français","Longueur totale",IF(Lang="English","Total length",""))</f>
        <v>Longueur totale</v>
      </c>
      <c r="C13" s="549">
        <v>1035</v>
      </c>
      <c r="D13" s="550"/>
      <c r="L13" s="108" t="str">
        <f>IF(Lang="Français","CdM propu",IF(Lang="English","Motor CoM",""))</f>
        <v>CdM propu</v>
      </c>
      <c r="M13" s="111">
        <f ca="1">XpropuPlein</f>
        <v>243</v>
      </c>
      <c r="N13" s="580">
        <f ca="1">XpropuVide</f>
        <v>243</v>
      </c>
      <c r="O13" s="581"/>
      <c r="P13" s="110" t="s">
        <v>14</v>
      </c>
      <c r="Q13" s="29"/>
      <c r="S13" s="386" t="str">
        <f>IF(Lang="Français","Longueur",IF(Lang="English","Length",""))</f>
        <v>Longueur</v>
      </c>
      <c r="T13" s="387">
        <f ca="1">Long_propu</f>
        <v>486</v>
      </c>
    </row>
    <row r="14" spans="1:20" ht="12.75" customHeight="1" x14ac:dyDescent="0.2">
      <c r="A14" s="25"/>
      <c r="B14" s="139" t="str">
        <f>IF(Lang="Français","Diamètre Réf.",IF(Lang="English","Ref. Diameter",""))</f>
        <v>Diamètre Réf.</v>
      </c>
      <c r="C14" s="549">
        <v>104</v>
      </c>
      <c r="D14" s="550"/>
      <c r="L14" s="108" t="str">
        <f>IF(Lang="Français","Masse fusée",IF(Lang="English","Rocket Mass",""))</f>
        <v>Masse fusée</v>
      </c>
      <c r="M14" s="112">
        <f ca="1">MasseSans+MpropuPlein</f>
        <v>8.3410000000000011</v>
      </c>
      <c r="N14" s="562">
        <f ca="1">MasseSans+MpropuVide</f>
        <v>6.468</v>
      </c>
      <c r="O14" s="563"/>
      <c r="P14" s="109">
        <f>IF(OR(D11="sans propu",D11="without motor"),C11/1000,IF(OR(D11="avec propu vide",D11="with empty motor"),C11/1000-MpropuVide,IF(OR(D11="avec propu plein",D11="with loaded motor"),C11/1000-MpropuPlein,"Erreur")))</f>
        <v>4.83</v>
      </c>
      <c r="Q14" s="29"/>
      <c r="S14" s="386" t="str">
        <f>IF(Lang="Français","Bas",IF(Lang="English","Base",""))</f>
        <v>Bas</v>
      </c>
      <c r="T14" s="387">
        <f>XpropuRef</f>
        <v>1035</v>
      </c>
    </row>
    <row r="15" spans="1:20" ht="12.75" customHeight="1" thickBot="1" x14ac:dyDescent="0.25">
      <c r="A15" s="25"/>
      <c r="D15" s="31"/>
      <c r="L15" s="175" t="str">
        <f>IF(Lang="Français","CdM fusée",IF(Lang="English","Rocket CoM",""))</f>
        <v>CdM fusée</v>
      </c>
      <c r="M15" s="176">
        <f ca="1">(XcgSans*MasseSans+(XpropuRef-Long_propu+XpropuPlein)*MpropuPlein)/MassePlein</f>
        <v>478.14554609759017</v>
      </c>
      <c r="N15" s="564">
        <f ca="1">(XcgSans*MasseSans+(XpropuRef-Long_propu+XpropuVide)*MpropuVide)/MasseVide</f>
        <v>387.25974025974023</v>
      </c>
      <c r="O15" s="565"/>
      <c r="P15" s="113">
        <f>IF(OR(D12="sans propu",D12="without motor"),C12,IF(OR(D12="avec propu vide",D12="with empty motor"),(C12*MasseVide-(XpropuRef-Long_propu+XpropuVide)*MpropuVide)/MasseSans,IF(OR(D12="avec propu plein",D12="with loaded motor"),(C12*MassePlein-(XpropuRef-Long_propu+XpropuPlein)*MpropuPlein)/MasseSans,"Erreur")))</f>
        <v>250</v>
      </c>
      <c r="Q15" s="29"/>
    </row>
    <row r="16" spans="1:20" ht="12.75" customHeight="1" thickTop="1" thickBot="1" x14ac:dyDescent="0.25">
      <c r="A16" s="25"/>
      <c r="C16" s="537" t="str">
        <f>IF(Lang="Français","Propulseur",IF(Lang="English","Motor",""))</f>
        <v>Propulseur</v>
      </c>
      <c r="D16" s="538"/>
      <c r="L16" s="94"/>
      <c r="M16" s="94"/>
      <c r="N16" s="94"/>
      <c r="O16" s="94"/>
      <c r="P16" s="94"/>
      <c r="Q16" s="29"/>
      <c r="S16" s="385"/>
      <c r="T16" s="386" t="str">
        <f>IF(RIGHT(Type_masquage,1)=",",IF(Lang="Français","Ailerons","Fins"),IF(Lang="Français","Ailerons bas","Lower Fins"))</f>
        <v>Ailerons bas</v>
      </c>
    </row>
    <row r="17" spans="1:20" ht="12.75" customHeight="1" thickTop="1" x14ac:dyDescent="0.2">
      <c r="A17" s="25"/>
      <c r="B17" s="139" t="s">
        <v>55</v>
      </c>
      <c r="C17" s="539" t="s">
        <v>551</v>
      </c>
      <c r="D17" s="540"/>
      <c r="L17" s="114"/>
      <c r="M17" s="566" t="s">
        <v>56</v>
      </c>
      <c r="N17" s="567"/>
      <c r="O17" s="590" t="s">
        <v>66</v>
      </c>
      <c r="P17" s="590"/>
      <c r="Q17" s="29"/>
      <c r="S17" s="386" t="str">
        <f>IF(Lang="Français","Haut","Top")</f>
        <v>Haut</v>
      </c>
      <c r="T17" s="387">
        <f>X_ail-m_ail</f>
        <v>805</v>
      </c>
    </row>
    <row r="18" spans="1:20" ht="12.75" customHeight="1" x14ac:dyDescent="0.2">
      <c r="A18" s="25"/>
      <c r="B18" s="139" t="str">
        <f>IF(Lang="Français","Position du bas",IF(Lang="English","Basement",""))</f>
        <v>Position du bas</v>
      </c>
      <c r="C18" s="570">
        <f>Long_tot</f>
        <v>1035</v>
      </c>
      <c r="D18" s="570"/>
      <c r="K18" s="37"/>
      <c r="L18" s="108" t="str">
        <f>IF(Lang="Français","Coiffe",IF(Lang="English","Nose Cone",""))</f>
        <v>Coiffe</v>
      </c>
      <c r="M18" s="542">
        <f>IF(LEFT(Forme_ogive,5)="Parab",1/2*Long_ogive,IF(LEFT(Forme_ogive,4)="Ogiv",7/15*Long_ogive,IF(LEFT(Forme_ogive,3)="Con",2/3*Long_ogive)))</f>
        <v>0.66666666666666663</v>
      </c>
      <c r="N18" s="543"/>
      <c r="O18" s="541">
        <f>2*POWER(D_og/D_ref, 2)</f>
        <v>1.304733727810651</v>
      </c>
      <c r="P18" s="541"/>
      <c r="Q18" s="29"/>
      <c r="S18" s="386" t="str">
        <f>IF(Lang="Français","Emplanture","Root edge")</f>
        <v>Emplanture</v>
      </c>
      <c r="T18" s="387">
        <f>m_ail</f>
        <v>210</v>
      </c>
    </row>
    <row r="19" spans="1:20" ht="12.75" customHeight="1" thickBot="1" x14ac:dyDescent="0.25">
      <c r="A19" s="25"/>
      <c r="B19" s="428" t="str">
        <f>IF(Propu="Cariacou","Cariacou :"," ")</f>
        <v xml:space="preserve"> </v>
      </c>
      <c r="C19" s="571" t="str">
        <f>IF(Propu="Pandora (Pro24-6G)",IF(Lang="Français","C'Space Seulement",IF(Lang="English","C'Space only","")),"")</f>
        <v/>
      </c>
      <c r="D19" s="571"/>
      <c r="L19" s="108" t="str">
        <f>IF(Lang="Français","Ailerons",IF(Lang="English","Fins",""))</f>
        <v>Ailerons</v>
      </c>
      <c r="M19" s="542">
        <f>(XCpa*Cnail-0.5*XCpi*Cni)/Cnai</f>
        <v>924.5454545454545</v>
      </c>
      <c r="N19" s="543"/>
      <c r="O19" s="544">
        <f>Cnail-Cni/2</f>
        <v>16.417052955985117</v>
      </c>
      <c r="P19" s="545"/>
      <c r="Q19" s="29"/>
      <c r="S19" s="386" t="str">
        <f>IF(Lang="Français","Bas","Base")</f>
        <v>Bas</v>
      </c>
      <c r="T19" s="387">
        <f>X_ail</f>
        <v>1015</v>
      </c>
    </row>
    <row r="20" spans="1:20" ht="12.75" customHeight="1" thickTop="1" thickBot="1" x14ac:dyDescent="0.25">
      <c r="A20" s="25"/>
      <c r="B20" s="30"/>
      <c r="C20" s="546" t="str">
        <f>IF(Lang="Français","Coiffe",IF(Lang="English","Nose Cone",""))</f>
        <v>Coiffe</v>
      </c>
      <c r="D20" s="547"/>
      <c r="L20" s="108" t="str">
        <f>IF(Lang="Français","Ail bas entier",IF(Lang="English","Total Lower Fins",""))</f>
        <v>Ail bas entier</v>
      </c>
      <c r="M20" s="542">
        <f>X_ail-m_ail+p_ail*(m_ail+2*n_ail)/(3*(m_ail+n_ail))+(m_ail+n_ail-m_ail*n_ail/(m_ail+n_ail))/6</f>
        <v>924.5454545454545</v>
      </c>
      <c r="N20" s="543"/>
      <c r="O20" s="541">
        <f>4*Q_ail*POWER((E_ail/D_ref),2)*(1+D_ail/(2*E_ail+D_ail))/(1+SQRT(1+POWER(2*f_ail/(m_ail+n_ail),2)))</f>
        <v>16.417052955985117</v>
      </c>
      <c r="P20" s="541"/>
      <c r="Q20" s="29"/>
    </row>
    <row r="21" spans="1:20" ht="12.75" customHeight="1" thickTop="1" x14ac:dyDescent="0.2">
      <c r="A21" s="25"/>
      <c r="B21" s="139" t="str">
        <f>IF(Lang="Français","Forme",IF(Lang="English","Shape",""))</f>
        <v>Forme</v>
      </c>
      <c r="C21" s="572" t="s">
        <v>556</v>
      </c>
      <c r="D21" s="573"/>
      <c r="L21" s="108" t="str">
        <f>IF(Lang="Français","Ailerons haut",IF(Lang="English","Upper Fins",""))</f>
        <v>Ailerons haut</v>
      </c>
      <c r="M21" s="542">
        <f>IF(LEFT(Type_masquage,1)="M",0, X_can-m_can+p_can*(m_can+2*n_can)/(3*(m_can+n_can))+(m_can+n_can-m_can*n_can/(m_can+n_can))/6)</f>
        <v>0</v>
      </c>
      <c r="N21" s="543"/>
      <c r="O21" s="541">
        <f>IF(LEFT(Type_masquage,1)="M",0, 4*Q_can*POWER((E_can/D_ref),2)*(1+D_can/(2*E_can+D_can))/(1+SQRT(1+POWER(2*f_can/(m_can+n_can),2))))</f>
        <v>0</v>
      </c>
      <c r="P21" s="541"/>
      <c r="Q21" s="29"/>
    </row>
    <row r="22" spans="1:20" ht="12.75" customHeight="1" x14ac:dyDescent="0.2">
      <c r="A22" s="25"/>
      <c r="B22" s="139" t="str">
        <f>IF(Lang="Français","Hauteur",IF(Lang="English","Heigth",""))</f>
        <v>Hauteur</v>
      </c>
      <c r="C22" s="549">
        <v>1</v>
      </c>
      <c r="D22" s="550"/>
      <c r="L22" s="108" t="str">
        <f>IF(Lang="Français","Partie masquée",IF(Lang="English","Interation zone",""))</f>
        <v>Partie masquée</v>
      </c>
      <c r="M22" s="555">
        <f>IF(LEFT(Type_masquage,1)="B", X_int-m_int+p_int*(m_int+2*n_int)/(3*(m_int+n_int))+(m_int+n_int-m_int*n_int/(m_int+n_int))/6, 0 )</f>
        <v>0</v>
      </c>
      <c r="N22" s="555"/>
      <c r="O22" s="544">
        <f>IF(LEFT(Type_masquage,1)="B", 4*Q_int*POWER((E_int/D_ref),2)*(1+D_int/(2*E_int+D_int))/(1+SQRT(1+POWER(2*f_int/(m_int+n_int),2))), 0 )</f>
        <v>0</v>
      </c>
      <c r="P22" s="545"/>
      <c r="Q22" s="29"/>
    </row>
    <row r="23" spans="1:20" ht="12.75" customHeight="1" x14ac:dyDescent="0.2">
      <c r="A23" s="25"/>
      <c r="B23" s="139" t="str">
        <f>IF(Lang="Français","Diamètre",IF(Lang="English","Diameter",""))</f>
        <v>Diamètre</v>
      </c>
      <c r="C23" s="549">
        <v>84</v>
      </c>
      <c r="D23" s="550"/>
      <c r="L23" s="108" t="s">
        <v>157</v>
      </c>
      <c r="M23" s="542">
        <f>IF(OR(RIGHT(Nb_diam,1)=",",D2j=0),0, X_j+l_j/3*(1+1/(1+D1j/D2j)) )</f>
        <v>26.886524822695041</v>
      </c>
      <c r="N23" s="543"/>
      <c r="O23" s="541">
        <f>IF(OR(RIGHT(Nb_diam,1)=",",D2j=0),0,2*(POWER(D2j/D_ref,2)-POWER(D1j/D_ref,2)))</f>
        <v>0.695266272189349</v>
      </c>
      <c r="P23" s="541"/>
      <c r="Q23" s="29"/>
    </row>
    <row r="24" spans="1:20" ht="12.75" customHeight="1" thickBot="1" x14ac:dyDescent="0.25">
      <c r="A24" s="25"/>
      <c r="L24" s="108" t="s">
        <v>158</v>
      </c>
      <c r="M24" s="542">
        <f>IF( OR(RIGHT(Nb_diam,1)=",",D2r=0), 0, X_r+l_r/3*(1+1/(1+D1r/D2r)) )</f>
        <v>25.886524822695041</v>
      </c>
      <c r="N24" s="543"/>
      <c r="O24" s="541">
        <f>IF( OR(RIGHT(Nb_diam,1)=",",D2r=0), 0, 2*(POWER(D2r/D_ref,2)-POWER(D1r/D_ref,2)) )</f>
        <v>0.695266272189349</v>
      </c>
      <c r="P24" s="541"/>
      <c r="Q24" s="29"/>
    </row>
    <row r="25" spans="1:20" ht="12.75" customHeight="1" thickTop="1" thickBot="1" x14ac:dyDescent="0.25">
      <c r="A25" s="25"/>
      <c r="B25" s="30"/>
      <c r="C25" s="178" t="str">
        <f>IF(LEFT(Type_masquage,1)="M",IF(Lang="Français","Ailerons","Fins"),IF(Lang="Français","Ailerons bas","Lower Fins"))</f>
        <v>Ailerons</v>
      </c>
      <c r="D25" s="179" t="str">
        <f>IF(Lang="Français","Ailerons haut",IF(Lang="English","Upper Fins",""))</f>
        <v>Ailerons haut</v>
      </c>
      <c r="E25" s="180" t="s">
        <v>152</v>
      </c>
      <c r="L25" s="38"/>
      <c r="M25" s="38"/>
      <c r="N25" s="38"/>
      <c r="Q25" s="29"/>
      <c r="R25" s="38"/>
      <c r="S25" s="388" t="str">
        <f ca="1">IF(AND(Portee_balistique&gt;200,LEFT(Type_propu,3)="Min"),IF(Lang="Français","Fusée trop lègère !","Rocket too light"),"")</f>
        <v/>
      </c>
    </row>
    <row r="26" spans="1:20" ht="12.75" customHeight="1" thickTop="1" x14ac:dyDescent="0.2">
      <c r="A26" s="25"/>
      <c r="B26" s="30"/>
      <c r="C26" s="568" t="s">
        <v>424</v>
      </c>
      <c r="D26" s="569"/>
      <c r="F26" s="39">
        <f ca="1">TODAY()</f>
        <v>45883</v>
      </c>
      <c r="G26" s="137" t="s">
        <v>63</v>
      </c>
      <c r="H26" s="536" t="str">
        <f>IF(Lang="Français","Résultats",IF(Lang="English","Results",""))</f>
        <v>Résultats</v>
      </c>
      <c r="I26" s="536"/>
      <c r="J26" s="137" t="s">
        <v>64</v>
      </c>
      <c r="K26" s="32"/>
      <c r="L26" s="38"/>
      <c r="M26" s="38"/>
      <c r="N26" s="38"/>
      <c r="Q26" s="29"/>
      <c r="R26" s="38"/>
      <c r="S26" s="388" t="str">
        <f ca="1">IF(AND(Vsortie_de_rampe&lt;18, OR(LEFT(Type_fusee,1)=",",LEFT(Type_fusee,4)="Mini",LEFT(Type_fusee,1)="R")),IF(Lang="Français","Fusée trop lourde ou rampe trop courte !","Rocket too heavy or launch pad too small!"),"")</f>
        <v/>
      </c>
    </row>
    <row r="27" spans="1:20" ht="12.75" customHeight="1" x14ac:dyDescent="0.2">
      <c r="A27" s="25"/>
      <c r="B27" s="526" t="str">
        <f>IF(Lang="Français"," Emplanture  'm'",IF(Lang="English"," Root edge  'm'",""))</f>
        <v xml:space="preserve"> Emplanture  'm'</v>
      </c>
      <c r="C27" s="177">
        <v>210</v>
      </c>
      <c r="D27" s="177">
        <v>70</v>
      </c>
      <c r="E27" s="146">
        <f>m_ail</f>
        <v>210</v>
      </c>
      <c r="F27" s="105" t="s">
        <v>65</v>
      </c>
      <c r="G27" s="104">
        <f>IF(RIGHT(Type_fusee,1)=".",10, IF(OR(LEFT(Type_fusee,1)="R",LEFT(Type_fusee,1)=",",LEFT(Type_fusee,4)="Mini"),10, IF(LEFT(Type_fusee,5)="Micro",10, IF(RIGHT(Type_fusee,1)=" ",1))))</f>
        <v>10</v>
      </c>
      <c r="H27" s="584">
        <f>Long_tot/D_ref</f>
        <v>9.9519230769230766</v>
      </c>
      <c r="I27" s="585"/>
      <c r="J27" s="104">
        <f>IF(RIGHT(Type_fusee,1)=".",35, IF(OR(LEFT(Type_fusee,1)="R",LEFT(Type_fusee,1)=",",LEFT(Type_fusee,4)="Mini"),20, IF(LEFT(Type_fusee,5)="Micro",30, IF(RIGHT(Type_fusee,1)=" ",100))))</f>
        <v>35</v>
      </c>
      <c r="K27" s="32"/>
      <c r="L27" s="38"/>
      <c r="M27" s="38"/>
      <c r="N27" s="38"/>
      <c r="Q27" s="29"/>
      <c r="R27" s="38"/>
      <c r="S27" s="388" t="str">
        <f>IF(Finesse&lt;CritFinessemin, IF(Lang="Français","Fusée trop courte !","Rocket too short!"), "" ) &amp; IF(Finesse&gt;CritFinessemax, IF(Lang="Français","Fusée trop longue !","Rocket too long!"), "" )</f>
        <v>Fusée trop courte !</v>
      </c>
    </row>
    <row r="28" spans="1:20" ht="12.75" customHeight="1" x14ac:dyDescent="0.2">
      <c r="A28" s="25"/>
      <c r="B28" s="526" t="str">
        <f>IF(Lang="Français"," Saumon       'n'",IF(Lang="English"," Tip edge    'n'",""))</f>
        <v xml:space="preserve"> Saumon       'n'</v>
      </c>
      <c r="C28" s="35">
        <v>120</v>
      </c>
      <c r="D28" s="35">
        <v>10</v>
      </c>
      <c r="E28" s="146">
        <f>n_ail+(m_ail-n_ail)*(1-E_int/E_ail)</f>
        <v>180</v>
      </c>
      <c r="F28" s="105" t="str">
        <f>IF(Lang="Français","Portance","Lift")</f>
        <v>Portance</v>
      </c>
      <c r="G28" s="104">
        <f>IF(RIGHT(Type_fusee,1)=".",15,IF(OR(LEFT(Type_fusee,1)="R",LEFT(Type_fusee,1)=",",LEFT(Type_fusee,4)="Mini"),15, IF(LEFT(Type_fusee,5)="Micro",15, IF(RIGHT(Type_fusee,1)=" ",15))))</f>
        <v>15</v>
      </c>
      <c r="H28" s="510">
        <f>Cnai+Cnc+Cno+Cnj+Cnr</f>
        <v>19.112319228174467</v>
      </c>
      <c r="I28" s="510">
        <f>Cnail+Cnc+Cno+Cnj+Cnr</f>
        <v>19.112319228174467</v>
      </c>
      <c r="J28" s="104">
        <f>IF(RIGHT(Type_fusee,1)=".",40, IF(OR(LEFT(Type_fusee,1)="R",LEFT(Type_fusee,1)=",",LEFT(Type_fusee,4)="Mini"),30, IF(LEFT(Type_fusee,5)="Micro",30, IF(RIGHT(Type_fusee,1)=" ",30))))</f>
        <v>40</v>
      </c>
      <c r="K28" s="32"/>
      <c r="L28" s="38"/>
      <c r="M28" s="38"/>
      <c r="N28" s="38"/>
      <c r="Q28" s="29"/>
      <c r="R28" s="38"/>
      <c r="S28" s="388" t="str">
        <f>IF(Cn&lt;CritCnmin, IF(Lang="Français","Ailerons trop petits !","Fins too small!"), "" ) &amp; IF(Cn&gt;CritCnmax, IF(Lang="Français","Ailerons trop grands !","Fins too big!"), "" )</f>
        <v/>
      </c>
    </row>
    <row r="29" spans="1:20" ht="12.75" customHeight="1" x14ac:dyDescent="0.2">
      <c r="A29" s="25"/>
      <c r="B29" s="526" t="str">
        <f>IF(Lang="Français"," Flèche          'p'"," Offset         'p'")</f>
        <v xml:space="preserve"> Flèche          'p'</v>
      </c>
      <c r="C29" s="35">
        <v>170</v>
      </c>
      <c r="D29" s="35">
        <v>40</v>
      </c>
      <c r="E29" s="146">
        <f>p_ail*E_int/E_ail</f>
        <v>56.666666666666664</v>
      </c>
      <c r="F29" s="517" t="str">
        <f>IF(Lang="Français","MargeStat.","StatMargin")</f>
        <v>MargeStat.</v>
      </c>
      <c r="G29" s="512">
        <f>IF(RIGHT(Type_fusee,1)=".",2, IF(OR(LEFT(Type_fusee,1)="R",LEFT(Type_fusee,1)=",",LEFT(Type_fusee,4)="Mini"),1.5, IF(LEFT(Type_fusee,5)="Micro",1, IF(RIGHT(Type_fusee,1)=" ",1))))</f>
        <v>2</v>
      </c>
      <c r="H29" s="97">
        <f ca="1">(XCp-XcgPlein)/D_ref</f>
        <v>3.0575338327647392</v>
      </c>
      <c r="I29" s="98">
        <f ca="1">(XCp0-XcgVide)/D_ref</f>
        <v>3.9314358119748345</v>
      </c>
      <c r="J29" s="512">
        <f>IF(RIGHT(Type_fusee,1)=".",6, IF(OR(LEFT(Type_fusee,1)="R",LEFT(Type_fusee,1)=",",LEFT(Type_fusee,4)="Mini"),6, IF(LEFT(Type_fusee,5)="Micro",3, IF(RIGHT(Type_fusee,1)=" ",3))))</f>
        <v>6</v>
      </c>
      <c r="K29" s="32"/>
      <c r="Q29" s="29"/>
      <c r="R29" s="38"/>
      <c r="S29" s="388" t="str">
        <f ca="1">IF(MS_min&lt;CritMsmin, IF(Lang="Français","Abaisser les ailerons ou rehausser le CdM !","Lower the fins or move up the center of mass!"), "" ) &amp; IF(MS_max&gt;CritMsmax, IF(Lang="Français","Rehausser les ailerons ou abaisser le CdM !","Move up the fins or lower the center of mass!"), "" )</f>
        <v/>
      </c>
    </row>
    <row r="30" spans="1:20" ht="12.75" customHeight="1" x14ac:dyDescent="0.2">
      <c r="A30" s="25"/>
      <c r="B30" s="526" t="str">
        <f>IF(Lang="Français"," Envergure     'E'",IF(Lang="English"," Span          'E'",""))</f>
        <v xml:space="preserve"> Envergure     'E'</v>
      </c>
      <c r="C30" s="35">
        <v>150</v>
      </c>
      <c r="D30" s="35">
        <v>50</v>
      </c>
      <c r="E30" s="146">
        <f>IF(D_can/2+E_can&lt;=D_ail/2,0, IF(D_can/2+E_can&gt;=D_ail/2+E_ail,E_ail,  D_can/2+E_can - D_ail/2  ) )</f>
        <v>50</v>
      </c>
      <c r="F30" s="518" t="str">
        <f>IF(Lang="Français","Couple","Torque")</f>
        <v>Couple</v>
      </c>
      <c r="G30" s="513">
        <f>IF(RIGHT(Type_fusee,1)=".",40, IF(OR(LEFT(Type_fusee,1)="R",LEFT(Type_fusee,1)=",",LEFT(Type_fusee,4)="Mini"),30, IF(LEFT(Type_fusee,5)="Micro",15, IF(RIGHT(Type_fusee,1)=" ",15))))</f>
        <v>40</v>
      </c>
      <c r="H30" s="99">
        <f ca="1">MS_min*Cn</f>
        <v>58.436562662743498</v>
      </c>
      <c r="I30" s="96">
        <f ca="1">MS_max*Cn0</f>
        <v>75.138856263540333</v>
      </c>
      <c r="J30" s="513">
        <f>IF(RIGHT(Type_fusee,1)=".",100, IF(OR(LEFT(Type_fusee,1)="R",LEFT(Type_fusee,1)=",",LEFT(Type_fusee,4)="Mini"),100, IF(LEFT(Type_fusee,5)="Micro",100, IF(RIGHT(Type_fusee,1)=" ",90))))</f>
        <v>100</v>
      </c>
      <c r="K30" s="32"/>
      <c r="Q30" s="29"/>
      <c r="R30" s="38"/>
      <c r="S30" s="388" t="str">
        <f ca="1">IF(MS_Cn_min&lt;CritMsCnmin, IF(Lang="Français","Ailerons trop petits ou trop haut /CdM !","Fins too small or too high /CoM!"), "" ) &amp; IF(MS_Cn_max&gt;CritMsCnmax, IF(Lang="Français","Ailerons trop grands ou trop bas  /CdM !","Fins too big or too low / CoM!"), "" )</f>
        <v/>
      </c>
    </row>
    <row r="31" spans="1:20" ht="12.75" customHeight="1" x14ac:dyDescent="0.2">
      <c r="A31" s="25"/>
      <c r="B31" s="527" t="str">
        <f>IF(Lang="Français"," Epaisseur     'ep'",IF(Lang="English"," Thickness  'ep'",""))</f>
        <v xml:space="preserve"> Epaisseur     'ep'</v>
      </c>
      <c r="C31" s="35">
        <v>4</v>
      </c>
      <c r="D31" s="35">
        <v>2</v>
      </c>
      <c r="E31" s="146">
        <f>ep_ail</f>
        <v>4</v>
      </c>
      <c r="F31" s="106" t="s">
        <v>56</v>
      </c>
      <c r="G31" s="103"/>
      <c r="H31" s="511">
        <f>(Cnai*XCpai+Cnc*XCpc+Cnj*XCpj+Cnr*XCpr+Cno*XCpo)/(Cnai+Cnc+Cnr+Cnj+Cno)</f>
        <v>796.12906470512303</v>
      </c>
      <c r="I31" s="511">
        <f>(Cnail*XCpa+Cnc*XCpc+Cnj*XCpj+Cnr*XCpr+Cno*XCpo)/(Cnail+Cnc+Cnr+Cnj+Cno)</f>
        <v>796.12906470512303</v>
      </c>
      <c r="J31" s="102"/>
      <c r="K31" s="32"/>
      <c r="Q31" s="29"/>
      <c r="R31" s="38"/>
      <c r="S31" s="388"/>
    </row>
    <row r="32" spans="1:20" ht="12.75" customHeight="1" x14ac:dyDescent="0.2">
      <c r="A32" s="25"/>
      <c r="B32" s="526" t="str">
        <f>IF(Lang="Français"," Nombre            ",IF(Lang="English"," Number of fins",""))</f>
        <v xml:space="preserve"> Nombre            </v>
      </c>
      <c r="C32" s="36">
        <v>4</v>
      </c>
      <c r="D32" s="36">
        <v>4</v>
      </c>
      <c r="E32" s="146">
        <f>IF(Q_ail=Q_can,Q_ail,FALSE)</f>
        <v>4</v>
      </c>
      <c r="F32" s="106" t="s">
        <v>67</v>
      </c>
      <c r="G32" s="103"/>
      <c r="H32" s="100">
        <f ca="1">(XCp-XcgPlein)/Long_tot*100</f>
        <v>30.723045276090133</v>
      </c>
      <c r="I32" s="101">
        <f ca="1">(XCp-XcgVide)/Long_tot*100</f>
        <v>39.504282555109448</v>
      </c>
      <c r="J32" s="102"/>
      <c r="K32" s="32"/>
      <c r="Q32" s="29"/>
      <c r="R32" s="38"/>
    </row>
    <row r="33" spans="1:23" ht="12.75" customHeight="1" x14ac:dyDescent="0.2">
      <c r="A33" s="25"/>
      <c r="B33" s="526" t="str">
        <f>IF(Lang="Français"," Position du bas",IF(Lang="English"," Basement",""))</f>
        <v xml:space="preserve"> Position du bas</v>
      </c>
      <c r="C33" s="35">
        <f>Long_tot-20</f>
        <v>1015</v>
      </c>
      <c r="D33" s="35">
        <v>700</v>
      </c>
      <c r="E33" s="146">
        <f>X_ail</f>
        <v>1015</v>
      </c>
      <c r="G33" s="24"/>
      <c r="H33" s="574" t="str">
        <f ca="1">IF(AND(CritCnmin&lt;Cn,Cn0&lt;CritCnmax,CritMsmin&lt;MS_min,MS_max&lt;CritMsmax,CritMsCnmin&lt;MS_Cn_min,MS_Cn_max&lt;CritMsCnmax),"STABLE",IF(OR(Cn&lt;CritCnmin,MS_min&lt;CritMsmin,MS_Cn_min&lt;CritMsCnmin),"INSTABLE",IF(Lang="Français","SURSTABLE","OVERSTABLE")))</f>
        <v>STABLE</v>
      </c>
      <c r="I33" s="575"/>
      <c r="J33" s="31"/>
      <c r="K33" s="32"/>
      <c r="Q33" s="29"/>
      <c r="R33" s="38"/>
    </row>
    <row r="34" spans="1:23" ht="12.75" customHeight="1" x14ac:dyDescent="0.2">
      <c r="A34" s="25"/>
      <c r="B34" s="526" t="str">
        <f>IF(Lang="Français"," Diamètre         ",IF(Lang="English"," Diameter at Fins",""))</f>
        <v xml:space="preserve"> Diamètre         </v>
      </c>
      <c r="C34" s="35">
        <f>D_ref</f>
        <v>104</v>
      </c>
      <c r="D34" s="35">
        <f>D_ref</f>
        <v>104</v>
      </c>
      <c r="E34" s="146">
        <f>D_ail</f>
        <v>104</v>
      </c>
      <c r="G34" s="24"/>
      <c r="H34" s="576"/>
      <c r="I34" s="577"/>
      <c r="K34" s="32"/>
      <c r="Q34" s="29"/>
      <c r="R34" s="38"/>
    </row>
    <row r="35" spans="1:23" ht="12.75" customHeight="1" x14ac:dyDescent="0.2">
      <c r="A35" s="25"/>
      <c r="B35" s="526" t="str">
        <f>IF(Lang="Français"," Ligne mi-corde f",IF(Lang="English"," Mid-chord line f",""))</f>
        <v xml:space="preserve"> Ligne mi-corde f</v>
      </c>
      <c r="C35" s="145">
        <f>SQRT(POWER(p_ail+n_ail/2-m_ail/2,2)+POWER(E_ail,2))</f>
        <v>195.25624189766637</v>
      </c>
      <c r="D35" s="145">
        <f>SQRT(POWER(p_can+n_can/2-m_can/2,2)+POWER(E_can,2))</f>
        <v>50.990195135927848</v>
      </c>
      <c r="E35" s="146">
        <f>SQRT(POWER(p_int+n_int/2-m_int/2,2)+POWER(E_int,2))</f>
        <v>65.085413965888776</v>
      </c>
      <c r="K35" s="32"/>
      <c r="Q35" s="29"/>
      <c r="R35" s="38"/>
      <c r="W35" s="24" t="str">
        <f>RIGHT(Type_fusee,1="R")</f>
        <v/>
      </c>
    </row>
    <row r="36" spans="1:23" ht="12.75" customHeight="1" thickBot="1" x14ac:dyDescent="0.25">
      <c r="A36" s="40"/>
      <c r="B36" s="182" t="str">
        <f>IF(Lang="Français","Commentaire libre :",IF(Lang="English","Free comment:",""))</f>
        <v>Commentaire libre :</v>
      </c>
      <c r="C36" s="41"/>
      <c r="D36" s="42"/>
      <c r="E36" s="91"/>
      <c r="F36" s="67"/>
      <c r="G36" s="67"/>
      <c r="H36" s="67"/>
      <c r="I36" s="67"/>
      <c r="J36" s="42"/>
      <c r="K36" s="42"/>
      <c r="L36" s="389" t="s">
        <v>269</v>
      </c>
      <c r="M36" s="392" t="str">
        <f>IF(ROUND(SUM(Propu!5:1228),0)=395253,"propu OK","propu NOK")</f>
        <v>propu OK</v>
      </c>
      <c r="N36" s="391" t="str">
        <f>IF(Lang="Français","fichier initial","Initial file")</f>
        <v>fichier initial</v>
      </c>
      <c r="O36" s="392"/>
      <c r="P36" s="390"/>
      <c r="Q36" s="291" t="s">
        <v>544</v>
      </c>
      <c r="R36" s="38"/>
    </row>
    <row r="37" spans="1:23" ht="12.75" customHeight="1" x14ac:dyDescent="0.2">
      <c r="R37" s="43"/>
    </row>
    <row r="38" spans="1:23" x14ac:dyDescent="0.2">
      <c r="L38" s="226" t="str">
        <f>IF(Lang="Français","Maintenant que votre fusée est stable, vérifiez sa trajectoire via la feuille","Now your rocket is stable, check its trajectory on sheet")</f>
        <v>Maintenant que votre fusée est stable, vérifiez sa trajectoire via la feuille</v>
      </c>
      <c r="M38" s="483" t="s">
        <v>181</v>
      </c>
    </row>
    <row r="39" spans="1:23" x14ac:dyDescent="0.2">
      <c r="H39" s="87"/>
      <c r="O39" s="26"/>
      <c r="P39" s="26"/>
    </row>
    <row r="40" spans="1:23" x14ac:dyDescent="0.2">
      <c r="F40" s="24"/>
      <c r="H40" s="43"/>
      <c r="I40" s="44"/>
      <c r="J40" s="43"/>
      <c r="N40" s="43"/>
      <c r="Q40" s="43"/>
      <c r="S40" s="508"/>
    </row>
    <row r="41" spans="1:23" x14ac:dyDescent="0.2">
      <c r="F41" s="24"/>
      <c r="G41" s="505"/>
      <c r="H41" s="506"/>
      <c r="I41" s="44"/>
      <c r="J41" s="43"/>
      <c r="N41" s="43"/>
      <c r="Q41" s="43"/>
      <c r="R41" s="43"/>
    </row>
    <row r="42" spans="1:23" x14ac:dyDescent="0.2">
      <c r="F42" s="24"/>
      <c r="H42" s="43"/>
      <c r="I42" s="44"/>
      <c r="J42" s="43"/>
      <c r="N42" s="43"/>
      <c r="Q42" s="43"/>
      <c r="R42" s="43"/>
    </row>
    <row r="43" spans="1:23" x14ac:dyDescent="0.2">
      <c r="F43" s="24"/>
      <c r="H43" s="43"/>
      <c r="I43" s="44"/>
      <c r="J43" s="43"/>
      <c r="N43" s="43"/>
      <c r="Q43" s="43"/>
      <c r="R43" s="43"/>
    </row>
    <row r="44" spans="1:23" x14ac:dyDescent="0.2">
      <c r="F44" s="24"/>
      <c r="H44" s="43"/>
      <c r="I44" s="44"/>
      <c r="J44" s="43"/>
      <c r="N44" s="43"/>
      <c r="Q44" s="43"/>
      <c r="R44" s="43"/>
    </row>
    <row r="45" spans="1:23" x14ac:dyDescent="0.2">
      <c r="F45" s="24"/>
      <c r="H45" s="43"/>
      <c r="I45" s="44"/>
      <c r="J45" s="43"/>
      <c r="N45" s="43"/>
      <c r="Q45" s="43"/>
      <c r="R45" s="43"/>
    </row>
    <row r="46" spans="1:23" x14ac:dyDescent="0.2">
      <c r="F46" s="24"/>
      <c r="H46" s="43"/>
      <c r="I46" s="44"/>
      <c r="J46" s="43"/>
      <c r="L46" s="43"/>
      <c r="M46" s="43"/>
      <c r="N46" s="43"/>
      <c r="Q46" s="43"/>
      <c r="R46" s="43"/>
    </row>
    <row r="47" spans="1:23" x14ac:dyDescent="0.2">
      <c r="F47" s="24"/>
      <c r="H47" s="43"/>
      <c r="I47" s="44"/>
      <c r="J47" s="43"/>
      <c r="L47" s="43"/>
      <c r="M47" s="43"/>
      <c r="N47" s="43"/>
      <c r="Q47" s="43"/>
      <c r="R47" s="43"/>
    </row>
    <row r="48" spans="1:23" x14ac:dyDescent="0.2">
      <c r="F48" s="24"/>
      <c r="H48" s="43"/>
      <c r="I48" s="44"/>
      <c r="J48" s="43"/>
      <c r="L48" s="43"/>
      <c r="M48" s="43"/>
      <c r="N48" s="43"/>
      <c r="Q48" s="43"/>
      <c r="R48" s="43"/>
    </row>
    <row r="49" spans="2:18" x14ac:dyDescent="0.2">
      <c r="F49" s="24"/>
      <c r="H49" s="43"/>
      <c r="I49" s="44"/>
      <c r="J49" s="43"/>
      <c r="L49" s="43"/>
      <c r="M49" s="43"/>
      <c r="N49" s="43"/>
      <c r="Q49" s="43"/>
      <c r="R49" s="43"/>
    </row>
    <row r="50" spans="2:18" x14ac:dyDescent="0.2">
      <c r="F50" s="24"/>
      <c r="H50" s="43"/>
      <c r="I50" s="44"/>
      <c r="J50" s="43"/>
      <c r="L50" s="43"/>
      <c r="M50" s="43"/>
      <c r="N50" s="43"/>
      <c r="Q50" s="43"/>
      <c r="R50" s="43"/>
    </row>
    <row r="51" spans="2:18" x14ac:dyDescent="0.2">
      <c r="F51" s="24"/>
      <c r="H51" s="43"/>
      <c r="I51" s="44"/>
      <c r="J51" s="43"/>
      <c r="L51" s="43"/>
      <c r="M51" s="43"/>
      <c r="N51" s="43"/>
      <c r="Q51" s="43"/>
      <c r="R51" s="43"/>
    </row>
    <row r="52" spans="2:18" x14ac:dyDescent="0.2">
      <c r="H52" s="43"/>
      <c r="I52" s="44"/>
      <c r="J52" s="43"/>
      <c r="L52" s="43"/>
      <c r="M52" s="43"/>
      <c r="N52" s="43"/>
      <c r="Q52" s="43"/>
      <c r="R52" s="43"/>
    </row>
    <row r="53" spans="2:18" x14ac:dyDescent="0.2">
      <c r="H53" s="43"/>
      <c r="I53" s="44"/>
      <c r="J53" s="43"/>
      <c r="L53" s="43"/>
      <c r="M53" s="43"/>
      <c r="N53" s="43"/>
      <c r="Q53" s="43"/>
      <c r="R53" s="43"/>
    </row>
    <row r="54" spans="2:18" x14ac:dyDescent="0.2">
      <c r="H54" s="43"/>
      <c r="I54" s="44"/>
      <c r="J54" s="43"/>
      <c r="L54" s="43"/>
      <c r="M54" s="43"/>
      <c r="N54" s="43"/>
      <c r="Q54" s="43"/>
      <c r="R54" s="43"/>
    </row>
    <row r="55" spans="2:18" x14ac:dyDescent="0.2">
      <c r="H55" s="43"/>
      <c r="I55" s="44"/>
      <c r="J55" s="43"/>
      <c r="L55" s="43"/>
      <c r="M55" s="43"/>
      <c r="N55" s="43"/>
      <c r="Q55" s="43"/>
      <c r="R55" s="43"/>
    </row>
    <row r="56" spans="2:18" x14ac:dyDescent="0.2">
      <c r="C56" s="24"/>
      <c r="H56" s="43"/>
      <c r="I56" s="44"/>
      <c r="J56" s="43"/>
      <c r="L56" s="43"/>
      <c r="M56" s="43"/>
      <c r="N56" s="43"/>
      <c r="Q56" s="43"/>
      <c r="R56" s="43"/>
    </row>
    <row r="57" spans="2:18" x14ac:dyDescent="0.2">
      <c r="H57" s="43"/>
      <c r="I57" s="44"/>
      <c r="J57" s="43"/>
      <c r="L57" s="43"/>
      <c r="M57" s="43"/>
      <c r="N57" s="43"/>
      <c r="Q57" s="43"/>
      <c r="R57" s="43"/>
    </row>
    <row r="58" spans="2:18" x14ac:dyDescent="0.2">
      <c r="B58" s="31"/>
      <c r="H58" s="43"/>
      <c r="I58" s="44"/>
      <c r="J58" s="43"/>
      <c r="L58" s="43"/>
      <c r="M58" s="43"/>
      <c r="N58" s="43"/>
      <c r="Q58" s="43"/>
      <c r="R58" s="43"/>
    </row>
    <row r="59" spans="2:18" x14ac:dyDescent="0.2">
      <c r="B59" s="31"/>
      <c r="H59" s="43"/>
      <c r="I59" s="44"/>
      <c r="J59" s="43"/>
      <c r="L59" s="43"/>
      <c r="M59" s="43"/>
      <c r="N59" s="43"/>
      <c r="Q59" s="43"/>
      <c r="R59" s="43"/>
    </row>
    <row r="60" spans="2:18" x14ac:dyDescent="0.2">
      <c r="B60" s="31"/>
      <c r="H60" s="43"/>
      <c r="I60" s="44"/>
      <c r="J60" s="43"/>
      <c r="L60" s="43"/>
      <c r="M60" s="43"/>
      <c r="N60" s="43"/>
      <c r="Q60" s="43"/>
      <c r="R60" s="43"/>
    </row>
    <row r="61" spans="2:18" x14ac:dyDescent="0.2">
      <c r="B61" s="31"/>
      <c r="H61" s="43"/>
      <c r="I61" s="44"/>
      <c r="J61" s="43"/>
      <c r="L61" s="43"/>
      <c r="M61" s="43"/>
      <c r="N61" s="43"/>
      <c r="Q61" s="43"/>
      <c r="R61" s="43"/>
    </row>
    <row r="62" spans="2:18" x14ac:dyDescent="0.2">
      <c r="B62" s="31"/>
      <c r="H62" s="43"/>
      <c r="I62" s="44"/>
      <c r="J62" s="43"/>
      <c r="L62" s="43"/>
      <c r="M62" s="43"/>
      <c r="N62" s="43"/>
      <c r="Q62" s="43"/>
      <c r="R62" s="43"/>
    </row>
    <row r="63" spans="2:18" x14ac:dyDescent="0.2">
      <c r="B63" s="31"/>
      <c r="H63" s="43"/>
      <c r="I63" s="44"/>
      <c r="J63" s="43"/>
      <c r="L63" s="43"/>
      <c r="M63" s="43"/>
      <c r="N63" s="43"/>
      <c r="Q63" s="43"/>
      <c r="R63" s="43"/>
    </row>
    <row r="64" spans="2:18" x14ac:dyDescent="0.2">
      <c r="B64" s="31"/>
      <c r="H64" s="43"/>
      <c r="I64" s="44"/>
      <c r="J64" s="43"/>
      <c r="L64" s="43"/>
      <c r="M64" s="43"/>
      <c r="N64" s="43"/>
      <c r="Q64" s="43"/>
      <c r="R64" s="43"/>
    </row>
    <row r="65" spans="2:18" x14ac:dyDescent="0.2">
      <c r="B65" s="31"/>
      <c r="H65" s="43"/>
      <c r="I65" s="44"/>
      <c r="J65" s="43"/>
      <c r="L65" s="43"/>
      <c r="M65" s="43"/>
      <c r="N65" s="43"/>
      <c r="Q65" s="43"/>
      <c r="R65" s="43"/>
    </row>
    <row r="66" spans="2:18" x14ac:dyDescent="0.2">
      <c r="B66" s="31"/>
      <c r="H66" s="43"/>
      <c r="I66" s="44"/>
      <c r="J66" s="43"/>
      <c r="L66" s="43"/>
      <c r="M66" s="43"/>
      <c r="N66" s="43"/>
      <c r="Q66" s="43"/>
      <c r="R66" s="43"/>
    </row>
    <row r="67" spans="2:18" x14ac:dyDescent="0.2">
      <c r="C67" s="24"/>
      <c r="H67" s="43"/>
      <c r="I67" s="44"/>
      <c r="J67" s="43"/>
      <c r="L67" s="43"/>
      <c r="M67" s="43"/>
      <c r="N67" s="43"/>
      <c r="Q67" s="43"/>
      <c r="R67" s="43"/>
    </row>
    <row r="68" spans="2:18" x14ac:dyDescent="0.2">
      <c r="C68" s="24"/>
      <c r="H68" s="43"/>
      <c r="I68" s="44"/>
      <c r="J68" s="43"/>
      <c r="L68" s="43"/>
      <c r="M68" s="43"/>
      <c r="N68" s="43"/>
      <c r="Q68" s="43"/>
      <c r="R68" s="43"/>
    </row>
    <row r="69" spans="2:18" x14ac:dyDescent="0.2">
      <c r="C69" s="24"/>
      <c r="H69" s="43"/>
      <c r="I69" s="44"/>
      <c r="J69" s="43"/>
      <c r="L69" s="43"/>
      <c r="M69" s="43"/>
      <c r="N69" s="43"/>
      <c r="Q69" s="43"/>
      <c r="R69" s="43"/>
    </row>
    <row r="70" spans="2:18" x14ac:dyDescent="0.2">
      <c r="C70" s="24"/>
      <c r="H70" s="43"/>
      <c r="I70" s="44"/>
      <c r="J70" s="43"/>
      <c r="L70" s="43"/>
      <c r="M70" s="43"/>
      <c r="N70" s="43"/>
      <c r="Q70" s="43"/>
      <c r="R70" s="43"/>
    </row>
    <row r="71" spans="2:18" x14ac:dyDescent="0.2">
      <c r="C71" s="24"/>
      <c r="H71" s="43"/>
      <c r="I71" s="44"/>
      <c r="J71" s="43"/>
      <c r="L71" s="43"/>
      <c r="M71" s="43"/>
      <c r="N71" s="43"/>
      <c r="Q71" s="43"/>
      <c r="R71" s="43"/>
    </row>
    <row r="72" spans="2:18" x14ac:dyDescent="0.2">
      <c r="C72" s="24"/>
      <c r="H72" s="43"/>
      <c r="I72" s="44"/>
      <c r="J72" s="43"/>
      <c r="L72" s="43"/>
      <c r="M72" s="43"/>
      <c r="N72" s="43"/>
      <c r="Q72" s="43"/>
      <c r="R72" s="43"/>
    </row>
    <row r="73" spans="2:18" x14ac:dyDescent="0.2">
      <c r="C73" s="24"/>
      <c r="H73" s="43"/>
      <c r="I73" s="44"/>
      <c r="J73" s="43"/>
      <c r="L73" s="43"/>
      <c r="M73" s="43"/>
      <c r="N73" s="43"/>
      <c r="Q73" s="43"/>
      <c r="R73" s="43"/>
    </row>
    <row r="74" spans="2:18" x14ac:dyDescent="0.2">
      <c r="C74" s="24"/>
      <c r="H74" s="43"/>
      <c r="I74" s="44"/>
      <c r="J74" s="43"/>
      <c r="L74" s="43"/>
      <c r="M74" s="43"/>
      <c r="N74" s="43"/>
      <c r="Q74" s="43"/>
      <c r="R74" s="43"/>
    </row>
    <row r="75" spans="2:18" x14ac:dyDescent="0.2">
      <c r="C75" s="24"/>
      <c r="H75" s="43"/>
      <c r="I75" s="44"/>
      <c r="J75" s="43"/>
      <c r="L75" s="43"/>
      <c r="M75" s="43"/>
      <c r="N75" s="43"/>
      <c r="Q75" s="43"/>
      <c r="R75" s="43"/>
    </row>
    <row r="76" spans="2:18" x14ac:dyDescent="0.2">
      <c r="C76" s="24"/>
      <c r="H76" s="43"/>
      <c r="I76" s="44"/>
      <c r="J76" s="43"/>
      <c r="L76" s="43"/>
      <c r="M76" s="43"/>
      <c r="N76" s="43"/>
      <c r="Q76" s="43"/>
      <c r="R76" s="43"/>
    </row>
    <row r="77" spans="2:18" x14ac:dyDescent="0.2">
      <c r="C77" s="24"/>
      <c r="H77" s="43"/>
      <c r="I77" s="44"/>
      <c r="J77" s="43"/>
      <c r="L77" s="43"/>
      <c r="M77" s="43"/>
      <c r="N77" s="43"/>
      <c r="Q77" s="43"/>
      <c r="R77" s="43"/>
    </row>
    <row r="78" spans="2:18" x14ac:dyDescent="0.2">
      <c r="C78" s="24"/>
      <c r="H78" s="43"/>
      <c r="I78" s="44"/>
      <c r="J78" s="43"/>
      <c r="L78" s="43"/>
      <c r="M78" s="43"/>
      <c r="N78" s="43"/>
      <c r="Q78" s="43"/>
      <c r="R78" s="43"/>
    </row>
    <row r="79" spans="2:18" x14ac:dyDescent="0.2">
      <c r="C79" s="24"/>
      <c r="H79" s="43"/>
      <c r="I79" s="44"/>
      <c r="J79" s="43"/>
      <c r="L79" s="43"/>
      <c r="M79" s="43"/>
      <c r="N79" s="43"/>
      <c r="Q79" s="43"/>
      <c r="R79" s="43"/>
    </row>
    <row r="80" spans="2:18" x14ac:dyDescent="0.2">
      <c r="C80" s="24"/>
      <c r="H80" s="43"/>
      <c r="I80" s="44"/>
      <c r="J80" s="43"/>
      <c r="L80" s="43"/>
      <c r="M80" s="43"/>
      <c r="N80" s="43"/>
      <c r="Q80" s="43"/>
      <c r="R80" s="43"/>
    </row>
    <row r="81" spans="2:18" x14ac:dyDescent="0.2">
      <c r="C81" s="24"/>
      <c r="H81" s="43"/>
      <c r="I81" s="44"/>
      <c r="J81" s="43"/>
      <c r="L81" s="43"/>
      <c r="M81" s="43"/>
      <c r="N81" s="43"/>
      <c r="Q81" s="43"/>
      <c r="R81" s="43"/>
    </row>
    <row r="82" spans="2:18" x14ac:dyDescent="0.2">
      <c r="C82" s="24"/>
      <c r="H82" s="43"/>
      <c r="I82" s="44"/>
      <c r="J82" s="43"/>
      <c r="L82" s="43"/>
      <c r="M82" s="43"/>
      <c r="N82" s="43"/>
      <c r="Q82" s="43"/>
      <c r="R82" s="43"/>
    </row>
    <row r="83" spans="2:18" x14ac:dyDescent="0.2">
      <c r="C83" s="24"/>
      <c r="H83" s="43"/>
      <c r="I83" s="44"/>
      <c r="J83" s="43"/>
      <c r="L83" s="43"/>
      <c r="M83" s="43"/>
      <c r="N83" s="43"/>
      <c r="Q83" s="43"/>
      <c r="R83" s="43"/>
    </row>
    <row r="84" spans="2:18" x14ac:dyDescent="0.2">
      <c r="C84" s="24"/>
      <c r="H84" s="43"/>
      <c r="I84" s="44"/>
      <c r="J84" s="43"/>
      <c r="L84" s="43"/>
      <c r="M84" s="43"/>
      <c r="N84" s="43"/>
      <c r="Q84" s="43"/>
      <c r="R84" s="43"/>
    </row>
    <row r="85" spans="2:18" x14ac:dyDescent="0.2">
      <c r="C85" s="24"/>
      <c r="H85" s="43"/>
      <c r="I85" s="44"/>
      <c r="J85" s="43"/>
      <c r="L85" s="43"/>
      <c r="M85" s="43"/>
      <c r="N85" s="43"/>
      <c r="Q85" s="43"/>
      <c r="R85" s="43"/>
    </row>
    <row r="86" spans="2:18" x14ac:dyDescent="0.2">
      <c r="C86" s="24"/>
      <c r="H86" s="43"/>
      <c r="I86" s="44"/>
      <c r="J86" s="43"/>
      <c r="L86" s="43"/>
      <c r="M86" s="43"/>
      <c r="N86" s="43"/>
      <c r="Q86" s="43"/>
      <c r="R86" s="43"/>
    </row>
    <row r="87" spans="2:18" x14ac:dyDescent="0.2">
      <c r="C87" s="24"/>
      <c r="H87" s="43"/>
      <c r="I87" s="44"/>
      <c r="J87" s="43"/>
      <c r="L87" s="43"/>
      <c r="M87" s="43"/>
      <c r="N87" s="43"/>
      <c r="Q87" s="43"/>
      <c r="R87" s="43"/>
    </row>
    <row r="88" spans="2:18" x14ac:dyDescent="0.2">
      <c r="C88" s="24"/>
      <c r="H88" s="43"/>
      <c r="I88" s="44"/>
      <c r="J88" s="43"/>
      <c r="L88" s="43"/>
      <c r="M88" s="43"/>
      <c r="N88" s="43"/>
      <c r="Q88" s="43"/>
      <c r="R88" s="43"/>
    </row>
    <row r="89" spans="2:18" x14ac:dyDescent="0.2">
      <c r="C89" s="24"/>
      <c r="H89" s="43"/>
      <c r="I89" s="44"/>
      <c r="J89" s="43"/>
      <c r="L89" s="43"/>
      <c r="M89" s="43"/>
      <c r="N89" s="43"/>
      <c r="Q89" s="43"/>
      <c r="R89" s="43"/>
    </row>
    <row r="90" spans="2:18" x14ac:dyDescent="0.2">
      <c r="C90" s="24"/>
      <c r="H90" s="43"/>
      <c r="I90" s="44"/>
      <c r="J90" s="43"/>
      <c r="L90" s="43"/>
      <c r="M90" s="43"/>
      <c r="N90" s="43"/>
      <c r="Q90" s="43"/>
      <c r="R90" s="43"/>
    </row>
    <row r="91" spans="2:18" x14ac:dyDescent="0.2">
      <c r="B91" s="24" t="str">
        <f>IF(Lang="Français","Textes pour les listes déroulantes et graphiques :",IF(Lang="English","Texts for drop-down lists &amp; graphics :",""))</f>
        <v>Textes pour les listes déroulantes et graphiques :</v>
      </c>
      <c r="H91" s="43"/>
      <c r="I91" s="44"/>
      <c r="J91" s="43"/>
      <c r="L91" s="43"/>
      <c r="M91" s="43"/>
      <c r="N91" s="43"/>
      <c r="Q91" s="43"/>
      <c r="R91" s="43"/>
    </row>
    <row r="92" spans="2:18" x14ac:dyDescent="0.2">
      <c r="H92" s="43"/>
      <c r="I92" s="44"/>
      <c r="J92" s="43"/>
      <c r="L92" s="43"/>
      <c r="M92" s="43"/>
      <c r="N92" s="43"/>
      <c r="Q92" s="43"/>
      <c r="R92" s="43"/>
    </row>
    <row r="93" spans="2:18" x14ac:dyDescent="0.2">
      <c r="B93" s="26" t="s">
        <v>1</v>
      </c>
      <c r="H93" s="43"/>
      <c r="I93" s="44"/>
      <c r="J93" s="43"/>
      <c r="L93" s="43"/>
      <c r="M93" s="43"/>
      <c r="N93" s="43"/>
      <c r="Q93" s="43"/>
      <c r="R93" s="43"/>
    </row>
    <row r="94" spans="2:18" x14ac:dyDescent="0.2">
      <c r="B94" s="26" t="s">
        <v>68</v>
      </c>
      <c r="H94" s="43"/>
      <c r="I94" s="44"/>
      <c r="J94" s="43"/>
      <c r="L94" s="43"/>
      <c r="M94" s="43"/>
      <c r="N94" s="43"/>
      <c r="Q94" s="43"/>
      <c r="R94" s="43"/>
    </row>
    <row r="95" spans="2:18" x14ac:dyDescent="0.2">
      <c r="B95" s="26"/>
      <c r="H95" s="43"/>
      <c r="I95" s="44"/>
      <c r="J95" s="43"/>
      <c r="L95" s="43"/>
      <c r="M95" s="43"/>
      <c r="N95" s="43"/>
      <c r="Q95" s="43"/>
      <c r="R95" s="43"/>
    </row>
    <row r="96" spans="2:18" x14ac:dyDescent="0.2">
      <c r="B96" s="26" t="str">
        <f>IF(Lang="Français","Fusée à eau  ",IF(Lang="English","Water-rocket  ",""))</f>
        <v xml:space="preserve">Fusée à eau  </v>
      </c>
      <c r="H96" s="43"/>
      <c r="I96" s="44"/>
      <c r="J96" s="43"/>
      <c r="L96" s="43"/>
      <c r="M96" s="43"/>
      <c r="N96" s="43"/>
      <c r="Q96" s="43"/>
      <c r="R96" s="43"/>
    </row>
    <row r="97" spans="2:18" x14ac:dyDescent="0.2">
      <c r="B97" s="26" t="str">
        <f>IF(Lang="Français","Microfusée",IF(Lang="English","Micro-rocket",""))</f>
        <v>Microfusée</v>
      </c>
      <c r="H97" s="43"/>
      <c r="I97" s="44"/>
      <c r="J97" s="43"/>
      <c r="L97" s="43"/>
      <c r="M97" s="43"/>
      <c r="N97" s="43"/>
      <c r="Q97" s="43"/>
      <c r="R97" s="43"/>
    </row>
    <row r="98" spans="2:18" x14ac:dyDescent="0.2">
      <c r="B98" s="26" t="str">
        <f>IF(Lang="Français","Minifusée",IF(Lang="English","Mini-rocket",""))</f>
        <v>Minifusée</v>
      </c>
      <c r="H98" s="43"/>
      <c r="I98" s="44"/>
      <c r="J98" s="43"/>
      <c r="L98" s="43"/>
      <c r="M98" s="43"/>
      <c r="N98" s="43"/>
      <c r="Q98" s="43"/>
      <c r="R98" s="43"/>
    </row>
    <row r="99" spans="2:18" x14ac:dyDescent="0.2">
      <c r="B99" s="26" t="s">
        <v>397</v>
      </c>
      <c r="H99" s="43"/>
      <c r="I99" s="44"/>
      <c r="J99" s="43"/>
      <c r="L99" s="43"/>
      <c r="M99" s="43"/>
      <c r="N99" s="43"/>
      <c r="Q99" s="43"/>
      <c r="R99" s="43"/>
    </row>
    <row r="100" spans="2:18" x14ac:dyDescent="0.2">
      <c r="B100" s="26" t="str">
        <f>IF(Lang="Français","Fusée expérimentale.",IF(Lang="English","Experimental Rocket.",""))</f>
        <v>Fusée expérimentale.</v>
      </c>
      <c r="H100" s="43"/>
      <c r="I100" s="44"/>
      <c r="J100" s="43"/>
      <c r="L100" s="43"/>
      <c r="M100" s="43"/>
      <c r="N100" s="43"/>
      <c r="Q100" s="43"/>
      <c r="R100" s="43"/>
    </row>
    <row r="101" spans="2:18" x14ac:dyDescent="0.2">
      <c r="B101" s="26" t="s">
        <v>398</v>
      </c>
      <c r="H101" s="43"/>
      <c r="I101" s="44"/>
      <c r="J101" s="43"/>
      <c r="L101" s="43"/>
      <c r="M101" s="43"/>
      <c r="N101" s="43"/>
      <c r="Q101" s="43"/>
      <c r="R101" s="43"/>
    </row>
    <row r="102" spans="2:18" x14ac:dyDescent="0.2">
      <c r="B102" s="26"/>
      <c r="H102" s="43"/>
      <c r="I102" s="44"/>
      <c r="J102" s="43"/>
      <c r="L102" s="43"/>
      <c r="M102" s="43"/>
      <c r="N102" s="43"/>
      <c r="Q102" s="43"/>
      <c r="R102" s="43"/>
    </row>
    <row r="103" spans="2:18" x14ac:dyDescent="0.2">
      <c r="B103" s="26" t="str">
        <f>IF(Lang="Français","sans propu",IF(Lang="English","without motor",""))</f>
        <v>sans propu</v>
      </c>
      <c r="H103" s="43"/>
      <c r="I103" s="44"/>
      <c r="J103" s="43"/>
      <c r="L103" s="43"/>
      <c r="M103" s="43"/>
      <c r="N103" s="43"/>
      <c r="Q103" s="43"/>
      <c r="R103" s="43"/>
    </row>
    <row r="104" spans="2:18" x14ac:dyDescent="0.2">
      <c r="B104" s="26" t="str">
        <f>IF(Lang="Français","avec propu vide",IF(Lang="English","with empty motor",""))</f>
        <v>avec propu vide</v>
      </c>
      <c r="H104" s="43"/>
      <c r="I104" s="44"/>
      <c r="J104" s="43"/>
      <c r="L104" s="43"/>
      <c r="M104" s="43"/>
      <c r="N104" s="43"/>
      <c r="Q104" s="43"/>
      <c r="R104" s="43"/>
    </row>
    <row r="105" spans="2:18" x14ac:dyDescent="0.2">
      <c r="B105" s="26" t="str">
        <f>IF(Lang="Français","avec propu plein",IF(Lang="English","with loaded motor",""))</f>
        <v>avec propu plein</v>
      </c>
      <c r="H105" s="43"/>
      <c r="I105" s="44"/>
      <c r="J105" s="43"/>
      <c r="L105" s="43"/>
      <c r="M105" s="43"/>
      <c r="N105" s="43"/>
      <c r="Q105" s="43"/>
      <c r="R105" s="43"/>
    </row>
    <row r="106" spans="2:18" x14ac:dyDescent="0.2">
      <c r="B106" s="26"/>
      <c r="H106" s="43"/>
      <c r="I106" s="44"/>
      <c r="J106" s="43"/>
      <c r="L106" s="43"/>
      <c r="M106" s="43"/>
      <c r="N106" s="43"/>
      <c r="Q106" s="43"/>
      <c r="R106" s="43"/>
    </row>
    <row r="107" spans="2:18" x14ac:dyDescent="0.2">
      <c r="B107" s="26" t="str">
        <f>IF(Lang="Français","Parabolique (arrondie)",IF(Lang="English","Parabola (rounded)",""))</f>
        <v>Parabolique (arrondie)</v>
      </c>
      <c r="H107" s="43"/>
      <c r="I107" s="44"/>
      <c r="J107" s="43"/>
      <c r="L107" s="43"/>
      <c r="M107" s="43"/>
      <c r="N107" s="43"/>
      <c r="Q107" s="43"/>
      <c r="R107" s="43"/>
    </row>
    <row r="108" spans="2:18" x14ac:dyDescent="0.2">
      <c r="B108" s="26" t="str">
        <f>IF(Lang="Français","Ogivale (pointue)",IF(Lang="English","Ogive (sharp)",""))</f>
        <v>Ogivale (pointue)</v>
      </c>
      <c r="H108" s="43"/>
      <c r="I108" s="44"/>
      <c r="J108" s="43"/>
      <c r="L108" s="43"/>
      <c r="M108" s="43"/>
      <c r="N108" s="43"/>
      <c r="Q108" s="43"/>
      <c r="R108" s="43"/>
    </row>
    <row r="109" spans="2:18" x14ac:dyDescent="0.2">
      <c r="B109" s="26" t="str">
        <f>IF(Lang="Français","Conique (droite)",IF(Lang="English","Cone (straight)",""))</f>
        <v>Conique (droite)</v>
      </c>
      <c r="H109" s="43"/>
      <c r="I109" s="44"/>
      <c r="J109" s="43"/>
      <c r="L109" s="43"/>
      <c r="M109" s="43"/>
      <c r="N109" s="43"/>
      <c r="Q109" s="43"/>
      <c r="R109" s="43"/>
    </row>
    <row r="110" spans="2:18" x14ac:dyDescent="0.2">
      <c r="B110" s="38"/>
      <c r="H110" s="43"/>
      <c r="I110" s="44"/>
      <c r="J110" s="43"/>
      <c r="L110" s="43"/>
      <c r="M110" s="43"/>
      <c r="N110" s="43"/>
      <c r="Q110" s="43"/>
      <c r="R110" s="43"/>
    </row>
    <row r="111" spans="2:18" x14ac:dyDescent="0.2">
      <c r="B111" s="38" t="s">
        <v>424</v>
      </c>
      <c r="H111" s="43"/>
      <c r="I111" s="44"/>
      <c r="J111" s="43"/>
      <c r="L111" s="43"/>
      <c r="M111" s="43"/>
      <c r="N111" s="43"/>
      <c r="Q111" s="43"/>
      <c r="R111" s="43"/>
    </row>
    <row r="112" spans="2:18" x14ac:dyDescent="0.2">
      <c r="B112" s="38" t="s">
        <v>425</v>
      </c>
      <c r="H112" s="43"/>
      <c r="I112" s="44"/>
      <c r="J112" s="43"/>
      <c r="L112" s="43"/>
      <c r="M112" s="43"/>
      <c r="N112" s="43"/>
      <c r="Q112" s="43"/>
      <c r="R112" s="43"/>
    </row>
    <row r="113" spans="2:18" x14ac:dyDescent="0.2">
      <c r="B113" s="38"/>
      <c r="H113" s="43"/>
      <c r="I113" s="44"/>
      <c r="J113" s="43"/>
      <c r="L113" s="43"/>
      <c r="M113" s="43"/>
      <c r="N113" s="43"/>
      <c r="Q113" s="43"/>
      <c r="R113" s="43"/>
    </row>
    <row r="114" spans="2:18" x14ac:dyDescent="0.2">
      <c r="B114" s="38" t="str">
        <f>IF(Lang="Français","Fusée mono-diamètre,",IF(Lang="English","Mono-diameter rocket,",""))</f>
        <v>Fusée mono-diamètre,</v>
      </c>
      <c r="H114" s="43"/>
      <c r="I114" s="44"/>
      <c r="J114" s="43"/>
      <c r="L114" s="43"/>
      <c r="M114" s="43"/>
      <c r="N114" s="43"/>
      <c r="Q114" s="43"/>
      <c r="R114" s="43"/>
    </row>
    <row r="115" spans="2:18" x14ac:dyDescent="0.2">
      <c r="B115" s="38" t="str">
        <f>IF(Lang="Français","Plusieurs diamètres.",IF(Lang="English","Many diameters rocket.",""))</f>
        <v>Plusieurs diamètres.</v>
      </c>
      <c r="H115" s="43"/>
      <c r="I115" s="44"/>
      <c r="J115" s="43"/>
      <c r="L115" s="43"/>
      <c r="M115" s="43"/>
      <c r="N115" s="43"/>
      <c r="Q115" s="43"/>
      <c r="R115" s="43"/>
    </row>
    <row r="116" spans="2:18" x14ac:dyDescent="0.2">
      <c r="B116" s="38"/>
      <c r="H116" s="43"/>
      <c r="I116" s="44"/>
      <c r="J116" s="43"/>
      <c r="L116" s="43"/>
      <c r="M116" s="43"/>
      <c r="N116" s="43"/>
      <c r="Q116" s="43"/>
      <c r="R116" s="43"/>
    </row>
    <row r="117" spans="2:18" x14ac:dyDescent="0.2">
      <c r="B117" s="223" t="str">
        <f>IF(Lang="Français","Diagramme des critères de stabilité","Stability criterions diagram")</f>
        <v>Diagramme des critères de stabilité</v>
      </c>
      <c r="H117" s="43"/>
      <c r="I117" s="44"/>
      <c r="J117" s="43"/>
      <c r="L117" s="43"/>
      <c r="M117" s="43"/>
      <c r="N117" s="43"/>
      <c r="Q117" s="43"/>
      <c r="R117" s="43"/>
    </row>
    <row r="118" spans="2:18" x14ac:dyDescent="0.2">
      <c r="B118" s="223" t="str">
        <f>IF(Lang="Français","Marge Statique (MS)","Static Margin")</f>
        <v>Marge Statique (MS)</v>
      </c>
      <c r="H118" s="43"/>
      <c r="I118" s="44"/>
      <c r="J118" s="43"/>
      <c r="L118" s="43"/>
      <c r="M118" s="43"/>
      <c r="N118" s="43"/>
      <c r="Q118" s="43"/>
      <c r="R118" s="43"/>
    </row>
    <row r="119" spans="2:18" x14ac:dyDescent="0.2">
      <c r="B119" s="223" t="str">
        <f>IF(Lang="Français","Portance Cnα","Lift Cnα")</f>
        <v>Portance Cnα</v>
      </c>
      <c r="H119" s="43"/>
      <c r="I119" s="44"/>
      <c r="J119" s="43"/>
      <c r="L119" s="43"/>
      <c r="M119" s="43"/>
      <c r="N119" s="43"/>
      <c r="Q119" s="43"/>
      <c r="R119" s="43"/>
    </row>
    <row r="120" spans="2:18" x14ac:dyDescent="0.2">
      <c r="B120" s="38"/>
      <c r="H120" s="43"/>
      <c r="I120" s="44"/>
      <c r="J120" s="43"/>
      <c r="L120" s="43"/>
      <c r="M120" s="43"/>
      <c r="N120" s="43"/>
      <c r="Q120" s="43"/>
      <c r="R120" s="43"/>
    </row>
    <row r="121" spans="2:18" x14ac:dyDescent="0.2">
      <c r="B121" s="24" t="str">
        <f>IF(Lang="Français","Données pour les graphiques :",IF(Lang="English","Data for plots:",""))</f>
        <v>Données pour les graphiques :</v>
      </c>
      <c r="H121" s="43"/>
      <c r="I121" s="44"/>
      <c r="J121" s="43"/>
      <c r="L121" s="43"/>
      <c r="M121" s="43"/>
      <c r="N121" s="43"/>
      <c r="Q121" s="43"/>
      <c r="R121" s="43"/>
    </row>
    <row r="122" spans="2:18" x14ac:dyDescent="0.2">
      <c r="H122" s="43"/>
      <c r="I122" s="44"/>
      <c r="J122" s="43"/>
      <c r="L122" s="43"/>
      <c r="M122" s="43"/>
      <c r="N122" s="43"/>
      <c r="Q122" s="43"/>
      <c r="R122" s="43"/>
    </row>
    <row r="123" spans="2:18" x14ac:dyDescent="0.2">
      <c r="B123" s="45"/>
      <c r="C123" s="45" t="s">
        <v>69</v>
      </c>
      <c r="D123" s="45" t="s">
        <v>70</v>
      </c>
      <c r="E123" s="92" t="s">
        <v>71</v>
      </c>
      <c r="K123" s="45"/>
      <c r="R123" s="43"/>
    </row>
    <row r="124" spans="2:18" x14ac:dyDescent="0.2">
      <c r="B124" s="45" t="s">
        <v>73</v>
      </c>
      <c r="C124" s="46">
        <f>-Long_ogive</f>
        <v>-1</v>
      </c>
      <c r="D124" s="46">
        <v>0</v>
      </c>
      <c r="E124" s="93">
        <f t="shared" ref="E124:E136" si="0">-D124</f>
        <v>0</v>
      </c>
      <c r="K124" s="46"/>
    </row>
    <row r="125" spans="2:18" x14ac:dyDescent="0.2">
      <c r="B125" s="45" t="s">
        <v>73</v>
      </c>
      <c r="C125" s="46">
        <f>-Long_ogive</f>
        <v>-1</v>
      </c>
      <c r="D125" s="46">
        <f>D_og/2</f>
        <v>42</v>
      </c>
      <c r="E125" s="93">
        <f t="shared" si="0"/>
        <v>-42</v>
      </c>
      <c r="K125" s="46"/>
    </row>
    <row r="126" spans="2:18" x14ac:dyDescent="0.2">
      <c r="B126" s="45" t="s">
        <v>74</v>
      </c>
      <c r="C126" s="46">
        <f>IF(AND(RIGHT(Nb_diam,1)=".",X_j), -X_j, C125 )</f>
        <v>-1</v>
      </c>
      <c r="D126" s="46">
        <f>IF(AND(RIGHT(Nb_diam,1)=".",X_j), D1j/2, D125 )</f>
        <v>42</v>
      </c>
      <c r="E126" s="93">
        <f t="shared" si="0"/>
        <v>-42</v>
      </c>
      <c r="K126" s="46"/>
    </row>
    <row r="127" spans="2:18" x14ac:dyDescent="0.2">
      <c r="B127" s="45" t="s">
        <v>75</v>
      </c>
      <c r="C127" s="46">
        <f>IF(AND(RIGHT(Nb_diam,1)=".",X_j), -X_j-l_j, C126 )</f>
        <v>-51</v>
      </c>
      <c r="D127" s="46">
        <f>IF(AND(RIGHT(Nb_diam,1)=".",X_j), D2j/2, D126 )</f>
        <v>52</v>
      </c>
      <c r="E127" s="93">
        <f t="shared" si="0"/>
        <v>-52</v>
      </c>
      <c r="K127" s="46"/>
    </row>
    <row r="128" spans="2:18" x14ac:dyDescent="0.2">
      <c r="B128" s="45" t="s">
        <v>76</v>
      </c>
      <c r="C128" s="46">
        <f>IF(AND(RIGHT(Nb_diam,1)=".",X_r), -X_r, C127 )</f>
        <v>-51</v>
      </c>
      <c r="D128" s="46">
        <f>IF(AND(RIGHT(Nb_diam,1)=".",X_r), D1r/2, D127 )</f>
        <v>52</v>
      </c>
      <c r="E128" s="93">
        <f t="shared" si="0"/>
        <v>-52</v>
      </c>
      <c r="K128" s="46"/>
    </row>
    <row r="129" spans="2:11" x14ac:dyDescent="0.2">
      <c r="B129" s="45" t="s">
        <v>77</v>
      </c>
      <c r="C129" s="46">
        <f>IF(AND(RIGHT(Nb_diam,1)=".",X_r), -X_r-l_r, C128 )</f>
        <v>-51</v>
      </c>
      <c r="D129" s="46">
        <f>IF(AND(RIGHT(Nb_diam,1)=".",X_r), D2r/2, D128 )</f>
        <v>52</v>
      </c>
      <c r="E129" s="93">
        <f t="shared" si="0"/>
        <v>-52</v>
      </c>
      <c r="K129" s="46"/>
    </row>
    <row r="130" spans="2:11" x14ac:dyDescent="0.2">
      <c r="B130" s="45" t="s">
        <v>78</v>
      </c>
      <c r="C130" s="46">
        <f>-Long_tot</f>
        <v>-1035</v>
      </c>
      <c r="D130" s="46">
        <f>D129</f>
        <v>52</v>
      </c>
      <c r="E130" s="93">
        <f t="shared" si="0"/>
        <v>-52</v>
      </c>
      <c r="K130" s="46"/>
    </row>
    <row r="131" spans="2:11" x14ac:dyDescent="0.2">
      <c r="B131" s="45" t="s">
        <v>78</v>
      </c>
      <c r="C131" s="46">
        <f>-Long_tot</f>
        <v>-1035</v>
      </c>
      <c r="D131" s="46">
        <v>0</v>
      </c>
      <c r="E131" s="93">
        <f t="shared" si="0"/>
        <v>0</v>
      </c>
      <c r="K131" s="46"/>
    </row>
    <row r="132" spans="2:11" x14ac:dyDescent="0.2">
      <c r="B132" s="183" t="s">
        <v>79</v>
      </c>
      <c r="C132" s="197">
        <f>-X_ail+m_ail</f>
        <v>-805</v>
      </c>
      <c r="D132" s="197">
        <f>D_ail/2</f>
        <v>52</v>
      </c>
      <c r="E132" s="198">
        <f t="shared" si="0"/>
        <v>-52</v>
      </c>
      <c r="K132" s="46"/>
    </row>
    <row r="133" spans="2:11" x14ac:dyDescent="0.2">
      <c r="B133" s="185" t="s">
        <v>80</v>
      </c>
      <c r="C133" s="46">
        <f>-X_ail+m_ail-p_ail</f>
        <v>-975</v>
      </c>
      <c r="D133" s="46">
        <f>D_ail/2+E_ail</f>
        <v>202</v>
      </c>
      <c r="E133" s="199">
        <f t="shared" si="0"/>
        <v>-202</v>
      </c>
      <c r="K133" s="46"/>
    </row>
    <row r="134" spans="2:11" x14ac:dyDescent="0.2">
      <c r="B134" s="185" t="s">
        <v>81</v>
      </c>
      <c r="C134" s="46">
        <f>-X_ail+m_ail-p_ail-n_ail</f>
        <v>-1095</v>
      </c>
      <c r="D134" s="46">
        <f>D_ail/2+E_ail</f>
        <v>202</v>
      </c>
      <c r="E134" s="199">
        <f t="shared" si="0"/>
        <v>-202</v>
      </c>
      <c r="K134" s="46"/>
    </row>
    <row r="135" spans="2:11" x14ac:dyDescent="0.2">
      <c r="B135" s="185" t="s">
        <v>82</v>
      </c>
      <c r="C135" s="46">
        <f>-X_ail</f>
        <v>-1015</v>
      </c>
      <c r="D135" s="46">
        <f>D_ail/2</f>
        <v>52</v>
      </c>
      <c r="E135" s="199">
        <f t="shared" si="0"/>
        <v>-52</v>
      </c>
      <c r="K135" s="46"/>
    </row>
    <row r="136" spans="2:11" x14ac:dyDescent="0.2">
      <c r="B136" s="187" t="s">
        <v>79</v>
      </c>
      <c r="C136" s="200">
        <f>-X_ail+m_ail</f>
        <v>-805</v>
      </c>
      <c r="D136" s="200">
        <f>D_ail/2</f>
        <v>52</v>
      </c>
      <c r="E136" s="201">
        <f t="shared" si="0"/>
        <v>-52</v>
      </c>
      <c r="K136" s="46"/>
    </row>
    <row r="137" spans="2:11" x14ac:dyDescent="0.2">
      <c r="B137" s="192" t="str">
        <f>IF(E_ail&gt;0,IF(Lang="Français","Envergure","Span"),"")</f>
        <v>Envergure</v>
      </c>
      <c r="C137" s="197">
        <f>MIN(-X_ail,-X_ail+m_ail-p_ail-n_ail)-Long_tot/30</f>
        <v>-1129.5</v>
      </c>
      <c r="D137" s="207">
        <f>-D_ail/2-E_ail</f>
        <v>-202</v>
      </c>
      <c r="E137" s="93"/>
      <c r="K137" s="46"/>
    </row>
    <row r="138" spans="2:11" x14ac:dyDescent="0.2">
      <c r="B138" s="195" t="s">
        <v>167</v>
      </c>
      <c r="C138" s="46">
        <f>MIN(-X_ail,-X_ail+m_ail-p_ail-n_ail)-Long_tot/30</f>
        <v>-1129.5</v>
      </c>
      <c r="D138" s="208">
        <f>-D_ail/2-E_ail/2</f>
        <v>-127</v>
      </c>
      <c r="E138" s="93"/>
      <c r="K138" s="46"/>
    </row>
    <row r="139" spans="2:11" x14ac:dyDescent="0.2">
      <c r="B139" s="212" t="s">
        <v>163</v>
      </c>
      <c r="C139" s="200">
        <f>MIN(-X_ail,-X_ail+m_ail-p_ail-n_ail)-Long_tot/30</f>
        <v>-1129.5</v>
      </c>
      <c r="D139" s="209">
        <f>-D_ail/2</f>
        <v>-52</v>
      </c>
      <c r="E139" s="93"/>
      <c r="K139" s="46"/>
    </row>
    <row r="140" spans="2:11" x14ac:dyDescent="0.2">
      <c r="B140" s="192" t="str">
        <f>IF(Lang="Français","Emplanture","Root edge")</f>
        <v>Emplanture</v>
      </c>
      <c r="C140" s="197">
        <f>-X_ail+m_ail</f>
        <v>-805</v>
      </c>
      <c r="D140" s="207">
        <f>D_ail/2+E_ail+Long_tot/20</f>
        <v>253.75</v>
      </c>
      <c r="E140" s="93"/>
      <c r="K140" s="46"/>
    </row>
    <row r="141" spans="2:11" x14ac:dyDescent="0.2">
      <c r="B141" s="195" t="s">
        <v>169</v>
      </c>
      <c r="C141" s="46">
        <f>-X_ail+m_ail/2</f>
        <v>-910</v>
      </c>
      <c r="D141" s="208">
        <f>D_ail/2+E_ail+Long_tot/20</f>
        <v>253.75</v>
      </c>
      <c r="E141" s="93"/>
      <c r="K141" s="46"/>
    </row>
    <row r="142" spans="2:11" x14ac:dyDescent="0.2">
      <c r="B142" s="212" t="s">
        <v>170</v>
      </c>
      <c r="C142" s="200">
        <f>-X_ail</f>
        <v>-1015</v>
      </c>
      <c r="D142" s="209">
        <f>D_ail/2+E_ail+Long_tot/20</f>
        <v>253.75</v>
      </c>
      <c r="E142" s="93"/>
      <c r="K142" s="46"/>
    </row>
    <row r="143" spans="2:11" x14ac:dyDescent="0.2">
      <c r="B143" s="192" t="str">
        <f>IF(p_ail&lt;&gt;0,IF(Lang="Français","Flèche","Offset"),"")</f>
        <v>Flèche</v>
      </c>
      <c r="C143" s="197">
        <f>-X_ail+m_ail</f>
        <v>-805</v>
      </c>
      <c r="D143" s="207">
        <f>-D_ail/2-E_ail-Long_tot/30</f>
        <v>-236.5</v>
      </c>
      <c r="E143" s="93"/>
      <c r="K143" s="46"/>
    </row>
    <row r="144" spans="2:11" x14ac:dyDescent="0.2">
      <c r="B144" s="195" t="s">
        <v>166</v>
      </c>
      <c r="C144" s="46">
        <f>-X_ail+m_ail-p_ail/2</f>
        <v>-890</v>
      </c>
      <c r="D144" s="208">
        <f>-D_ail/2-E_ail-Long_tot/30</f>
        <v>-236.5</v>
      </c>
      <c r="E144" s="93"/>
      <c r="K144" s="46"/>
    </row>
    <row r="145" spans="2:11" x14ac:dyDescent="0.2">
      <c r="B145" s="212" t="s">
        <v>164</v>
      </c>
      <c r="C145" s="200">
        <f>-X_ail+m_ail-p_ail</f>
        <v>-975</v>
      </c>
      <c r="D145" s="209">
        <f>-D_ail/2-E_ail-Long_tot/30</f>
        <v>-236.5</v>
      </c>
      <c r="E145" s="93"/>
      <c r="K145" s="46"/>
    </row>
    <row r="146" spans="2:11" x14ac:dyDescent="0.2">
      <c r="B146" s="192" t="str">
        <f>IF(n_ail&gt;0,IF(Lang="Français","Saumon","Tip edge"),"")</f>
        <v>Saumon</v>
      </c>
      <c r="C146" s="197">
        <f>-X_ail+m_ail-p_ail</f>
        <v>-975</v>
      </c>
      <c r="D146" s="207">
        <f>-D_ail/2-E_ail-Long_tot/20</f>
        <v>-253.75</v>
      </c>
      <c r="E146" s="93"/>
      <c r="K146" s="46"/>
    </row>
    <row r="147" spans="2:11" x14ac:dyDescent="0.2">
      <c r="B147" s="195" t="s">
        <v>168</v>
      </c>
      <c r="C147" s="46">
        <f>-X_ail+m_ail-p_ail-n_ail/2</f>
        <v>-1035</v>
      </c>
      <c r="D147" s="208">
        <f>-D_ail/2-E_ail-Long_tot/20</f>
        <v>-253.75</v>
      </c>
      <c r="E147" s="93"/>
      <c r="K147" s="46"/>
    </row>
    <row r="148" spans="2:11" x14ac:dyDescent="0.2">
      <c r="B148" s="212" t="s">
        <v>165</v>
      </c>
      <c r="C148" s="200">
        <f>-X_ail+m_ail-p_ail-n_ail</f>
        <v>-1095</v>
      </c>
      <c r="D148" s="209">
        <f>-D_ail/2-E_ail-Long_tot/20</f>
        <v>-253.75</v>
      </c>
      <c r="E148" s="93"/>
      <c r="K148" s="46"/>
    </row>
    <row r="149" spans="2:11" x14ac:dyDescent="0.2">
      <c r="B149" s="183" t="s">
        <v>83</v>
      </c>
      <c r="C149" s="197">
        <f ca="1">-XcgPlein</f>
        <v>-478.14554609759017</v>
      </c>
      <c r="D149" s="207">
        <v>0</v>
      </c>
      <c r="E149" s="93"/>
      <c r="K149" s="46"/>
    </row>
    <row r="150" spans="2:11" x14ac:dyDescent="0.2">
      <c r="B150" s="187" t="s">
        <v>84</v>
      </c>
      <c r="C150" s="200">
        <f ca="1">-XcgVide</f>
        <v>-387.25974025974023</v>
      </c>
      <c r="D150" s="209">
        <v>0</v>
      </c>
      <c r="E150" s="93"/>
      <c r="K150" s="46"/>
    </row>
    <row r="151" spans="2:11" x14ac:dyDescent="0.2">
      <c r="B151" s="183" t="s">
        <v>85</v>
      </c>
      <c r="C151" s="197">
        <f>-XCp</f>
        <v>-796.12906470512303</v>
      </c>
      <c r="D151" s="207">
        <v>0</v>
      </c>
      <c r="E151" s="93"/>
      <c r="K151" s="46"/>
    </row>
    <row r="152" spans="2:11" x14ac:dyDescent="0.2">
      <c r="B152" s="187" t="s">
        <v>85</v>
      </c>
      <c r="C152" s="200">
        <f>-XCp</f>
        <v>-796.12906470512303</v>
      </c>
      <c r="D152" s="209">
        <f>Cn*D_ref/CritCnmin</f>
        <v>132.51207998200962</v>
      </c>
      <c r="E152" s="93"/>
      <c r="K152" s="46"/>
    </row>
    <row r="153" spans="2:11" x14ac:dyDescent="0.2">
      <c r="B153" s="185" t="s">
        <v>422</v>
      </c>
      <c r="C153" s="46">
        <f>-XCp0</f>
        <v>-796.12906470512303</v>
      </c>
      <c r="D153" s="208">
        <f>Cn0*D_ref/CritCnmin</f>
        <v>132.51207998200962</v>
      </c>
      <c r="E153" s="93"/>
      <c r="K153" s="46"/>
    </row>
    <row r="154" spans="2:11" x14ac:dyDescent="0.2">
      <c r="B154" s="185" t="s">
        <v>422</v>
      </c>
      <c r="C154" s="46">
        <f>-XCp0</f>
        <v>-796.12906470512303</v>
      </c>
      <c r="D154" s="208">
        <v>0</v>
      </c>
      <c r="E154" s="93"/>
      <c r="K154" s="46"/>
    </row>
    <row r="155" spans="2:11" x14ac:dyDescent="0.2">
      <c r="B155" s="192" t="str">
        <f>IF(n_ail&gt;0,IF(Lang="Français","Marge Statique","Static Margin"),"")</f>
        <v>Marge Statique</v>
      </c>
      <c r="C155" s="197">
        <f ca="1">(-XcgPlein-XcgVide)/2</f>
        <v>-432.7026431786652</v>
      </c>
      <c r="D155" s="207">
        <f>-D_ail/2-E_ail-Long_tot/20</f>
        <v>-253.75</v>
      </c>
      <c r="E155" s="93"/>
      <c r="K155" s="46"/>
    </row>
    <row r="156" spans="2:11" x14ac:dyDescent="0.2">
      <c r="B156" s="195" t="s">
        <v>171</v>
      </c>
      <c r="C156" s="46">
        <f ca="1">(C155+C157)/2</f>
        <v>-614.41585394189406</v>
      </c>
      <c r="D156" s="208">
        <f>-D_ail/2-E_ail-Long_tot/20</f>
        <v>-253.75</v>
      </c>
      <c r="E156" s="93"/>
      <c r="K156" s="46"/>
    </row>
    <row r="157" spans="2:11" x14ac:dyDescent="0.2">
      <c r="B157" s="212" t="s">
        <v>172</v>
      </c>
      <c r="C157" s="200">
        <f>-XCp</f>
        <v>-796.12906470512303</v>
      </c>
      <c r="D157" s="209">
        <f>-D_ail/2-E_ail-Long_tot/20</f>
        <v>-253.75</v>
      </c>
      <c r="E157" s="93"/>
      <c r="K157" s="46"/>
    </row>
    <row r="158" spans="2:11" x14ac:dyDescent="0.2">
      <c r="B158" s="183" t="s">
        <v>86</v>
      </c>
      <c r="C158" s="197">
        <f>IF(LEFT(Type_masquage,1)="M",0,-X_can+m_can)</f>
        <v>0</v>
      </c>
      <c r="D158" s="197">
        <f>IF(LEFT(Type_masquage,1)="M",0,D_ail/2)</f>
        <v>0</v>
      </c>
      <c r="E158" s="198">
        <f t="shared" ref="E158:E167" si="1">-D158</f>
        <v>0</v>
      </c>
      <c r="K158" s="46"/>
    </row>
    <row r="159" spans="2:11" x14ac:dyDescent="0.2">
      <c r="B159" s="185" t="s">
        <v>87</v>
      </c>
      <c r="C159" s="46">
        <f>IF(LEFT(Type_masquage,1)="M",0,-X_can+m_can-p_can)</f>
        <v>0</v>
      </c>
      <c r="D159" s="46">
        <f>IF(LEFT(Type_masquage,1)="M",0,D_ail/2+E_can)</f>
        <v>0</v>
      </c>
      <c r="E159" s="199">
        <f t="shared" si="1"/>
        <v>0</v>
      </c>
      <c r="K159" s="46"/>
    </row>
    <row r="160" spans="2:11" x14ac:dyDescent="0.2">
      <c r="B160" s="185" t="s">
        <v>88</v>
      </c>
      <c r="C160" s="46">
        <f>IF(LEFT(Type_masquage,1)="M",0,-X_can+m_can-p_can-n_can)</f>
        <v>0</v>
      </c>
      <c r="D160" s="46">
        <f>IF(LEFT(Type_masquage,1)="M",0,D_ail/2+E_can)</f>
        <v>0</v>
      </c>
      <c r="E160" s="199">
        <f t="shared" si="1"/>
        <v>0</v>
      </c>
      <c r="K160" s="46"/>
    </row>
    <row r="161" spans="2:11" x14ac:dyDescent="0.2">
      <c r="B161" s="185" t="s">
        <v>89</v>
      </c>
      <c r="C161" s="46">
        <f>IF(LEFT(Type_masquage,1)="M",0,-X_can)</f>
        <v>0</v>
      </c>
      <c r="D161" s="46">
        <f>IF(LEFT(Type_masquage,1)="M",0,D_ail/2)</f>
        <v>0</v>
      </c>
      <c r="E161" s="199">
        <f t="shared" si="1"/>
        <v>0</v>
      </c>
      <c r="K161" s="46"/>
    </row>
    <row r="162" spans="2:11" x14ac:dyDescent="0.2">
      <c r="B162" s="187" t="s">
        <v>86</v>
      </c>
      <c r="C162" s="200">
        <f>IF(LEFT(Type_masquage,1)="M",0,-X_can+m_can)</f>
        <v>0</v>
      </c>
      <c r="D162" s="200">
        <f>IF(LEFT(Type_masquage,1)="M",0,D_ail/2)</f>
        <v>0</v>
      </c>
      <c r="E162" s="201">
        <f t="shared" si="1"/>
        <v>0</v>
      </c>
      <c r="K162" s="46"/>
    </row>
    <row r="163" spans="2:11" x14ac:dyDescent="0.2">
      <c r="B163" s="183" t="s">
        <v>90</v>
      </c>
      <c r="C163" s="197">
        <f>IF(LEFT(Type_masquage,1)="B",-X_int+m_int,0)</f>
        <v>0</v>
      </c>
      <c r="D163" s="197">
        <f>IF(LEFT(Type_masquage,1)="B",D_int/2,0)</f>
        <v>0</v>
      </c>
      <c r="E163" s="198">
        <f t="shared" si="1"/>
        <v>0</v>
      </c>
      <c r="K163" s="46"/>
    </row>
    <row r="164" spans="2:11" x14ac:dyDescent="0.2">
      <c r="B164" s="185" t="s">
        <v>91</v>
      </c>
      <c r="C164" s="46">
        <f>IF(LEFT(Type_masquage,1)="B",-X_int+m_int-p_int,0)</f>
        <v>0</v>
      </c>
      <c r="D164" s="46">
        <f>IF(LEFT(Type_masquage,1)="B",D_int/2+E_int,0)</f>
        <v>0</v>
      </c>
      <c r="E164" s="199">
        <f t="shared" si="1"/>
        <v>0</v>
      </c>
      <c r="K164" s="46"/>
    </row>
    <row r="165" spans="2:11" x14ac:dyDescent="0.2">
      <c r="B165" s="185" t="s">
        <v>92</v>
      </c>
      <c r="C165" s="46">
        <f>IF(LEFT(Type_masquage,1)="B",-X_int+m_int-p_int-n_int,0)</f>
        <v>0</v>
      </c>
      <c r="D165" s="46">
        <f>IF(LEFT(Type_masquage,1)="B",D_int/2+E_int,0)</f>
        <v>0</v>
      </c>
      <c r="E165" s="199">
        <f t="shared" si="1"/>
        <v>0</v>
      </c>
      <c r="K165" s="46"/>
    </row>
    <row r="166" spans="2:11" x14ac:dyDescent="0.2">
      <c r="B166" s="185" t="s">
        <v>93</v>
      </c>
      <c r="C166" s="46">
        <f>IF(LEFT(Type_masquage,1)="B",-X_int,0)</f>
        <v>0</v>
      </c>
      <c r="D166" s="46">
        <f>IF(LEFT(Type_masquage,1)="B",D_int/2,0)</f>
        <v>0</v>
      </c>
      <c r="E166" s="199">
        <f t="shared" si="1"/>
        <v>0</v>
      </c>
      <c r="K166" s="46"/>
    </row>
    <row r="167" spans="2:11" x14ac:dyDescent="0.2">
      <c r="B167" s="187" t="s">
        <v>90</v>
      </c>
      <c r="C167" s="200">
        <f>IF(LEFT(Type_masquage,1)="B",-X_int+m_int,0)</f>
        <v>0</v>
      </c>
      <c r="D167" s="200">
        <f>IF(LEFT(Type_masquage,1)="B",D_int/2,0)</f>
        <v>0</v>
      </c>
      <c r="E167" s="201">
        <f t="shared" si="1"/>
        <v>0</v>
      </c>
      <c r="K167" s="46"/>
    </row>
    <row r="168" spans="2:11" x14ac:dyDescent="0.2">
      <c r="B168" s="45" t="s">
        <v>94</v>
      </c>
      <c r="C168" s="46">
        <f>-MAX(Long_tot, X_ail-m_ail+p_ail+n_ail, (E_ail+D_ail/2)*3.2)*1.01</f>
        <v>-1105.95</v>
      </c>
      <c r="D168" s="46">
        <f>MAX(E_ail+D_ail/2, Long_tot/3)</f>
        <v>345</v>
      </c>
      <c r="E168" s="93"/>
      <c r="K168" s="46"/>
    </row>
    <row r="169" spans="2:11" x14ac:dyDescent="0.2">
      <c r="B169" s="45" t="s">
        <v>94</v>
      </c>
      <c r="C169" s="46">
        <f>C168</f>
        <v>-1105.95</v>
      </c>
      <c r="D169" s="46">
        <f>-D168</f>
        <v>-345</v>
      </c>
      <c r="E169" s="93"/>
      <c r="K169" s="46"/>
    </row>
    <row r="170" spans="2:11" x14ac:dyDescent="0.2">
      <c r="B170" s="183" t="s">
        <v>95</v>
      </c>
      <c r="C170" s="197">
        <f ca="1">-XpropuRef+Long_propu</f>
        <v>-549</v>
      </c>
      <c r="D170" s="207">
        <f ca="1">-Diam_propu/2</f>
        <v>-37.5</v>
      </c>
      <c r="E170" s="93"/>
      <c r="K170" s="46"/>
    </row>
    <row r="171" spans="2:11" x14ac:dyDescent="0.2">
      <c r="B171" s="185" t="s">
        <v>96</v>
      </c>
      <c r="C171" s="46">
        <f ca="1">-XpropuRef+Long_propu</f>
        <v>-549</v>
      </c>
      <c r="D171" s="208">
        <f ca="1">Diam_propu/2</f>
        <v>37.5</v>
      </c>
      <c r="E171" s="93"/>
      <c r="K171" s="46"/>
    </row>
    <row r="172" spans="2:11" x14ac:dyDescent="0.2">
      <c r="B172" s="185" t="s">
        <v>97</v>
      </c>
      <c r="C172" s="46">
        <f>-XpropuRef</f>
        <v>-1035</v>
      </c>
      <c r="D172" s="208">
        <f ca="1">Diam_propu/2</f>
        <v>37.5</v>
      </c>
      <c r="E172" s="93"/>
      <c r="K172" s="46"/>
    </row>
    <row r="173" spans="2:11" x14ac:dyDescent="0.2">
      <c r="B173" s="185" t="s">
        <v>98</v>
      </c>
      <c r="C173" s="46">
        <f>-XpropuRef</f>
        <v>-1035</v>
      </c>
      <c r="D173" s="208">
        <f ca="1">-Diam_propu/2</f>
        <v>-37.5</v>
      </c>
      <c r="E173" s="93"/>
      <c r="K173" s="46"/>
    </row>
    <row r="174" spans="2:11" x14ac:dyDescent="0.2">
      <c r="B174" s="187" t="s">
        <v>99</v>
      </c>
      <c r="C174" s="200">
        <f ca="1">-XpropuRef+Long_propu</f>
        <v>-549</v>
      </c>
      <c r="D174" s="209">
        <f ca="1">-Diam_propu/2</f>
        <v>-37.5</v>
      </c>
      <c r="E174" s="93"/>
      <c r="F174" s="192" t="s">
        <v>160</v>
      </c>
      <c r="G174" s="193" t="s">
        <v>161</v>
      </c>
      <c r="H174" s="194" t="s">
        <v>162</v>
      </c>
      <c r="K174" s="46"/>
    </row>
    <row r="175" spans="2:11" x14ac:dyDescent="0.2">
      <c r="B175" s="183" t="s">
        <v>72</v>
      </c>
      <c r="C175" s="197">
        <v>0</v>
      </c>
      <c r="D175" s="197">
        <v>0</v>
      </c>
      <c r="E175" s="198">
        <f t="shared" ref="E175:E180" si="2">-D175</f>
        <v>0</v>
      </c>
      <c r="F175" s="195">
        <v>0</v>
      </c>
      <c r="G175" s="45">
        <v>0</v>
      </c>
      <c r="H175" s="189">
        <v>0</v>
      </c>
      <c r="K175" s="46"/>
    </row>
    <row r="176" spans="2:11" x14ac:dyDescent="0.2">
      <c r="B176" s="185" t="s">
        <v>73</v>
      </c>
      <c r="C176" s="46">
        <f>-Long_ogive*0.1</f>
        <v>-0.1</v>
      </c>
      <c r="D176" s="46">
        <f>IF(LEFT(Forme_ogive,5)="Parab",H176,IF(LEFT(Forme_ogive,4)="Ogiv",G176,IF(LEFT(Forme_ogive,3)="Con",F176)))</f>
        <v>4.2</v>
      </c>
      <c r="E176" s="199">
        <f t="shared" si="2"/>
        <v>-4.2</v>
      </c>
      <c r="F176" s="185">
        <f>D_og/2*0.1</f>
        <v>4.2</v>
      </c>
      <c r="G176" s="45">
        <f>D_og/2*0.2</f>
        <v>8.4</v>
      </c>
      <c r="H176" s="189">
        <f>D_og/2*0.5</f>
        <v>21</v>
      </c>
      <c r="K176" s="46"/>
    </row>
    <row r="177" spans="2:11" x14ac:dyDescent="0.2">
      <c r="B177" s="185" t="s">
        <v>73</v>
      </c>
      <c r="C177" s="46">
        <f>-Long_ogive/4</f>
        <v>-0.25</v>
      </c>
      <c r="D177" s="46">
        <f>IF(LEFT(Forme_ogive,5)="Parab",H177,IF(LEFT(Forme_ogive,4)="Ogiv",G177,IF(LEFT(Forme_ogive,3)="Con",F177)))</f>
        <v>10.5</v>
      </c>
      <c r="E177" s="199">
        <f t="shared" si="2"/>
        <v>-10.5</v>
      </c>
      <c r="F177" s="185">
        <f>D_og/2*1/4</f>
        <v>10.5</v>
      </c>
      <c r="G177" s="45">
        <f>D_og/2/2</f>
        <v>21</v>
      </c>
      <c r="H177" s="189">
        <f>D_og/2*0.7</f>
        <v>29.4</v>
      </c>
      <c r="K177" s="46"/>
    </row>
    <row r="178" spans="2:11" x14ac:dyDescent="0.2">
      <c r="B178" s="185" t="s">
        <v>73</v>
      </c>
      <c r="C178" s="46">
        <f>-Long_ogive/2</f>
        <v>-0.5</v>
      </c>
      <c r="D178" s="46">
        <f>IF(LEFT(Forme_ogive,5)="Parab",H178,IF(LEFT(Forme_ogive,4)="Ogiv",G178,IF(LEFT(Forme_ogive,3)="Con",F178)))</f>
        <v>21</v>
      </c>
      <c r="E178" s="199">
        <f t="shared" si="2"/>
        <v>-21</v>
      </c>
      <c r="F178" s="185">
        <f>D_og/2/2</f>
        <v>21</v>
      </c>
      <c r="G178" s="45">
        <f>D_og/2*3/4</f>
        <v>31.5</v>
      </c>
      <c r="H178" s="189">
        <f>D_og/2*0.88</f>
        <v>36.96</v>
      </c>
      <c r="K178" s="46"/>
    </row>
    <row r="179" spans="2:11" x14ac:dyDescent="0.2">
      <c r="B179" s="185" t="s">
        <v>73</v>
      </c>
      <c r="C179" s="46">
        <f>-Long_ogive*3/4</f>
        <v>-0.75</v>
      </c>
      <c r="D179" s="46">
        <f>IF(LEFT(Forme_ogive,5)="Parab",H179,IF(LEFT(Forme_ogive,4)="Ogiv",G179,IF(LEFT(Forme_ogive,3)="Con",F179)))</f>
        <v>31.5</v>
      </c>
      <c r="E179" s="199">
        <f t="shared" si="2"/>
        <v>-31.5</v>
      </c>
      <c r="F179" s="185">
        <f>D_og/2*3/4</f>
        <v>31.5</v>
      </c>
      <c r="G179" s="45">
        <f>D_og/2*0.9</f>
        <v>37.800000000000004</v>
      </c>
      <c r="H179" s="189">
        <f>D_og/2*0.95</f>
        <v>39.9</v>
      </c>
      <c r="K179" s="46"/>
    </row>
    <row r="180" spans="2:11" x14ac:dyDescent="0.2">
      <c r="B180" s="187" t="s">
        <v>73</v>
      </c>
      <c r="C180" s="200">
        <f>-Long_ogive</f>
        <v>-1</v>
      </c>
      <c r="D180" s="200">
        <f>D_og/2</f>
        <v>42</v>
      </c>
      <c r="E180" s="201">
        <f t="shared" si="2"/>
        <v>-42</v>
      </c>
      <c r="F180" s="187">
        <f>D_og/2</f>
        <v>42</v>
      </c>
      <c r="G180" s="196">
        <f>D_og/2</f>
        <v>42</v>
      </c>
      <c r="H180" s="190">
        <f>D_og/2</f>
        <v>42</v>
      </c>
      <c r="K180" s="26"/>
    </row>
    <row r="181" spans="2:11" x14ac:dyDescent="0.2">
      <c r="B181" s="45" t="s">
        <v>100</v>
      </c>
      <c r="C181" s="45" t="s">
        <v>101</v>
      </c>
      <c r="D181" s="183" t="s">
        <v>100</v>
      </c>
      <c r="E181" s="204" t="s">
        <v>101</v>
      </c>
      <c r="K181" s="45"/>
    </row>
    <row r="182" spans="2:11" x14ac:dyDescent="0.2">
      <c r="B182" s="183">
        <v>0</v>
      </c>
      <c r="C182" s="202">
        <f>CritCnmin</f>
        <v>15</v>
      </c>
      <c r="D182" s="185">
        <v>0.5</v>
      </c>
      <c r="E182" s="205">
        <f t="shared" ref="E182:E187" si="3">CritMsCnmin/D182</f>
        <v>80</v>
      </c>
      <c r="K182" s="45"/>
    </row>
    <row r="183" spans="2:11" x14ac:dyDescent="0.2">
      <c r="B183" s="187">
        <v>7</v>
      </c>
      <c r="C183" s="196">
        <f>CritCnmin</f>
        <v>15</v>
      </c>
      <c r="D183" s="185">
        <v>1</v>
      </c>
      <c r="E183" s="205">
        <f t="shared" si="3"/>
        <v>40</v>
      </c>
      <c r="K183" s="45"/>
    </row>
    <row r="184" spans="2:11" x14ac:dyDescent="0.2">
      <c r="B184" s="183">
        <v>0</v>
      </c>
      <c r="C184" s="202">
        <f>CritCnmax</f>
        <v>40</v>
      </c>
      <c r="D184" s="185">
        <v>2</v>
      </c>
      <c r="E184" s="205">
        <f t="shared" si="3"/>
        <v>20</v>
      </c>
      <c r="K184" s="45"/>
    </row>
    <row r="185" spans="2:11" x14ac:dyDescent="0.2">
      <c r="B185" s="187">
        <v>7</v>
      </c>
      <c r="C185" s="196">
        <f>CritCnmax</f>
        <v>40</v>
      </c>
      <c r="D185" s="185">
        <v>3</v>
      </c>
      <c r="E185" s="205">
        <f t="shared" si="3"/>
        <v>13.333333333333334</v>
      </c>
      <c r="K185" s="45"/>
    </row>
    <row r="186" spans="2:11" x14ac:dyDescent="0.2">
      <c r="B186" s="183">
        <f>CritMsmin</f>
        <v>2</v>
      </c>
      <c r="C186" s="202">
        <v>0</v>
      </c>
      <c r="D186" s="185">
        <v>5</v>
      </c>
      <c r="E186" s="205">
        <f t="shared" si="3"/>
        <v>8</v>
      </c>
      <c r="K186" s="45"/>
    </row>
    <row r="187" spans="2:11" x14ac:dyDescent="0.2">
      <c r="B187" s="187">
        <f>CritMsmin</f>
        <v>2</v>
      </c>
      <c r="C187" s="196">
        <v>55</v>
      </c>
      <c r="D187" s="185">
        <v>7</v>
      </c>
      <c r="E187" s="205">
        <f t="shared" si="3"/>
        <v>5.7142857142857144</v>
      </c>
      <c r="K187" s="45"/>
    </row>
    <row r="188" spans="2:11" x14ac:dyDescent="0.2">
      <c r="B188" s="183">
        <f>CritMsmax</f>
        <v>6</v>
      </c>
      <c r="C188" s="202">
        <v>0</v>
      </c>
      <c r="D188" s="185">
        <v>1</v>
      </c>
      <c r="E188" s="205">
        <f t="shared" ref="E188:E193" si="4">CritMsCnmax/D188</f>
        <v>100</v>
      </c>
      <c r="K188" s="45"/>
    </row>
    <row r="189" spans="2:11" x14ac:dyDescent="0.2">
      <c r="B189" s="187">
        <f>CritMsmax</f>
        <v>6</v>
      </c>
      <c r="C189" s="196">
        <v>55</v>
      </c>
      <c r="D189" s="185">
        <v>2</v>
      </c>
      <c r="E189" s="205">
        <f t="shared" si="4"/>
        <v>50</v>
      </c>
      <c r="K189" s="45"/>
    </row>
    <row r="190" spans="2:11" x14ac:dyDescent="0.2">
      <c r="B190" s="191">
        <f ca="1">MS_min</f>
        <v>3.0575338327647392</v>
      </c>
      <c r="C190" s="203">
        <f>Cn</f>
        <v>19.112319228174467</v>
      </c>
      <c r="D190" s="185">
        <v>3</v>
      </c>
      <c r="E190" s="205">
        <f t="shared" si="4"/>
        <v>33.333333333333336</v>
      </c>
      <c r="K190" s="45"/>
    </row>
    <row r="191" spans="2:11" x14ac:dyDescent="0.2">
      <c r="B191" s="514">
        <f ca="1">(XCp0-XcgPlein)/D_ref</f>
        <v>3.0575338327647392</v>
      </c>
      <c r="C191" s="515">
        <f>Cn0</f>
        <v>19.112319228174467</v>
      </c>
      <c r="D191" s="185">
        <v>4</v>
      </c>
      <c r="E191" s="205">
        <f t="shared" si="4"/>
        <v>25</v>
      </c>
      <c r="K191" s="45"/>
    </row>
    <row r="192" spans="2:11" x14ac:dyDescent="0.2">
      <c r="B192" s="514">
        <f ca="1">(XCp0-XcgVide)/D_ref</f>
        <v>3.9314358119748345</v>
      </c>
      <c r="C192" s="515">
        <f>Cn0</f>
        <v>19.112319228174467</v>
      </c>
      <c r="D192" s="185">
        <v>6</v>
      </c>
      <c r="E192" s="205">
        <f t="shared" si="4"/>
        <v>16.666666666666668</v>
      </c>
      <c r="K192" s="45"/>
    </row>
    <row r="193" spans="2:11" x14ac:dyDescent="0.2">
      <c r="B193" s="514">
        <f ca="1">(XCp-XcgVide)/D_ref</f>
        <v>3.9314358119748345</v>
      </c>
      <c r="C193" s="515">
        <f>Cn</f>
        <v>19.112319228174467</v>
      </c>
      <c r="D193" s="187">
        <v>7</v>
      </c>
      <c r="E193" s="206">
        <f t="shared" si="4"/>
        <v>14.285714285714286</v>
      </c>
      <c r="K193" s="45"/>
    </row>
    <row r="194" spans="2:11" x14ac:dyDescent="0.2">
      <c r="B194" s="514">
        <f ca="1">MS_min</f>
        <v>3.0575338327647392</v>
      </c>
      <c r="C194" s="516">
        <f>Cn</f>
        <v>19.112319228174467</v>
      </c>
      <c r="D194" s="45"/>
      <c r="E194" s="92"/>
      <c r="K194" s="45"/>
    </row>
    <row r="195" spans="2:11" x14ac:dyDescent="0.2">
      <c r="B195" s="183">
        <v>0</v>
      </c>
      <c r="C195" s="202">
        <f>(CritCnmin+CritCnmax)/2</f>
        <v>27.5</v>
      </c>
      <c r="D195" s="26"/>
      <c r="E195" s="90"/>
      <c r="K195" s="26"/>
    </row>
    <row r="196" spans="2:11" x14ac:dyDescent="0.2">
      <c r="B196" s="185">
        <f>MAX(CritMsmin,CritMsCnmin/C196)</f>
        <v>2</v>
      </c>
      <c r="C196" s="45">
        <f>(CritCnmin+CritCnmax)/2</f>
        <v>27.5</v>
      </c>
      <c r="D196" s="26"/>
      <c r="E196" s="90"/>
      <c r="K196" s="26"/>
    </row>
    <row r="197" spans="2:11" x14ac:dyDescent="0.2">
      <c r="B197" s="185">
        <f>MIN(CritMsmax,CritMsCnmax/C197)</f>
        <v>3.6363636363636362</v>
      </c>
      <c r="C197" s="189">
        <f>(CritCnmin+CritCnmax)/2</f>
        <v>27.5</v>
      </c>
    </row>
    <row r="198" spans="2:11" x14ac:dyDescent="0.2">
      <c r="B198" s="187">
        <v>7</v>
      </c>
      <c r="C198" s="190">
        <f>(CritCnmin+CritCnmax)/2</f>
        <v>27.5</v>
      </c>
    </row>
    <row r="199" spans="2:11" x14ac:dyDescent="0.2">
      <c r="B199" s="183">
        <f>(CritMsmin+CritMsmax)/2</f>
        <v>4</v>
      </c>
      <c r="C199" s="184">
        <v>0</v>
      </c>
    </row>
    <row r="200" spans="2:11" x14ac:dyDescent="0.2">
      <c r="B200" s="185">
        <f>(CritMsmin+CritMsmax)/2</f>
        <v>4</v>
      </c>
      <c r="C200" s="186">
        <f>MAX(CritCnmin,CritMsCnmin/B200)</f>
        <v>15</v>
      </c>
    </row>
    <row r="201" spans="2:11" x14ac:dyDescent="0.2">
      <c r="B201" s="185">
        <f>(CritMsmin+CritMsmax)/2</f>
        <v>4</v>
      </c>
      <c r="C201" s="186">
        <f>MIN(CritCnmax,CritMsCnmax/B201)</f>
        <v>25</v>
      </c>
    </row>
    <row r="202" spans="2:11" x14ac:dyDescent="0.2">
      <c r="B202" s="187">
        <f>(CritMsmin+CritMsmax)/2</f>
        <v>4</v>
      </c>
      <c r="C202" s="188">
        <v>55</v>
      </c>
    </row>
    <row r="203" spans="2:11" x14ac:dyDescent="0.2">
      <c r="D203" s="475"/>
    </row>
    <row r="204" spans="2:11" x14ac:dyDescent="0.2">
      <c r="B204" s="477" t="s">
        <v>405</v>
      </c>
      <c r="C204" s="31" t="b">
        <f ca="1">(OR(C205:C210))</f>
        <v>1</v>
      </c>
      <c r="D204" s="475"/>
    </row>
    <row r="205" spans="2:11" x14ac:dyDescent="0.2">
      <c r="B205" s="476" t="s">
        <v>402</v>
      </c>
      <c r="C205" s="475" t="b">
        <f ca="1">AND(Type_propu="H2O",RIGHT(Type_fusee,1)=" ")</f>
        <v>0</v>
      </c>
      <c r="D205" s="475"/>
    </row>
    <row r="206" spans="2:11" x14ac:dyDescent="0.2">
      <c r="B206" s="476" t="s">
        <v>119</v>
      </c>
      <c r="C206" s="475" t="b">
        <f ca="1">AND(Type_propu="Fusex",RIGHT(Type_fusee,1)=".")</f>
        <v>1</v>
      </c>
      <c r="D206" s="475"/>
    </row>
    <row r="207" spans="2:11" x14ac:dyDescent="0.2">
      <c r="B207" s="476" t="s">
        <v>403</v>
      </c>
      <c r="C207" s="475" t="b">
        <f ca="1">LEFT(Type_propu,5)=LEFT(Type_fusee,5)</f>
        <v>0</v>
      </c>
      <c r="D207" s="475"/>
    </row>
    <row r="208" spans="2:11" x14ac:dyDescent="0.2">
      <c r="B208" s="476" t="s">
        <v>404</v>
      </c>
      <c r="C208" s="475" t="b">
        <f ca="1">AND(RIGHT(Type_propu,1)="N",LEFT(Type_fusee,4)="Mini")</f>
        <v>0</v>
      </c>
      <c r="D208" s="475"/>
    </row>
    <row r="209" spans="1:3" x14ac:dyDescent="0.2">
      <c r="B209" s="476" t="s">
        <v>406</v>
      </c>
      <c r="C209" s="475" t="b">
        <f ca="1">AND(LEFT(Type_propu,5)="MiniR",LEFT(Type_fusee,1)="R")</f>
        <v>0</v>
      </c>
    </row>
    <row r="210" spans="1:3" x14ac:dyDescent="0.2">
      <c r="B210" s="476" t="s">
        <v>396</v>
      </c>
      <c r="C210" s="475" t="b">
        <f ca="1">AND(LEFT(Type_propu,4)="Mini",LEFT(Type_fusee,1)=",")</f>
        <v>0</v>
      </c>
    </row>
    <row r="223" spans="1:3" x14ac:dyDescent="0.2">
      <c r="A223" s="24" t="s">
        <v>463</v>
      </c>
    </row>
    <row r="226" spans="1:1" x14ac:dyDescent="0.2">
      <c r="A226" s="24" t="s">
        <v>476</v>
      </c>
    </row>
    <row r="228" spans="1:1" x14ac:dyDescent="0.2">
      <c r="A228" s="24" t="s">
        <v>477</v>
      </c>
    </row>
    <row r="230" spans="1:1" x14ac:dyDescent="0.2">
      <c r="A230" s="24" t="s">
        <v>478</v>
      </c>
    </row>
    <row r="232" spans="1:1" x14ac:dyDescent="0.2">
      <c r="A232" s="24" t="s">
        <v>479</v>
      </c>
    </row>
    <row r="233" spans="1:1" x14ac:dyDescent="0.2">
      <c r="A233" s="24" t="s">
        <v>480</v>
      </c>
    </row>
    <row r="234" spans="1:1" x14ac:dyDescent="0.2">
      <c r="A234" s="24" t="s">
        <v>481</v>
      </c>
    </row>
    <row r="235" spans="1:1" x14ac:dyDescent="0.2">
      <c r="A235" s="24" t="s">
        <v>482</v>
      </c>
    </row>
    <row r="236" spans="1:1" x14ac:dyDescent="0.2">
      <c r="A236" s="24" t="s">
        <v>483</v>
      </c>
    </row>
    <row r="237" spans="1:1" x14ac:dyDescent="0.2">
      <c r="A237" s="24" t="s">
        <v>484</v>
      </c>
    </row>
    <row r="238" spans="1:1" x14ac:dyDescent="0.2">
      <c r="A238" s="24" t="s">
        <v>184</v>
      </c>
    </row>
    <row r="239" spans="1:1" x14ac:dyDescent="0.2">
      <c r="A239" s="24" t="s">
        <v>485</v>
      </c>
    </row>
    <row r="240" spans="1:1" x14ac:dyDescent="0.2">
      <c r="A240" s="24" t="s">
        <v>486</v>
      </c>
    </row>
    <row r="241" spans="1:1" x14ac:dyDescent="0.2">
      <c r="A241" s="24" t="s">
        <v>184</v>
      </c>
    </row>
    <row r="242" spans="1:1" x14ac:dyDescent="0.2">
      <c r="A242" s="24" t="s">
        <v>487</v>
      </c>
    </row>
    <row r="244" spans="1:1" x14ac:dyDescent="0.2">
      <c r="A244" s="24" t="s">
        <v>488</v>
      </c>
    </row>
    <row r="246" spans="1:1" x14ac:dyDescent="0.2">
      <c r="A246" s="24" t="s">
        <v>489</v>
      </c>
    </row>
    <row r="248" spans="1:1" x14ac:dyDescent="0.2">
      <c r="A248" s="24" t="s">
        <v>490</v>
      </c>
    </row>
    <row r="249" spans="1:1" x14ac:dyDescent="0.2">
      <c r="A249" s="24" t="s">
        <v>491</v>
      </c>
    </row>
    <row r="250" spans="1:1" x14ac:dyDescent="0.2">
      <c r="A250" s="24" t="s">
        <v>492</v>
      </c>
    </row>
    <row r="251" spans="1:1" x14ac:dyDescent="0.2">
      <c r="A251" s="24" t="s">
        <v>493</v>
      </c>
    </row>
    <row r="252" spans="1:1" x14ac:dyDescent="0.2">
      <c r="A252" s="24" t="s">
        <v>494</v>
      </c>
    </row>
    <row r="254" spans="1:1" x14ac:dyDescent="0.2">
      <c r="A254" s="24" t="s">
        <v>495</v>
      </c>
    </row>
    <row r="255" spans="1:1" x14ac:dyDescent="0.2">
      <c r="A255" s="24" t="s">
        <v>496</v>
      </c>
    </row>
    <row r="256" spans="1:1" x14ac:dyDescent="0.2">
      <c r="A256" s="24" t="s">
        <v>497</v>
      </c>
    </row>
    <row r="257" spans="1:1" x14ac:dyDescent="0.2">
      <c r="A257" s="24" t="s">
        <v>498</v>
      </c>
    </row>
    <row r="258" spans="1:1" x14ac:dyDescent="0.2">
      <c r="A258" s="24" t="s">
        <v>499</v>
      </c>
    </row>
    <row r="261" spans="1:1" x14ac:dyDescent="0.2">
      <c r="A261" s="24" t="s">
        <v>500</v>
      </c>
    </row>
    <row r="262" spans="1:1" x14ac:dyDescent="0.2">
      <c r="A262" s="24" t="s">
        <v>501</v>
      </c>
    </row>
    <row r="263" spans="1:1" x14ac:dyDescent="0.2">
      <c r="A263" s="24" t="s">
        <v>502</v>
      </c>
    </row>
    <row r="264" spans="1:1" x14ac:dyDescent="0.2">
      <c r="A264" s="24" t="s">
        <v>503</v>
      </c>
    </row>
    <row r="265" spans="1:1" x14ac:dyDescent="0.2">
      <c r="A265" s="24" t="s">
        <v>504</v>
      </c>
    </row>
    <row r="267" spans="1:1" x14ac:dyDescent="0.2">
      <c r="A267" s="24" t="s">
        <v>497</v>
      </c>
    </row>
    <row r="268" spans="1:1" x14ac:dyDescent="0.2">
      <c r="A268" s="24" t="s">
        <v>498</v>
      </c>
    </row>
    <row r="269" spans="1:1" x14ac:dyDescent="0.2">
      <c r="A269" s="24" t="s">
        <v>505</v>
      </c>
    </row>
    <row r="272" spans="1:1" x14ac:dyDescent="0.2">
      <c r="A272" s="24" t="s">
        <v>465</v>
      </c>
    </row>
    <row r="273" spans="1:1" x14ac:dyDescent="0.2">
      <c r="A273" s="24" t="s">
        <v>466</v>
      </c>
    </row>
    <row r="275" spans="1:1" x14ac:dyDescent="0.2">
      <c r="A275" s="24" t="s">
        <v>506</v>
      </c>
    </row>
    <row r="277" spans="1:1" x14ac:dyDescent="0.2">
      <c r="A277" s="24" t="s">
        <v>505</v>
      </c>
    </row>
    <row r="280" spans="1:1" x14ac:dyDescent="0.2">
      <c r="A280" s="24" t="s">
        <v>467</v>
      </c>
    </row>
    <row r="281" spans="1:1" x14ac:dyDescent="0.2">
      <c r="A281" s="24" t="s">
        <v>468</v>
      </c>
    </row>
    <row r="282" spans="1:1" x14ac:dyDescent="0.2">
      <c r="A282" s="24" t="s">
        <v>507</v>
      </c>
    </row>
    <row r="283" spans="1:1" x14ac:dyDescent="0.2">
      <c r="A283" s="24" t="s">
        <v>508</v>
      </c>
    </row>
    <row r="284" spans="1:1" x14ac:dyDescent="0.2">
      <c r="A284" s="24" t="s">
        <v>505</v>
      </c>
    </row>
    <row r="285" spans="1:1" x14ac:dyDescent="0.2">
      <c r="A285" s="24" t="s">
        <v>469</v>
      </c>
    </row>
    <row r="287" spans="1:1" x14ac:dyDescent="0.2">
      <c r="A287" s="24" t="s">
        <v>509</v>
      </c>
    </row>
    <row r="288" spans="1:1" x14ac:dyDescent="0.2">
      <c r="A288" s="24" t="s">
        <v>507</v>
      </c>
    </row>
    <row r="289" spans="1:1" x14ac:dyDescent="0.2">
      <c r="A289" s="24" t="s">
        <v>510</v>
      </c>
    </row>
    <row r="291" spans="1:1" x14ac:dyDescent="0.2">
      <c r="A291" s="24" t="s">
        <v>505</v>
      </c>
    </row>
    <row r="294" spans="1:1" x14ac:dyDescent="0.2">
      <c r="A294" s="24" t="s">
        <v>511</v>
      </c>
    </row>
    <row r="295" spans="1:1" x14ac:dyDescent="0.2">
      <c r="A295" s="24" t="s">
        <v>512</v>
      </c>
    </row>
    <row r="296" spans="1:1" x14ac:dyDescent="0.2">
      <c r="A296" s="24" t="s">
        <v>513</v>
      </c>
    </row>
    <row r="298" spans="1:1" x14ac:dyDescent="0.2">
      <c r="A298" s="24" t="s">
        <v>505</v>
      </c>
    </row>
    <row r="301" spans="1:1" x14ac:dyDescent="0.2">
      <c r="A301" s="24" t="s">
        <v>514</v>
      </c>
    </row>
    <row r="302" spans="1:1" x14ac:dyDescent="0.2">
      <c r="A302" s="24" t="s">
        <v>515</v>
      </c>
    </row>
    <row r="304" spans="1:1" x14ac:dyDescent="0.2">
      <c r="A304" s="24" t="s">
        <v>516</v>
      </c>
    </row>
    <row r="305" spans="1:1" x14ac:dyDescent="0.2">
      <c r="A305" s="24" t="s">
        <v>517</v>
      </c>
    </row>
    <row r="306" spans="1:1" x14ac:dyDescent="0.2">
      <c r="A306" s="24" t="s">
        <v>505</v>
      </c>
    </row>
    <row r="309" spans="1:1" x14ac:dyDescent="0.2">
      <c r="A309" s="24" t="s">
        <v>514</v>
      </c>
    </row>
    <row r="310" spans="1:1" x14ac:dyDescent="0.2">
      <c r="A310" s="24" t="s">
        <v>518</v>
      </c>
    </row>
    <row r="311" spans="1:1" x14ac:dyDescent="0.2">
      <c r="A311" s="24" t="s">
        <v>514</v>
      </c>
    </row>
    <row r="312" spans="1:1" x14ac:dyDescent="0.2">
      <c r="A312" s="24" t="s">
        <v>519</v>
      </c>
    </row>
    <row r="314" spans="1:1" x14ac:dyDescent="0.2">
      <c r="A314" s="24" t="s">
        <v>520</v>
      </c>
    </row>
    <row r="316" spans="1:1" x14ac:dyDescent="0.2">
      <c r="A316" s="24" t="s">
        <v>505</v>
      </c>
    </row>
    <row r="319" spans="1:1" x14ac:dyDescent="0.2">
      <c r="A319" s="24" t="s">
        <v>514</v>
      </c>
    </row>
    <row r="320" spans="1:1" x14ac:dyDescent="0.2">
      <c r="A320" s="24" t="s">
        <v>521</v>
      </c>
    </row>
    <row r="321" spans="1:1" x14ac:dyDescent="0.2">
      <c r="A321" s="24" t="s">
        <v>522</v>
      </c>
    </row>
    <row r="322" spans="1:1" x14ac:dyDescent="0.2">
      <c r="A322" s="24" t="s">
        <v>523</v>
      </c>
    </row>
    <row r="324" spans="1:1" x14ac:dyDescent="0.2">
      <c r="A324" s="24" t="s">
        <v>505</v>
      </c>
    </row>
    <row r="326" spans="1:1" x14ac:dyDescent="0.2">
      <c r="A326" s="24" t="s">
        <v>464</v>
      </c>
    </row>
    <row r="329" spans="1:1" x14ac:dyDescent="0.2">
      <c r="A329" s="24" t="s">
        <v>470</v>
      </c>
    </row>
    <row r="330" spans="1:1" x14ac:dyDescent="0.2">
      <c r="A330" s="24" t="s">
        <v>471</v>
      </c>
    </row>
    <row r="331" spans="1:1" x14ac:dyDescent="0.2">
      <c r="A331" s="24" t="s">
        <v>524</v>
      </c>
    </row>
    <row r="332" spans="1:1" x14ac:dyDescent="0.2">
      <c r="A332" s="24" t="s">
        <v>525</v>
      </c>
    </row>
    <row r="333" spans="1:1" x14ac:dyDescent="0.2">
      <c r="A333" s="24" t="s">
        <v>526</v>
      </c>
    </row>
    <row r="334" spans="1:1" x14ac:dyDescent="0.2">
      <c r="A334" s="24" t="s">
        <v>527</v>
      </c>
    </row>
    <row r="335" spans="1:1" x14ac:dyDescent="0.2">
      <c r="A335" s="24" t="s">
        <v>528</v>
      </c>
    </row>
    <row r="336" spans="1:1" x14ac:dyDescent="0.2">
      <c r="A336" s="24" t="s">
        <v>481</v>
      </c>
    </row>
    <row r="337" spans="1:1" x14ac:dyDescent="0.2">
      <c r="A337" s="24" t="s">
        <v>472</v>
      </c>
    </row>
    <row r="340" spans="1:1" x14ac:dyDescent="0.2">
      <c r="A340" s="24" t="s">
        <v>473</v>
      </c>
    </row>
    <row r="342" spans="1:1" x14ac:dyDescent="0.2">
      <c r="A342" s="24" t="s">
        <v>529</v>
      </c>
    </row>
    <row r="343" spans="1:1" x14ac:dyDescent="0.2">
      <c r="A343" s="24" t="s">
        <v>530</v>
      </c>
    </row>
    <row r="344" spans="1:1" x14ac:dyDescent="0.2">
      <c r="A344" s="24" t="s">
        <v>531</v>
      </c>
    </row>
    <row r="345" spans="1:1" x14ac:dyDescent="0.2">
      <c r="A345" s="24" t="s">
        <v>532</v>
      </c>
    </row>
    <row r="346" spans="1:1" x14ac:dyDescent="0.2">
      <c r="A346" s="24" t="s">
        <v>533</v>
      </c>
    </row>
    <row r="347" spans="1:1" x14ac:dyDescent="0.2">
      <c r="A347" s="24" t="s">
        <v>481</v>
      </c>
    </row>
    <row r="348" spans="1:1" x14ac:dyDescent="0.2">
      <c r="A348" s="24" t="s">
        <v>474</v>
      </c>
    </row>
    <row r="349" spans="1:1" x14ac:dyDescent="0.2">
      <c r="A349" s="24" t="s">
        <v>534</v>
      </c>
    </row>
    <row r="350" spans="1:1" x14ac:dyDescent="0.2">
      <c r="A350" s="24" t="s">
        <v>535</v>
      </c>
    </row>
    <row r="352" spans="1:1" x14ac:dyDescent="0.2">
      <c r="A352" s="24" t="s">
        <v>505</v>
      </c>
    </row>
    <row r="355" spans="1:1" x14ac:dyDescent="0.2">
      <c r="A355" s="24" t="s">
        <v>464</v>
      </c>
    </row>
    <row r="361" spans="1:1" x14ac:dyDescent="0.2">
      <c r="A361" s="24" t="s">
        <v>475</v>
      </c>
    </row>
  </sheetData>
  <sheetProtection password="C6AC" sheet="1"/>
  <dataConsolidate/>
  <mergeCells count="56">
    <mergeCell ref="H33:I34"/>
    <mergeCell ref="M4:P4"/>
    <mergeCell ref="M2:P2"/>
    <mergeCell ref="N13:O13"/>
    <mergeCell ref="N12:O12"/>
    <mergeCell ref="O9:P9"/>
    <mergeCell ref="O8:P8"/>
    <mergeCell ref="O7:P7"/>
    <mergeCell ref="H27:I27"/>
    <mergeCell ref="M18:N18"/>
    <mergeCell ref="L3:M3"/>
    <mergeCell ref="N11:O11"/>
    <mergeCell ref="O6:P6"/>
    <mergeCell ref="O5:P5"/>
    <mergeCell ref="O17:P17"/>
    <mergeCell ref="O18:P18"/>
    <mergeCell ref="C26:D26"/>
    <mergeCell ref="C18:D18"/>
    <mergeCell ref="C19:D19"/>
    <mergeCell ref="O23:P23"/>
    <mergeCell ref="O24:P24"/>
    <mergeCell ref="C22:D22"/>
    <mergeCell ref="C21:D21"/>
    <mergeCell ref="C23:D23"/>
    <mergeCell ref="C2:D3"/>
    <mergeCell ref="C4:D4"/>
    <mergeCell ref="M22:N22"/>
    <mergeCell ref="M19:N19"/>
    <mergeCell ref="M9:N9"/>
    <mergeCell ref="M7:N7"/>
    <mergeCell ref="M8:N8"/>
    <mergeCell ref="C7:D7"/>
    <mergeCell ref="C10:D10"/>
    <mergeCell ref="M5:N5"/>
    <mergeCell ref="M6:N6"/>
    <mergeCell ref="M20:N20"/>
    <mergeCell ref="N14:O14"/>
    <mergeCell ref="N15:O15"/>
    <mergeCell ref="M17:N17"/>
    <mergeCell ref="C14:D14"/>
    <mergeCell ref="C5:D5"/>
    <mergeCell ref="H26:I26"/>
    <mergeCell ref="C16:D16"/>
    <mergeCell ref="C17:D17"/>
    <mergeCell ref="O21:P21"/>
    <mergeCell ref="M21:N21"/>
    <mergeCell ref="O19:P19"/>
    <mergeCell ref="O22:P22"/>
    <mergeCell ref="C20:D20"/>
    <mergeCell ref="C6:D6"/>
    <mergeCell ref="C13:D13"/>
    <mergeCell ref="C8:D8"/>
    <mergeCell ref="C9:D9"/>
    <mergeCell ref="O20:P20"/>
    <mergeCell ref="M23:N23"/>
    <mergeCell ref="M24:N24"/>
  </mergeCells>
  <phoneticPr fontId="8" type="noConversion"/>
  <conditionalFormatting sqref="B14:D14 B34:C34">
    <cfRule type="expression" dxfId="53" priority="36" stopIfTrue="1">
      <formula>AND(IF(RIGHT(Nb_diam,1)=",",1),IF(LEFT(Type_masquage,1)="M",1))</formula>
    </cfRule>
  </conditionalFormatting>
  <conditionalFormatting sqref="C11">
    <cfRule type="cellIs" dxfId="52" priority="24" stopIfTrue="1" operator="equal">
      <formula>359</formula>
    </cfRule>
    <cfRule type="expression" dxfId="51" priority="27" stopIfTrue="1">
      <formula>OR(MasseSans&lt;MpropuVide, MasseSans&gt;20*MpropuPlein)</formula>
    </cfRule>
  </conditionalFormatting>
  <conditionalFormatting sqref="C12">
    <cfRule type="cellIs" dxfId="50" priority="23" stopIfTrue="1" operator="equal">
      <formula>639</formula>
    </cfRule>
  </conditionalFormatting>
  <conditionalFormatting sqref="C14 C23:D23 C34">
    <cfRule type="cellIs" dxfId="49" priority="20" stopIfTrue="1" operator="equal">
      <formula>59</formula>
    </cfRule>
  </conditionalFormatting>
  <conditionalFormatting sqref="C17">
    <cfRule type="expression" dxfId="48" priority="150" stopIfTrue="1">
      <formula>C204</formula>
    </cfRule>
  </conditionalFormatting>
  <conditionalFormatting sqref="C27 C29">
    <cfRule type="cellIs" dxfId="47" priority="17" stopIfTrue="1" operator="equal">
      <formula>109</formula>
    </cfRule>
  </conditionalFormatting>
  <conditionalFormatting sqref="C28">
    <cfRule type="cellIs" dxfId="46" priority="18" stopIfTrue="1" operator="equal">
      <formula>59</formula>
    </cfRule>
  </conditionalFormatting>
  <conditionalFormatting sqref="C30">
    <cfRule type="cellIs" dxfId="45" priority="19" stopIfTrue="1" operator="equal">
      <formula>99</formula>
    </cfRule>
  </conditionalFormatting>
  <conditionalFormatting sqref="C13:D13 C18 C33">
    <cfRule type="cellIs" dxfId="44" priority="22" stopIfTrue="1" operator="equal">
      <formula>1001</formula>
    </cfRule>
  </conditionalFormatting>
  <conditionalFormatting sqref="C22:D22">
    <cfRule type="cellIs" dxfId="43" priority="21" stopIfTrue="1" operator="equal">
      <formula>199</formula>
    </cfRule>
  </conditionalFormatting>
  <conditionalFormatting sqref="D17">
    <cfRule type="expression" dxfId="42" priority="10" stopIfTrue="1">
      <formula>D202</formula>
    </cfRule>
  </conditionalFormatting>
  <conditionalFormatting sqref="H28">
    <cfRule type="expression" dxfId="41" priority="46" stopIfTrue="1">
      <formula>OR(Cn&lt;CritCnmin,Cn&gt;CritCnmax)</formula>
    </cfRule>
  </conditionalFormatting>
  <conditionalFormatting sqref="H29">
    <cfRule type="expression" dxfId="40" priority="45" stopIfTrue="1">
      <formula>OR(MS_min&lt;CritMsmin,MS_min&gt;CritMsmax)</formula>
    </cfRule>
  </conditionalFormatting>
  <conditionalFormatting sqref="H30">
    <cfRule type="expression" dxfId="39" priority="43" stopIfTrue="1">
      <formula>OR(MS_Cn_min&lt;CritMsCnmin,MS_Cn_min&gt;CritMsCnmax)</formula>
    </cfRule>
  </conditionalFormatting>
  <conditionalFormatting sqref="H27:I27">
    <cfRule type="expression" dxfId="38" priority="47" stopIfTrue="1">
      <formula>OR(Finesse&lt;CritFinessemin,Finesse&gt;CritFinessemax)</formula>
    </cfRule>
  </conditionalFormatting>
  <conditionalFormatting sqref="H33:I34">
    <cfRule type="expression" dxfId="37" priority="50" stopIfTrue="1">
      <formula>$H$33="STABLE"</formula>
    </cfRule>
  </conditionalFormatting>
  <conditionalFormatting sqref="I28">
    <cfRule type="expression" dxfId="36" priority="5" stopIfTrue="1">
      <formula>OR(Cn0&lt;CritCnmin,Cn0&gt;CritCnmax)</formula>
    </cfRule>
  </conditionalFormatting>
  <conditionalFormatting sqref="I29">
    <cfRule type="expression" dxfId="35" priority="44" stopIfTrue="1">
      <formula>OR(MS_max&lt;CritMsmin,MS_max&gt;CritMsmax)</formula>
    </cfRule>
  </conditionalFormatting>
  <conditionalFormatting sqref="I30">
    <cfRule type="expression" dxfId="34" priority="42" stopIfTrue="1">
      <formula>OR(MS_Cn_max&lt;CritMsCnmin,MS_Cn_max&gt;CritMsCnmax)</formula>
    </cfRule>
  </conditionalFormatting>
  <conditionalFormatting sqref="L38:M38">
    <cfRule type="expression" dxfId="33" priority="232" stopIfTrue="1">
      <formula>OR(SUM($C$27:$C$32)=273, $H$33&lt;&gt;"STABLE")</formula>
    </cfRule>
  </conditionalFormatting>
  <conditionalFormatting sqref="L6:P9">
    <cfRule type="expression" dxfId="32" priority="48" stopIfTrue="1">
      <formula>IF(RIGHT(Nb_diam,1)=",",1)</formula>
    </cfRule>
  </conditionalFormatting>
  <conditionalFormatting sqref="L20:P22 D25:E25 D27:E34 B35:E35">
    <cfRule type="expression" dxfId="31" priority="83" stopIfTrue="1">
      <formula>IF(LEFT(Type_masquage,1)="M",1)</formula>
    </cfRule>
  </conditionalFormatting>
  <conditionalFormatting sqref="L23:P24">
    <cfRule type="expression" dxfId="30" priority="64" stopIfTrue="1">
      <formula>IF(RIGHT(Nb_diam,1)=",",1)</formula>
    </cfRule>
  </conditionalFormatting>
  <conditionalFormatting sqref="M36 O36">
    <cfRule type="expression" dxfId="29" priority="141" stopIfTrue="1">
      <formula>$M$36="propu NOK"</formula>
    </cfRule>
  </conditionalFormatting>
  <conditionalFormatting sqref="M5:P5">
    <cfRule type="expression" dxfId="28" priority="38" stopIfTrue="1">
      <formula>IF(RIGHT(Nb_diam,1)=",",1)</formula>
    </cfRule>
  </conditionalFormatting>
  <conditionalFormatting sqref="N36">
    <cfRule type="expression" dxfId="27" priority="26" stopIfTrue="1">
      <formula>ROUND(SUM(C2:P25)+SUM(C27:P35),0)=8637</formula>
    </cfRule>
  </conditionalFormatting>
  <dataValidations count="13">
    <dataValidation type="whole" allowBlank="1" showInputMessage="1" showErrorMessage="1" error="Tapez un entier entre 3 et 6." sqref="C32:D32" xr:uid="{00000000-0002-0000-0000-000000000000}">
      <formula1>3</formula1>
      <formula2>6</formula2>
    </dataValidation>
    <dataValidation type="decimal" operator="notEqual" allowBlank="1" showInputMessage="1" showErrorMessage="1" error="Tapez uniquement la longueur, sans l'unité." sqref="C29:D29" xr:uid="{00000000-0002-0000-0000-000001000000}">
      <formula1>1E+100</formula1>
    </dataValidation>
    <dataValidation type="decimal" operator="greaterThanOrEqual" allowBlank="1" showInputMessage="1" showErrorMessage="1" error="Tapez uniquement la longueur, sans l'unité." sqref="C27:D28 C33:D34 C30:D31 M6:O9" xr:uid="{00000000-0002-0000-0000-000002000000}">
      <formula1>0</formula1>
    </dataValidation>
    <dataValidation type="list" showInputMessage="1" showErrorMessage="1" sqref="C26:D26" xr:uid="{00000000-0002-0000-0000-000003000000}">
      <formula1>Menu_Empennage</formula1>
    </dataValidation>
    <dataValidation type="list" showInputMessage="1" showErrorMessage="1" sqref="C17:D17" xr:uid="{00000000-0002-0000-0000-000004000000}">
      <formula1>Liste_propu</formula1>
    </dataValidation>
    <dataValidation type="list" showInputMessage="1" showErrorMessage="1" sqref="M2" xr:uid="{00000000-0002-0000-0000-000005000000}">
      <formula1>Menu_Lang</formula1>
    </dataValidation>
    <dataValidation type="decimal" showInputMessage="1" showErrorMessage="1" errorTitle="Masse de la Fusée" error="Tapez uniquement la masse, sans l'unité." sqref="C11" xr:uid="{00000000-0002-0000-0000-000006000000}">
      <formula1>0</formula1>
      <formula2>50000</formula2>
    </dataValidation>
    <dataValidation type="decimal" operator="greaterThan" showInputMessage="1" showErrorMessage="1" error="Tapez uniquement la longueur, sans l'unité." sqref="C12 C13:D13 C22:D23" xr:uid="{00000000-0002-0000-0000-000007000000}">
      <formula1>0</formula1>
    </dataValidation>
    <dataValidation type="list" showInputMessage="1" showErrorMessage="1" sqref="D11:D12" xr:uid="{00000000-0002-0000-0000-000008000000}">
      <formula1>Menu_with_motor</formula1>
    </dataValidation>
    <dataValidation type="list" showInputMessage="1" showErrorMessage="1" sqref="C10:D10" xr:uid="{00000000-0002-0000-0000-000009000000}">
      <formula1>Menu_Type</formula1>
    </dataValidation>
    <dataValidation type="decimal" operator="greaterThan" allowBlank="1" showInputMessage="1" showErrorMessage="1" error="Tapez uniquement la longueur, sans l'unité." sqref="C18" xr:uid="{00000000-0002-0000-0000-00000A000000}">
      <formula1>0</formula1>
    </dataValidation>
    <dataValidation type="list" showInputMessage="1" showErrorMessage="1" sqref="C21:D21" xr:uid="{00000000-0002-0000-0000-00000B000000}">
      <formula1>Menu_Ogive</formula1>
    </dataValidation>
    <dataValidation type="list" showInputMessage="1" showErrorMessage="1" sqref="M4" xr:uid="{00000000-0002-0000-0000-00000C000000}">
      <formula1>Menu_Transitions</formula1>
    </dataValidation>
  </dataValidations>
  <hyperlinks>
    <hyperlink ref="M38" location="Trajecto!C25" display="Trajecto" xr:uid="{00000000-0004-0000-0000-000000000000}"/>
  </hyperlinks>
  <printOptions horizontalCentered="1" verticalCentered="1"/>
  <pageMargins left="7.874015748031496E-2" right="7.874015748031496E-2" top="7.874015748031496E-2" bottom="7.874015748031496E-2" header="0" footer="0"/>
  <pageSetup paperSize="9" orientation="landscape" horizontalDpi="200" verticalDpi="200" r:id="rId1"/>
  <headerFooter alignWithMargins="0"/>
  <ignoredErrors>
    <ignoredError sqref="C34:D34" unlockedFormula="1"/>
    <ignoredError sqref="E180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775" r:id="rId4" name="Spinner 935">
              <controlPr defaultSize="0" print="0" autoPict="0">
                <anchor moveWithCells="1" sizeWithCells="1">
                  <from>
                    <xdr:col>3</xdr:col>
                    <xdr:colOff>752475</xdr:colOff>
                    <xdr:row>21</xdr:row>
                    <xdr:rowOff>9525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1" r:id="rId5" name="Spinner 941">
              <controlPr defaultSize="0" print="0" autoPict="0">
                <anchor moveWithCells="1" sizeWithCells="1">
                  <from>
                    <xdr:col>2</xdr:col>
                    <xdr:colOff>752475</xdr:colOff>
                    <xdr:row>10</xdr:row>
                    <xdr:rowOff>9525</xdr:rowOff>
                  </from>
                  <to>
                    <xdr:col>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2" r:id="rId6" name="Spinner 942">
              <controlPr defaultSize="0" print="0" autoPict="0">
                <anchor moveWithCells="1" sizeWithCells="1">
                  <from>
                    <xdr:col>2</xdr:col>
                    <xdr:colOff>752475</xdr:colOff>
                    <xdr:row>11</xdr:row>
                    <xdr:rowOff>9525</xdr:rowOff>
                  </from>
                  <to>
                    <xdr:col>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3" r:id="rId7" name="Spinner 943">
              <controlPr defaultSize="0" print="0" autoPict="0">
                <anchor moveWithCells="1" sizeWithCells="1">
                  <from>
                    <xdr:col>3</xdr:col>
                    <xdr:colOff>752475</xdr:colOff>
                    <xdr:row>22</xdr:row>
                    <xdr:rowOff>9525</xdr:rowOff>
                  </from>
                  <to>
                    <xdr:col>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9" r:id="rId8" name="Spinner 949">
              <controlPr defaultSize="0" print="0" autoPict="0">
                <anchor moveWithCells="1" sizeWithCells="1">
                  <from>
                    <xdr:col>2</xdr:col>
                    <xdr:colOff>752475</xdr:colOff>
                    <xdr:row>26</xdr:row>
                    <xdr:rowOff>9525</xdr:rowOff>
                  </from>
                  <to>
                    <xdr:col>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5" r:id="rId9" name="Spinner 955">
              <controlPr defaultSize="0" print="0" autoPict="0">
                <anchor moveWithCells="1" sizeWithCells="1">
                  <from>
                    <xdr:col>2</xdr:col>
                    <xdr:colOff>752475</xdr:colOff>
                    <xdr:row>27</xdr:row>
                    <xdr:rowOff>9525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6" r:id="rId10" name="Spinner 956">
              <controlPr defaultSize="0" print="0" autoPict="0">
                <anchor moveWithCells="1" sizeWithCells="1">
                  <from>
                    <xdr:col>2</xdr:col>
                    <xdr:colOff>752475</xdr:colOff>
                    <xdr:row>28</xdr:row>
                    <xdr:rowOff>9525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7" r:id="rId11" name="Spinner 957">
              <controlPr defaultSize="0" print="0" autoPict="0">
                <anchor moveWithCells="1" sizeWithCells="1">
                  <from>
                    <xdr:col>2</xdr:col>
                    <xdr:colOff>752475</xdr:colOff>
                    <xdr:row>29</xdr:row>
                    <xdr:rowOff>9525</xdr:rowOff>
                  </from>
                  <to>
                    <xdr:col>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8" r:id="rId12" name="Spinner 958">
              <controlPr defaultSize="0" print="0" autoPict="0">
                <anchor moveWithCells="1" sizeWithCells="1">
                  <from>
                    <xdr:col>2</xdr:col>
                    <xdr:colOff>752475</xdr:colOff>
                    <xdr:row>30</xdr:row>
                    <xdr:rowOff>9525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9" r:id="rId13" name="Spinner 959">
              <controlPr defaultSize="0" print="0" autoPict="0">
                <anchor moveWithCells="1" sizeWithCells="1">
                  <from>
                    <xdr:col>2</xdr:col>
                    <xdr:colOff>752475</xdr:colOff>
                    <xdr:row>31</xdr:row>
                    <xdr:rowOff>9525</xdr:rowOff>
                  </from>
                  <to>
                    <xdr:col>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01" r:id="rId14" name="Spinner 961">
              <controlPr defaultSize="0" print="0" autoPict="0">
                <anchor moveWithCells="1" sizeWithCells="1">
                  <from>
                    <xdr:col>3</xdr:col>
                    <xdr:colOff>752475</xdr:colOff>
                    <xdr:row>12</xdr:row>
                    <xdr:rowOff>9525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6691" r:id="rId15" name="Spinner 3315">
              <controlPr defaultSize="0" print="0" autoPict="0">
                <anchor moveWithCells="1" sizeWithCells="1">
                  <from>
                    <xdr:col>19</xdr:col>
                    <xdr:colOff>0</xdr:colOff>
                    <xdr:row>35</xdr:row>
                    <xdr:rowOff>9525</xdr:rowOff>
                  </from>
                  <to>
                    <xdr:col>19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6692" r:id="rId16" name="Spinner 3316">
              <controlPr defaultSize="0" print="0" autoPict="0">
                <anchor moveWithCells="1" sizeWithCells="1">
                  <from>
                    <xdr:col>19</xdr:col>
                    <xdr:colOff>0</xdr:colOff>
                    <xdr:row>35</xdr:row>
                    <xdr:rowOff>9525</xdr:rowOff>
                  </from>
                  <to>
                    <xdr:col>19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>
    <pageSetUpPr fitToPage="1"/>
  </sheetPr>
  <dimension ref="A1:R199"/>
  <sheetViews>
    <sheetView showGridLines="0" zoomScale="109" zoomScaleNormal="175" workbookViewId="0">
      <selection activeCell="K32" sqref="K32"/>
    </sheetView>
  </sheetViews>
  <sheetFormatPr baseColWidth="10" defaultColWidth="11.42578125" defaultRowHeight="12.75" x14ac:dyDescent="0.2"/>
  <cols>
    <col min="1" max="1" width="2.140625" style="1" customWidth="1"/>
    <col min="2" max="2" width="16.28515625" style="1" customWidth="1"/>
    <col min="3" max="4" width="11.42578125" style="1"/>
    <col min="5" max="5" width="2.7109375" style="1" customWidth="1"/>
    <col min="6" max="7" width="12.85546875" style="1" customWidth="1"/>
    <col min="8" max="13" width="10.7109375" style="1" customWidth="1"/>
    <col min="14" max="15" width="2.140625" style="1" customWidth="1"/>
    <col min="16" max="17" width="14.28515625" style="1" customWidth="1"/>
    <col min="18" max="16384" width="11.42578125" style="1"/>
  </cols>
  <sheetData>
    <row r="1" spans="1:14" x14ac:dyDescent="0.2">
      <c r="A1" s="51"/>
      <c r="B1" s="52"/>
      <c r="C1" s="53"/>
      <c r="D1" s="52"/>
      <c r="E1" s="54"/>
      <c r="F1" s="54"/>
      <c r="G1" s="54"/>
      <c r="H1" s="54"/>
      <c r="I1" s="54"/>
      <c r="J1" s="54"/>
      <c r="K1" s="54"/>
      <c r="L1" s="54"/>
      <c r="M1" s="54"/>
      <c r="N1" s="55"/>
    </row>
    <row r="2" spans="1:14" ht="12.75" customHeight="1" x14ac:dyDescent="0.2">
      <c r="A2" s="56"/>
      <c r="B2" s="2"/>
      <c r="C2" s="625" t="s">
        <v>0</v>
      </c>
      <c r="D2" s="625"/>
      <c r="F2" s="3"/>
      <c r="J2" s="4"/>
      <c r="N2" s="57"/>
    </row>
    <row r="3" spans="1:14" ht="12.75" customHeight="1" x14ac:dyDescent="0.2">
      <c r="A3" s="56"/>
      <c r="B3" s="2"/>
      <c r="C3" s="625"/>
      <c r="D3" s="625"/>
      <c r="H3" s="5"/>
      <c r="J3" s="4"/>
      <c r="N3" s="57"/>
    </row>
    <row r="4" spans="1:14" ht="12.75" customHeight="1" x14ac:dyDescent="0.2">
      <c r="A4" s="56"/>
      <c r="B4" s="2"/>
      <c r="C4" s="628" t="str">
        <f>IF(Lang="Français","Trajectographie de fusée",IF(Lang="English","Rocket Trajectography",""))</f>
        <v>Trajectographie de fusée</v>
      </c>
      <c r="D4" s="628"/>
      <c r="H4" s="5"/>
      <c r="J4" s="4"/>
      <c r="N4" s="57"/>
    </row>
    <row r="5" spans="1:14" ht="12.75" customHeight="1" x14ac:dyDescent="0.2">
      <c r="A5" s="56"/>
      <c r="B5" s="2"/>
      <c r="J5" s="4"/>
      <c r="N5" s="57"/>
    </row>
    <row r="6" spans="1:14" ht="12.95" customHeight="1" x14ac:dyDescent="0.2">
      <c r="A6" s="56"/>
      <c r="B6" s="87"/>
      <c r="C6" s="627" t="str">
        <f>IF(Lang="Français","Remplir les cases jaunes",IF(Lang="English","Fill-in yellow cells only",""))</f>
        <v>Remplir les cases jaunes</v>
      </c>
      <c r="D6" s="627"/>
      <c r="J6" s="4"/>
      <c r="N6" s="57"/>
    </row>
    <row r="7" spans="1:14" x14ac:dyDescent="0.2">
      <c r="A7" s="56"/>
      <c r="B7" s="6"/>
      <c r="C7" s="607" t="str">
        <f>IF(Lang="Français","Fusée",IF(Lang="English","Rocket",""))</f>
        <v>Fusée</v>
      </c>
      <c r="D7" s="607"/>
      <c r="N7" s="58"/>
    </row>
    <row r="8" spans="1:14" ht="12.75" customHeight="1" x14ac:dyDescent="0.25">
      <c r="A8" s="56"/>
      <c r="B8" s="140" t="str">
        <f>IF(Lang="Français","Nom",IF(Lang="English","Name",""))</f>
        <v>Nom</v>
      </c>
      <c r="C8" s="626" t="str">
        <f>Nom</f>
        <v xml:space="preserve">SP-02 </v>
      </c>
      <c r="D8" s="626"/>
      <c r="E8" s="5"/>
      <c r="F8" s="5"/>
      <c r="J8" s="4"/>
      <c r="N8" s="57"/>
    </row>
    <row r="9" spans="1:14" ht="12.75" customHeight="1" x14ac:dyDescent="0.25">
      <c r="A9" s="59"/>
      <c r="B9" s="140" t="s">
        <v>4</v>
      </c>
      <c r="C9" s="626" t="str">
        <f>Club</f>
        <v>Aeroipsa</v>
      </c>
      <c r="D9" s="626"/>
      <c r="F9" s="5"/>
      <c r="N9" s="58"/>
    </row>
    <row r="10" spans="1:14" ht="12.75" customHeight="1" x14ac:dyDescent="0.2">
      <c r="A10" s="59"/>
      <c r="B10" s="140" t="str">
        <f>IF(Lang="Français","Masse totale",IF(Lang="English","Total Mass",""))</f>
        <v>Masse totale</v>
      </c>
      <c r="C10" s="602">
        <f ca="1">MassePlein</f>
        <v>8.3410000000000011</v>
      </c>
      <c r="D10" s="602"/>
      <c r="F10" s="5"/>
      <c r="N10" s="58"/>
    </row>
    <row r="11" spans="1:14" ht="12.75" customHeight="1" x14ac:dyDescent="0.2">
      <c r="A11" s="59"/>
      <c r="B11" s="227" t="str">
        <f>IF(Lang="Français","Propulseur",IF(Lang="English","Motor",""))</f>
        <v>Propulseur</v>
      </c>
      <c r="C11" s="605" t="str">
        <f>Propu</f>
        <v>Orignal (Pro75-3G C)</v>
      </c>
      <c r="D11" s="606"/>
      <c r="F11" s="5"/>
      <c r="N11" s="58"/>
    </row>
    <row r="12" spans="1:14" ht="12.75" customHeight="1" x14ac:dyDescent="0.2">
      <c r="A12" s="59"/>
      <c r="F12" s="5"/>
      <c r="N12" s="58"/>
    </row>
    <row r="13" spans="1:14" ht="12.75" customHeight="1" x14ac:dyDescent="0.2">
      <c r="A13" s="59"/>
      <c r="B13"/>
      <c r="C13" s="607" t="str">
        <f>IF(Lang="Français","Traînée Aérdynamique",IF(Lang="English","Drag",""))</f>
        <v>Traînée Aérdynamique</v>
      </c>
      <c r="D13" s="607"/>
      <c r="N13" s="58"/>
    </row>
    <row r="14" spans="1:14" ht="12.75" customHeight="1" x14ac:dyDescent="0.2">
      <c r="A14" s="59"/>
      <c r="B14" s="140" t="s">
        <v>41</v>
      </c>
      <c r="C14" s="608">
        <f>(PI()*D_ref^2/4+E_ail*ep_ail*Q_ail)/10^6</f>
        <v>1.08948665353068E-2</v>
      </c>
      <c r="D14" s="608"/>
      <c r="N14" s="58"/>
    </row>
    <row r="15" spans="1:14" ht="12.75" customHeight="1" x14ac:dyDescent="0.2">
      <c r="A15" s="59"/>
      <c r="B15" s="141" t="s">
        <v>5</v>
      </c>
      <c r="C15" s="600">
        <v>0.5</v>
      </c>
      <c r="D15" s="601"/>
      <c r="N15" s="58"/>
    </row>
    <row r="16" spans="1:14" ht="12.75" customHeight="1" x14ac:dyDescent="0.2">
      <c r="A16" s="59"/>
      <c r="N16" s="58"/>
    </row>
    <row r="17" spans="1:18" ht="12.75" customHeight="1" x14ac:dyDescent="0.2">
      <c r="A17" s="59"/>
      <c r="B17"/>
      <c r="C17" s="607" t="str">
        <f>IF(Lang="Français","Rampe de Lancement",IF(Lang="English","Launch Pad",""))</f>
        <v>Rampe de Lancement</v>
      </c>
      <c r="D17" s="607"/>
      <c r="N17" s="58"/>
    </row>
    <row r="18" spans="1:18" ht="12.75" customHeight="1" x14ac:dyDescent="0.2">
      <c r="A18" s="59"/>
      <c r="B18" s="140" t="str">
        <f>IF(Lang="Français","Longueur",IF(Lang="English","Length",""))</f>
        <v>Longueur</v>
      </c>
      <c r="C18" s="604">
        <f>IF(RIGHT(Type_fusee,1)=".",4, IF(LEFT(Type_fusee,4)="Mini",4, IF(LEFT(Type_fusee,5)="Micro",1, IF(RIGHT(Type_fusee,1)=" ",0.1,IF(LEFT(Type_fusee,1)="R",3, 2.5)))))</f>
        <v>4</v>
      </c>
      <c r="D18" s="604"/>
      <c r="N18" s="58"/>
    </row>
    <row r="19" spans="1:18" ht="12.75" customHeight="1" x14ac:dyDescent="0.2">
      <c r="A19" s="59"/>
      <c r="B19" s="140" t="str">
        <f>IF(Lang="Français","Élévation",IF(Lang="English","Angle /horizon",""))</f>
        <v>Élévation</v>
      </c>
      <c r="C19" s="603">
        <v>85</v>
      </c>
      <c r="D19" s="603"/>
      <c r="N19" s="58"/>
    </row>
    <row r="20" spans="1:18" ht="12.75" customHeight="1" x14ac:dyDescent="0.2">
      <c r="A20" s="59"/>
      <c r="B20" s="140" t="s">
        <v>6</v>
      </c>
      <c r="C20" s="604">
        <v>0</v>
      </c>
      <c r="D20" s="604"/>
      <c r="N20" s="58"/>
    </row>
    <row r="21" spans="1:18" ht="12.75" customHeight="1" x14ac:dyDescent="0.2">
      <c r="A21" s="59"/>
      <c r="F21" s="384" t="str">
        <f ca="1">IF( OR( AND(Vsortie_de_rampe&lt;18, RIGHT(Type_fusee,1)=";"), AND(Vsortie_de_rampe&lt;20, RIGHT(Type_fusee,1)=".")), IF(Lang="Français","Vitesse en Sortie de Rampe trop faible, alléger la fusée ou choisir un propu plus puissant.","Speed at Launch Pad Exit too low, lighten the rocket or choose a bigger motor."), "")</f>
        <v/>
      </c>
      <c r="N21" s="58"/>
    </row>
    <row r="22" spans="1:18" x14ac:dyDescent="0.2">
      <c r="A22" s="59"/>
      <c r="C22" s="609" t="str">
        <f>IF(Lang="Français","DescenteSousParachute",IF(Lang="English","Over Parachute",""))</f>
        <v>DescenteSousParachute</v>
      </c>
      <c r="D22" s="610"/>
      <c r="F22" s="4"/>
      <c r="G22" s="50">
        <f ca="1">TODAY()</f>
        <v>45883</v>
      </c>
      <c r="H22" s="491" t="str">
        <f>IF(Lang="Français","Temps",IF(Lang="English","Time",""))</f>
        <v>Temps</v>
      </c>
      <c r="I22" s="491" t="s">
        <v>12</v>
      </c>
      <c r="J22" s="491" t="str">
        <f>IF(Lang="Français","Portée x",IF(Lang="English","Range x",""))</f>
        <v>Portée x</v>
      </c>
      <c r="K22" s="491" t="str">
        <f>IF(Lang="Français","Vitesse",IF(Lang="English","Velocity",""))</f>
        <v>Vitesse</v>
      </c>
      <c r="L22" s="492" t="s">
        <v>13</v>
      </c>
      <c r="M22" s="501" t="s">
        <v>421</v>
      </c>
      <c r="N22" s="58"/>
    </row>
    <row r="23" spans="1:18" x14ac:dyDescent="0.2">
      <c r="A23" s="59"/>
      <c r="B23"/>
      <c r="C23" s="142" t="str">
        <f>C7</f>
        <v>Fusée</v>
      </c>
      <c r="D23" s="220" t="s">
        <v>121</v>
      </c>
      <c r="F23" s="611" t="str">
        <f>IF(Lang="Français","Sortie de Rampe",IF(Lang="English","Launch-Pad Exit",""))</f>
        <v>Sortie de Rampe</v>
      </c>
      <c r="G23" s="612"/>
      <c r="H23" s="493"/>
      <c r="I23" s="493"/>
      <c r="J23" s="493"/>
      <c r="K23" s="494">
        <f ca="1">INDEX(vit_xz,MATCH("Sortie de rampe",Event,0))</f>
        <v>30.576574549349424</v>
      </c>
      <c r="L23" s="495"/>
      <c r="M23" s="502"/>
      <c r="N23" s="58"/>
    </row>
    <row r="24" spans="1:18" x14ac:dyDescent="0.2">
      <c r="A24" s="59"/>
      <c r="B24" s="466" t="str">
        <f>IF(Lang="Français","Masse",IF(Lang="English","Mass",""))</f>
        <v>Masse</v>
      </c>
      <c r="C24" s="467">
        <f ca="1">IF(Nb_sat="0 satellite",MasseVide,MasseVide-m_satellite)</f>
        <v>6.468</v>
      </c>
      <c r="D24" s="482">
        <f>IF(RIGHT(Type_fusee,1)=".",1,0.15)</f>
        <v>1</v>
      </c>
      <c r="E24" s="18" t="str">
        <f>IF(ABS(T_satellite-0.11-T_para)&lt;0.1,"Pb!","")</f>
        <v/>
      </c>
      <c r="F24" s="614" t="str">
        <f>IF(Lang="Français","Vit max &amp; Acc max",IF(Lang="English","Max Velocity &amp; Acc",""))</f>
        <v>Vit max &amp; Acc max</v>
      </c>
      <c r="G24" s="594"/>
      <c r="H24" s="115"/>
      <c r="I24" s="115"/>
      <c r="J24" s="115"/>
      <c r="K24" s="158">
        <f ca="1">MAX(vit_xz)</f>
        <v>344.87216769595085</v>
      </c>
      <c r="L24" s="496">
        <f ca="1">MAX(acc_xz)</f>
        <v>144.34946368663304</v>
      </c>
      <c r="M24" s="502"/>
      <c r="N24" s="58"/>
    </row>
    <row r="25" spans="1:18" x14ac:dyDescent="0.2">
      <c r="A25" s="59"/>
      <c r="B25" s="470" t="str">
        <f>IF(Lang="Français","Dépotage",IF(Lang="English","Delay",""))</f>
        <v>Dépotage</v>
      </c>
      <c r="C25" s="507" t="s">
        <v>407</v>
      </c>
      <c r="D25" s="481"/>
      <c r="F25" s="615" t="str">
        <f>IF(Lang="Français","Largage du satellite",IF(Lang="English","Satellite separation",""))</f>
        <v>Largage du satellite</v>
      </c>
      <c r="G25" s="596"/>
      <c r="H25" s="152">
        <f>IF(T_satellite&lt;&gt;0,T_satellite,"")</f>
        <v>3.5</v>
      </c>
      <c r="I25" s="156">
        <f ca="1">IF(T_satellite&lt;&gt;0,INDEX(pos_z,MATCH("Satellite",Event_sat,0)),"")</f>
        <v>638.773496998052</v>
      </c>
      <c r="J25" s="154">
        <f ca="1">IF(T_satellite&lt;&gt;0,INDEX(pos_x,MATCH("Satellite",Event_sat,0)),"")</f>
        <v>66.460367712747427</v>
      </c>
      <c r="K25" s="159">
        <f ca="1">IF(T_satellite&lt;&gt;0,INDEX(vit_xz,MATCH("Satellite",Event_sat,0)),"")</f>
        <v>320.48088327209854</v>
      </c>
      <c r="L25" s="497"/>
      <c r="M25" s="487">
        <f ca="1">1/2*Rho_moyen*1*V_ouv_sat^2*S_satellite</f>
        <v>6290.8647882504483</v>
      </c>
      <c r="N25" s="58"/>
    </row>
    <row r="26" spans="1:18" x14ac:dyDescent="0.2">
      <c r="A26" s="59"/>
      <c r="B26" s="468" t="str">
        <f>IF(Lang="Français","Ouverture para",IF(Lang="English","Opening time",""))</f>
        <v>Ouverture para</v>
      </c>
      <c r="C26" s="509">
        <v>21.8</v>
      </c>
      <c r="D26" s="469">
        <v>3.5</v>
      </c>
      <c r="F26" s="614" t="s">
        <v>15</v>
      </c>
      <c r="G26" s="594"/>
      <c r="H26" s="153">
        <f ca="1">INDEX(t,MATCH("Apogée",Event,0))</f>
        <v>22.099999999999984</v>
      </c>
      <c r="I26" s="157">
        <f ca="1">INDEX(pos_z,MATCH("Apogée",Event,0))</f>
        <v>3041.5232658427863</v>
      </c>
      <c r="J26" s="155">
        <f ca="1">INDEX(pos_x,MATCH("Apogée",Event,0))</f>
        <v>470.04832810562738</v>
      </c>
      <c r="K26" s="160">
        <f ca="1">INDEX(vit_xz,MATCH("Apogée",Event,0))</f>
        <v>15.563544270701611</v>
      </c>
      <c r="L26" s="498"/>
      <c r="M26" s="502"/>
      <c r="N26" s="58"/>
    </row>
    <row r="27" spans="1:18" x14ac:dyDescent="0.2">
      <c r="A27" s="59"/>
      <c r="B27" s="141" t="s">
        <v>9</v>
      </c>
      <c r="C27" s="225">
        <f>S_para_croix</f>
        <v>0.24</v>
      </c>
      <c r="D27" s="17">
        <f>IF(RIGHT(Type_fusee,1)=".",0.1,0.02)</f>
        <v>0.1</v>
      </c>
      <c r="F27" s="613" t="str">
        <f>IF(Lang="Français","Ouverture parachute fusée",IF(Lang="English","Rocket parachute opening",""))</f>
        <v>Ouverture parachute fusée</v>
      </c>
      <c r="G27" s="599"/>
      <c r="H27" s="152">
        <f>T_para</f>
        <v>21.8</v>
      </c>
      <c r="I27" s="156">
        <f ca="1">INDEX(pos_z,MATCH("Para",Event_para,0))</f>
        <v>3040.8099389661788</v>
      </c>
      <c r="J27" s="488">
        <f ca="1">INDEX(pos_x,MATCH("Para",Event_para,0))</f>
        <v>465.38296276037624</v>
      </c>
      <c r="K27" s="159">
        <f ca="1">INDEX(vit_xz,MATCH("Para",Event_para,0))</f>
        <v>16.03494024328851</v>
      </c>
      <c r="L27" s="497"/>
      <c r="M27" s="487">
        <f ca="1">1/2*Rho_moyen*1*V_ouverture^2*S_para</f>
        <v>37.796538365057515</v>
      </c>
      <c r="N27" s="58"/>
      <c r="P27" s="384" t="str">
        <f ca="1">IF(V_para&lt;5, IF(Lang="Français","Parachute fusée trop grand !","Parachute too big!"), IF( V_para&gt;15, IF(Lang="Français","Parachute fusée trop petit !","Parachute too small!"), ""))</f>
        <v>Parachute fusée trop petit !</v>
      </c>
      <c r="R27" s="384" t="str">
        <f>IF(AND(Nb_sat="1 satellite", OR(V_satellite&lt;5)), IF(Lang="Français","Parachute satéllite trop grand !","Parachute too big"), IF(AND(Nb_sat="1 satellite",OR(V_satellite&gt;15)), IF(Lang="Français","Parachute satéllite trop petit !","Parachute too small!"), ""))</f>
        <v/>
      </c>
    </row>
    <row r="28" spans="1:18" x14ac:dyDescent="0.2">
      <c r="A28" s="59"/>
      <c r="B28" s="141" t="s">
        <v>10</v>
      </c>
      <c r="C28" s="143">
        <v>1</v>
      </c>
      <c r="D28" s="143">
        <v>1</v>
      </c>
      <c r="F28" s="618" t="str">
        <f>IF(Lang="Français","Impact balistique",IF(Lang="English","Balistic Impact",""))</f>
        <v>Impact balistique</v>
      </c>
      <c r="G28" s="619"/>
      <c r="H28" s="499">
        <f ca="1">INDEX(t,MATCH("Impact balistique",Event,0))</f>
        <v>52.800000000000416</v>
      </c>
      <c r="I28" s="519" t="s">
        <v>428</v>
      </c>
      <c r="J28" s="489">
        <f ca="1">INDEX(pos_x,MATCH("Impact balistique",Event,0))</f>
        <v>781.88500774856686</v>
      </c>
      <c r="K28" s="503">
        <f ca="1">K45</f>
        <v>139.18296782537681</v>
      </c>
      <c r="L28" s="500"/>
      <c r="M28" s="504">
        <f ca="1">0.5*m_vide*K28^2</f>
        <v>62648.719854686715</v>
      </c>
      <c r="N28" s="58"/>
      <c r="P28" s="384" t="str">
        <f ca="1">IF( OR( V_para&lt;5, V_para&gt;15, AND(Nb_sat="1 satellite", OR(V_satellite&lt;5, V_satellite&gt;15))), IF(Lang="Français","La Vitesse de descente sous parachute doit être comprise entre 5 &amp; 15 m/s.","Fall Velocity with parachute must be between 5 &amp; 15 m/s."), "")</f>
        <v>La Vitesse de descente sous parachute doit être comprise entre 5 &amp; 15 m/s.</v>
      </c>
    </row>
    <row r="29" spans="1:18" x14ac:dyDescent="0.2">
      <c r="A29" s="59"/>
      <c r="B29" s="141" t="str">
        <f>IF(Lang="Français","Vitesse du vent",IF(Lang="English","Wind speed",""))</f>
        <v>Vitesse du vent</v>
      </c>
      <c r="C29" s="144">
        <v>5</v>
      </c>
      <c r="D29" s="144">
        <f>V_vent</f>
        <v>5</v>
      </c>
      <c r="E29" s="18" t="str">
        <f>IF(AND(T_satellite=0,m_satellite&lt;&gt;0),"Erreur !","")</f>
        <v/>
      </c>
      <c r="G29" s="485"/>
      <c r="H29" s="486"/>
      <c r="I29" s="490"/>
      <c r="N29" s="58"/>
      <c r="P29" s="384" t="str">
        <f ca="1">IF(AND(Portee_balistique&gt;200,LEFT(Type_propu,4)="Mini"),IF(Lang="Français","Fusée trop lègère !","Rocket too light"),"")</f>
        <v/>
      </c>
    </row>
    <row r="30" spans="1:18" x14ac:dyDescent="0.2">
      <c r="A30" s="59"/>
      <c r="B30" s="133" t="str">
        <f>IF(Lang="Français","Vitesse descente",IF(Lang="English","Fall velocity",""))</f>
        <v>Vitesse descente</v>
      </c>
      <c r="C30" s="424">
        <f ca="1">SQRT(2*m_vide*g/Rho_moyen/S_para/Cx_para)</f>
        <v>20.77594763181694</v>
      </c>
      <c r="D30" s="424">
        <f>SQRT(2*m_satellite*g/Rho_moyen/S_satellite/Cx_satellite)</f>
        <v>12.655562623057198</v>
      </c>
      <c r="F30" s="384"/>
      <c r="K30" s="388"/>
      <c r="N30" s="58"/>
      <c r="P30" s="384" t="str">
        <f ca="1">IF(OR(AND(Vsortie_de_rampe&lt;20,LEFT(Type_fusee,1)="F"),AND(Vsortie_de_rampe&lt;18, OR(LEFT(Type_fusee,1)=",",LEFT(Type_fusee,4)="Mini",LEFT(Type_fusee,1)="R"))),IF(Lang="Français","Fusée trop lourde ou rampe trop courte !","Rocket too heavy or launch pad too small!"),"")</f>
        <v/>
      </c>
    </row>
    <row r="31" spans="1:18" x14ac:dyDescent="0.2">
      <c r="A31" s="59"/>
      <c r="B31" s="133" t="str">
        <f>IF(Lang="Français","Durée descente",IF(Lang="English","Fall duration",""))</f>
        <v>Durée descente</v>
      </c>
      <c r="C31" s="132">
        <f ca="1">Alt_para/V_para</f>
        <v>146.362033292257</v>
      </c>
      <c r="D31" s="132">
        <f ca="1">IF(V_satellite&lt;&gt;0,Alt_sat/V_satellite,0)</f>
        <v>50.473733647705956</v>
      </c>
      <c r="H31" s="620" t="str">
        <f>IF(Lang="Français","Pour localiser la fusée","To locate the rocket")</f>
        <v>Pour localiser la fusée</v>
      </c>
      <c r="I31" s="620"/>
      <c r="J31" s="484"/>
      <c r="N31" s="395"/>
      <c r="P31" s="384" t="str">
        <f ca="1">IF(Temps_culmi-T_para&gt;2,IF(Lang="Français","Ouverture parachute fusée précoce.","Early rocket parachute opening."),IF(Temps_culmi-T_para&lt;-2,IF(Lang="Français","Ouverture parachute fusée tardive.","Late rocket parachute opening."),""))</f>
        <v/>
      </c>
    </row>
    <row r="32" spans="1:18" x14ac:dyDescent="0.2">
      <c r="A32" s="59"/>
      <c r="B32" s="133" t="str">
        <f>IF(Lang="Français","Durée du vol",IF(Lang="English","Fligth duration",""))</f>
        <v>Durée du vol</v>
      </c>
      <c r="C32" s="132">
        <f ca="1">T_para+Dt_para</f>
        <v>168.16203329225701</v>
      </c>
      <c r="D32" s="132">
        <f ca="1">T_satellite+Dt_satellite</f>
        <v>53.973733647705956</v>
      </c>
      <c r="F32" s="620" t="str">
        <f>IF(Lang="Français","Couleur fuselage/coiffe","Body/Nose color")</f>
        <v>Couleur fuselage/coiffe</v>
      </c>
      <c r="G32" s="620"/>
      <c r="H32" s="616" t="s">
        <v>555</v>
      </c>
      <c r="I32" s="617"/>
      <c r="N32" s="394"/>
      <c r="P32" s="384" t="str">
        <f ca="1">IF(ABS(Temps_culmi-T_para)&gt;2,IF(Lang="Français","Attention, aux efforts sur le parachute lors de l'ouverture !","Becarefull to the opening chute efforts!"),"")</f>
        <v/>
      </c>
    </row>
    <row r="33" spans="1:16" customFormat="1" x14ac:dyDescent="0.2">
      <c r="A33" s="74"/>
      <c r="B33" s="133" t="str">
        <f>IF(Lang="Français","Déport latéral",IF(Lang="English","Lateral shift",""))</f>
        <v>Déport latéral</v>
      </c>
      <c r="C33" s="151">
        <f ca="1">Alt_para*V_vent/V_para</f>
        <v>731.81016646128489</v>
      </c>
      <c r="D33" s="151">
        <f ca="1">IF(V_satellite&lt;&gt;0,Alt_sat*V_vent_sat/V_satellite,0)</f>
        <v>252.36866823852978</v>
      </c>
      <c r="F33" s="620" t="str">
        <f>IF(Lang="Français","Couleur parachute fusée","Rocket parachute color")</f>
        <v>Couleur parachute fusée</v>
      </c>
      <c r="G33" s="620"/>
      <c r="H33" s="616" t="s">
        <v>554</v>
      </c>
      <c r="I33" s="617"/>
      <c r="N33" s="394" t="str">
        <f>IF(Lang="Français","fichier initial","Initial file")</f>
        <v>fichier initial</v>
      </c>
    </row>
    <row r="34" spans="1:16" x14ac:dyDescent="0.2">
      <c r="A34" s="59"/>
      <c r="F34" s="620" t="str">
        <f>IF(Lang="Français","Couleur parachute satellite","Satellite parachute color")</f>
        <v>Couleur parachute satellite</v>
      </c>
      <c r="G34" s="620"/>
      <c r="H34" s="624" t="s">
        <v>159</v>
      </c>
      <c r="I34" s="624"/>
      <c r="N34" s="393" t="str">
        <f>IF(ROUND(SUM(Propu!5:1228),0)=395253,"propu OK","propu NOK")</f>
        <v>propu OK</v>
      </c>
      <c r="P34"/>
    </row>
    <row r="35" spans="1:16" ht="13.5" thickBot="1" x14ac:dyDescent="0.25">
      <c r="A35" s="60"/>
      <c r="B35" s="181" t="str">
        <f>IF(Lang="Français","Commentaire libre :",IF(Lang="English","Free comment:",""))</f>
        <v>Commentaire libre :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290" t="s">
        <v>544</v>
      </c>
      <c r="P35"/>
    </row>
    <row r="38" spans="1:16" x14ac:dyDescent="0.2">
      <c r="A38" s="621" t="str">
        <f>IF(Lang="Français","Calcul de la surface d'un parachute","Parachute surface calculation")</f>
        <v>Calcul de la surface d'un parachute</v>
      </c>
      <c r="B38" s="622"/>
      <c r="C38" s="622"/>
      <c r="D38" s="623"/>
      <c r="F38" s="621" t="str">
        <f>IF(Lang="Français","Résultats détaillés","Detailled results")</f>
        <v>Résultats détaillés</v>
      </c>
      <c r="G38" s="623"/>
      <c r="H38" s="170" t="str">
        <f>IF(Lang="Français","Temps",IF(Lang="English","Time",""))</f>
        <v>Temps</v>
      </c>
      <c r="I38" s="134" t="s">
        <v>12</v>
      </c>
      <c r="J38" s="134" t="str">
        <f>IF(Lang="Français","Portée x",IF(Lang="English","Range x",""))</f>
        <v>Portée x</v>
      </c>
      <c r="K38" s="134" t="str">
        <f>IF(Lang="Français","Vitesse",IF(Lang="English","Velocity",""))</f>
        <v>Vitesse</v>
      </c>
      <c r="L38" s="135" t="s">
        <v>13</v>
      </c>
      <c r="M38" s="134" t="s">
        <v>42</v>
      </c>
    </row>
    <row r="39" spans="1:16" x14ac:dyDescent="0.2">
      <c r="A39" s="161"/>
      <c r="D39" s="162"/>
      <c r="F39" s="172"/>
      <c r="G39" s="173"/>
      <c r="H39" s="171" t="s">
        <v>154</v>
      </c>
      <c r="I39" s="136" t="s">
        <v>39</v>
      </c>
      <c r="J39" s="136" t="s">
        <v>39</v>
      </c>
      <c r="K39" s="136" t="s">
        <v>155</v>
      </c>
      <c r="L39" s="136" t="s">
        <v>7</v>
      </c>
      <c r="M39" s="136" t="s">
        <v>156</v>
      </c>
    </row>
    <row r="40" spans="1:16" x14ac:dyDescent="0.2">
      <c r="A40" s="161"/>
      <c r="D40" s="162"/>
      <c r="F40" s="593" t="str">
        <f>IF(Lang="Français","Décollage",IF(Lang="English","Lift-Off",""))</f>
        <v>Décollage</v>
      </c>
      <c r="G40" s="593"/>
      <c r="H40" s="150">
        <v>0</v>
      </c>
      <c r="I40" s="150">
        <v>0</v>
      </c>
      <c r="J40" s="150">
        <v>0</v>
      </c>
      <c r="K40" s="150">
        <v>0</v>
      </c>
      <c r="L40" s="148" t="s">
        <v>14</v>
      </c>
      <c r="M40" s="149">
        <f>Beta_rampe</f>
        <v>85</v>
      </c>
    </row>
    <row r="41" spans="1:16" x14ac:dyDescent="0.2">
      <c r="A41" s="161"/>
      <c r="D41" s="162"/>
      <c r="F41" s="594" t="str">
        <f>IF(Lang="Français","Sortie de Rampe",IF(Lang="English","Launch-Pad Exit",""))</f>
        <v>Sortie de Rampe</v>
      </c>
      <c r="G41" s="594"/>
      <c r="H41" s="115">
        <f ca="1">INDEX(t,MATCH("Sortie de rampe",Event,0))</f>
        <v>0.27000000000000007</v>
      </c>
      <c r="I41" s="115">
        <f ca="1">INDEX(pos_z,MATCH("Sortie de rampe",Event,0))</f>
        <v>3.6874228307268293</v>
      </c>
      <c r="J41" s="115">
        <f ca="1">INDEX(pos_x,MATCH("Sortie de rampe",Event,0))</f>
        <v>0.32259024264908276</v>
      </c>
      <c r="K41" s="116">
        <f ca="1">INDEX(vit_xz,MATCH("Sortie de rampe",Event,0))</f>
        <v>30.576574549349424</v>
      </c>
      <c r="L41" s="116">
        <f ca="1">INDEX(acc_xz,MATCH("Sortie de rampe",Event,0))</f>
        <v>116.87755668924676</v>
      </c>
      <c r="M41" s="116">
        <f ca="1">INDEX(BetaD,MATCH("Sortie de rampe",Event,0))</f>
        <v>85</v>
      </c>
    </row>
    <row r="42" spans="1:16" x14ac:dyDescent="0.2">
      <c r="A42" s="161"/>
      <c r="B42" s="166" t="str">
        <f>IF(Lang="Français","Longeur du bord","Side length")</f>
        <v>Longeur du bord</v>
      </c>
      <c r="D42" s="162"/>
      <c r="F42" s="594" t="str">
        <f>IF(Lang="Français","Vit max &amp; Acc max",IF(Lang="English","Max Velocity &amp; Acc",""))</f>
        <v>Vit max &amp; Acc max</v>
      </c>
      <c r="G42" s="594"/>
      <c r="H42" s="115" t="s">
        <v>14</v>
      </c>
      <c r="I42" s="115" t="s">
        <v>14</v>
      </c>
      <c r="J42" s="115" t="s">
        <v>14</v>
      </c>
      <c r="K42" s="117">
        <f ca="1">MAX(vit_xz)</f>
        <v>344.87216769595085</v>
      </c>
      <c r="L42" s="118">
        <f ca="1">MAX(acc_xz)</f>
        <v>144.34946368663304</v>
      </c>
      <c r="M42" s="116" t="s">
        <v>14</v>
      </c>
    </row>
    <row r="43" spans="1:16" x14ac:dyDescent="0.2">
      <c r="A43" s="161"/>
      <c r="B43" s="167">
        <v>200</v>
      </c>
      <c r="D43" s="162"/>
      <c r="F43" s="594" t="str">
        <f>IF(Lang="Français","Fin de Propulsion",IF(Lang="English","Motor Burn-Out",""))</f>
        <v>Fin de Propulsion</v>
      </c>
      <c r="G43" s="594"/>
      <c r="H43" s="116">
        <f ca="1">INDEX(t,MATCH("Fin de propulsion",Event,0))</f>
        <v>4.6899999999999444</v>
      </c>
      <c r="I43" s="119">
        <f ca="1">INDEX(pos_z,MATCH("Fin de propulsion",Event,0))</f>
        <v>1036.8543749797363</v>
      </c>
      <c r="J43" s="119">
        <f ca="1">INDEX(pos_x,MATCH("Fin de propulsion",Event,0))</f>
        <v>110.71644041757989</v>
      </c>
      <c r="K43" s="119">
        <f ca="1">INDEX(vit_xz,MATCH("Fin de propulsion",Event,0))</f>
        <v>331.41174363843885</v>
      </c>
      <c r="L43" s="116">
        <f ca="1">INDEX(acc_xz,MATCH("Fin de propulsion",Event,0))</f>
        <v>61.036294224029525</v>
      </c>
      <c r="M43" s="116">
        <f ca="1">INDEX(BetaD,MATCH("Fin de propulsion",Event,0))</f>
        <v>83.547694099173086</v>
      </c>
    </row>
    <row r="44" spans="1:16" x14ac:dyDescent="0.2">
      <c r="A44" s="161"/>
      <c r="B44" s="166" t="str">
        <f>IF(Lang="Français","Largeur du coté","Side width")</f>
        <v>Largeur du coté</v>
      </c>
      <c r="D44" s="162"/>
      <c r="F44" s="594" t="s">
        <v>15</v>
      </c>
      <c r="G44" s="594"/>
      <c r="H44" s="118">
        <f ca="1">INDEX(t,MATCH("Apogée",Event,0))</f>
        <v>22.099999999999984</v>
      </c>
      <c r="I44" s="117">
        <f ca="1">INDEX(pos_z,MATCH("Apogée",Event,0))</f>
        <v>3041.5232658427863</v>
      </c>
      <c r="J44" s="120">
        <f ca="1">INDEX(pos_x,MATCH("Apogée",Event,0))</f>
        <v>470.04832810562738</v>
      </c>
      <c r="K44" s="120">
        <f ca="1">INDEX(vit_xz,MATCH("Apogée",Event,0))</f>
        <v>15.563544270701611</v>
      </c>
      <c r="L44" s="116">
        <f ca="1">INDEX(acc_xz,MATCH("Apogée",Event,0))</f>
        <v>9.8216500581467958</v>
      </c>
      <c r="M44" s="121">
        <f ca="1">INDEX(BetaD,MATCH("Apogée",Event,0))</f>
        <v>3.3301237151914989</v>
      </c>
    </row>
    <row r="45" spans="1:16" x14ac:dyDescent="0.2">
      <c r="A45" s="161"/>
      <c r="B45" s="168">
        <v>250</v>
      </c>
      <c r="D45" s="162"/>
      <c r="F45" s="597" t="str">
        <f>IF(Lang="Français","Impact balistique",IF(Lang="English","Balistic Impact",""))</f>
        <v>Impact balistique</v>
      </c>
      <c r="G45" s="597"/>
      <c r="H45" s="116">
        <f ca="1">INDEX(t,MATCH("Impact balistique",Event,0))</f>
        <v>52.800000000000416</v>
      </c>
      <c r="I45" s="148" t="s">
        <v>16</v>
      </c>
      <c r="J45" s="117">
        <f ca="1">INDEX(pos_x,MATCH("Impact balistique",Event,0))</f>
        <v>781.88500774856686</v>
      </c>
      <c r="K45" s="119">
        <f ca="1">INDEX(vit_xz,MATCH("Impact balistique",Event,0))</f>
        <v>139.18296782537681</v>
      </c>
      <c r="L45" s="116">
        <f ca="1">INDEX(acc_xz,MATCH("Impact balistique",Event,0))</f>
        <v>0.33107734707354536</v>
      </c>
      <c r="M45" s="116">
        <f ca="1">INDEX(BetaD,MATCH("Impact balistique",Event,0))</f>
        <v>-88.373935790770901</v>
      </c>
    </row>
    <row r="46" spans="1:16" x14ac:dyDescent="0.2">
      <c r="A46" s="161"/>
      <c r="B46" s="169" t="s">
        <v>9</v>
      </c>
      <c r="D46" s="162"/>
      <c r="F46" s="599" t="str">
        <f>IF(Lang="Français","Ouverture parachute fusée",IF(Lang="English","Rocket parachute opening",""))</f>
        <v>Ouverture parachute fusée</v>
      </c>
      <c r="G46" s="599"/>
      <c r="H46" s="122">
        <f>T_para</f>
        <v>21.8</v>
      </c>
      <c r="I46" s="123">
        <f ca="1">INDEX(pos_z,MATCH("Para",Event_para,0))</f>
        <v>3040.8099389661788</v>
      </c>
      <c r="J46" s="123">
        <f ca="1">INDEX(pos_x,MATCH("Para",Event_para,0))</f>
        <v>465.38296276037624</v>
      </c>
      <c r="K46" s="123">
        <f ca="1">INDEX(vit_xz,MATCH("Para",Event_para,0))</f>
        <v>16.03494024328851</v>
      </c>
      <c r="L46" s="122">
        <f ca="1">INDEX(acc_xz,MATCH("Para",Event_para,0))</f>
        <v>9.8404214713578906</v>
      </c>
      <c r="M46" s="124">
        <f ca="1">INDEX(BetaD,MATCH("Para",Event_para,0))</f>
        <v>13.900798373977816</v>
      </c>
    </row>
    <row r="47" spans="1:16" x14ac:dyDescent="0.2">
      <c r="A47" s="161"/>
      <c r="B47" s="174">
        <f>(4*B43*B45+B43^2)/10^6</f>
        <v>0.24</v>
      </c>
      <c r="D47" s="162"/>
      <c r="F47" s="598" t="str">
        <f>IF(Lang="Français","Impact fusée sous para.",IF(Lang="English","Impact of rocket with para. ",""))</f>
        <v>Impact fusée sous para.</v>
      </c>
      <c r="G47" s="598"/>
      <c r="H47" s="125">
        <f ca="1">T_para+Dt_para</f>
        <v>168.16203329225701</v>
      </c>
      <c r="I47" s="127" t="s">
        <v>16</v>
      </c>
      <c r="J47" s="126" t="str">
        <f ca="1">CONCATENATE(TEXT(X_para-Dx_para,"0")," | ",TEXT(X_para+Dx_para,"0"))</f>
        <v>-266 | 1197</v>
      </c>
      <c r="K47" s="126">
        <f ca="1">V_para</f>
        <v>20.77594763181694</v>
      </c>
      <c r="L47" s="128">
        <f>g</f>
        <v>9.81</v>
      </c>
      <c r="M47" s="128" t="s">
        <v>14</v>
      </c>
    </row>
    <row r="48" spans="1:16" x14ac:dyDescent="0.2">
      <c r="A48" s="161"/>
      <c r="D48" s="162"/>
      <c r="F48" s="595" t="str">
        <f>IF(Lang="Français","Largage du satellite",IF(Lang="English","Satellite separation",""))</f>
        <v>Largage du satellite</v>
      </c>
      <c r="G48" s="596"/>
      <c r="H48" s="122">
        <f>IF(T_satellite&lt;&gt;0,T_satellite,"")</f>
        <v>3.5</v>
      </c>
      <c r="I48" s="123">
        <f ca="1">IF(T_satellite&lt;&gt;0,INDEX(pos_z,MATCH("Satellite",Event_sat,0)),"")</f>
        <v>638.773496998052</v>
      </c>
      <c r="J48" s="129">
        <f ca="1">IF(T_satellite&lt;&gt;0,INDEX(pos_x,MATCH("Satellite",Event_sat,0)),"")</f>
        <v>66.460367712747427</v>
      </c>
      <c r="K48" s="123">
        <f ca="1">IF(T_satellite&lt;&gt;0,INDEX(vit_xz,MATCH("Satellite",Event_sat,0)),"")</f>
        <v>320.48088327209854</v>
      </c>
      <c r="L48" s="122">
        <f ca="1">IF(T_satellite&lt;&gt;0,INDEX(acc_xz,MATCH("Satellite",Event_sat,0)),"")</f>
        <v>42.776198027715914</v>
      </c>
      <c r="M48" s="124">
        <f ca="1">IF(T_satellite&lt;&gt;0,INDEX(BetaD,MATCH("Satellite",Event_sat,0)),"")</f>
        <v>83.767237993109973</v>
      </c>
    </row>
    <row r="49" spans="1:13" x14ac:dyDescent="0.2">
      <c r="A49" s="161"/>
      <c r="D49" s="162"/>
      <c r="F49" s="591" t="str">
        <f>IF(Lang="Français","Impact du satellite",IF(Lang="English","Satellite impact",""))</f>
        <v>Impact du satellite</v>
      </c>
      <c r="G49" s="592"/>
      <c r="H49" s="125">
        <f ca="1">IF(T_satellite&lt;&gt;0,T_satellite+Dt_satellite,"")</f>
        <v>53.973733647705956</v>
      </c>
      <c r="I49" s="130" t="str">
        <f>IF(T_satellite&lt;&gt;0,"~0","")</f>
        <v>~0</v>
      </c>
      <c r="J49" s="130" t="str">
        <f ca="1">IF(T_satellite&lt;&gt;0,CONCATENATE(TEXT(X_satellite-Dx_sat,"0")," | ",TEXT(X_satellite+Dx_sat,"0")),"")</f>
        <v>-186 | 319</v>
      </c>
      <c r="K49" s="130">
        <f>IF(T_satellite&lt;&gt;0,V_satellite,"")</f>
        <v>12.655562623057198</v>
      </c>
      <c r="L49" s="128">
        <f>IF(T_satellite&lt;&gt;0,g,"")</f>
        <v>9.81</v>
      </c>
      <c r="M49" s="131" t="str">
        <f>IF(T_satellite&lt;&gt;0,"-","")</f>
        <v>-</v>
      </c>
    </row>
    <row r="50" spans="1:13" x14ac:dyDescent="0.2">
      <c r="A50" s="161"/>
      <c r="B50" s="166" t="str">
        <f>IF(Lang="Français","Rayon exterieur","Half-diameter ext")</f>
        <v>Rayon exterieur</v>
      </c>
      <c r="D50" s="162"/>
    </row>
    <row r="51" spans="1:13" x14ac:dyDescent="0.2">
      <c r="A51" s="161"/>
      <c r="B51" s="168">
        <v>499</v>
      </c>
      <c r="D51" s="162"/>
    </row>
    <row r="52" spans="1:13" x14ac:dyDescent="0.2">
      <c r="A52" s="161"/>
      <c r="B52" s="166" t="str">
        <f>IF(Lang="Français","Rayon intérieur","Half-diameter int")</f>
        <v>Rayon intérieur</v>
      </c>
      <c r="D52" s="162"/>
    </row>
    <row r="53" spans="1:13" x14ac:dyDescent="0.2">
      <c r="A53" s="161"/>
      <c r="B53" s="168">
        <v>29</v>
      </c>
      <c r="D53" s="162"/>
    </row>
    <row r="54" spans="1:13" x14ac:dyDescent="0.2">
      <c r="A54" s="161"/>
      <c r="B54" s="169" t="s">
        <v>9</v>
      </c>
      <c r="D54" s="162"/>
    </row>
    <row r="55" spans="1:13" x14ac:dyDescent="0.2">
      <c r="A55" s="161"/>
      <c r="B55" s="174">
        <f>PI()*(B51^2-B53^2)/10^6</f>
        <v>0.77961763291484298</v>
      </c>
      <c r="D55" s="162"/>
    </row>
    <row r="56" spans="1:13" x14ac:dyDescent="0.2">
      <c r="A56" s="163"/>
      <c r="B56" s="164"/>
      <c r="C56" s="164"/>
      <c r="D56" s="165"/>
    </row>
    <row r="93" spans="2:2" x14ac:dyDescent="0.2">
      <c r="B93" s="24" t="str">
        <f>IF(Lang="Français","Vitesse de descente sous parachute :",IF(Lang="English","Fall velocity over parachute:",""))</f>
        <v>Vitesse de descente sous parachute :</v>
      </c>
    </row>
    <row r="102" spans="2:7" x14ac:dyDescent="0.2">
      <c r="B102" s="24" t="str">
        <f>IF(Lang="Français","Textes pour les listes déroulantes et graphiques :","Texts for drop-down lists &amp; graphics :")</f>
        <v>Textes pour les listes déroulantes et graphiques :</v>
      </c>
      <c r="F102" s="221" t="s">
        <v>407</v>
      </c>
      <c r="G102" s="1" t="s">
        <v>414</v>
      </c>
    </row>
    <row r="103" spans="2:7" x14ac:dyDescent="0.2">
      <c r="F103" s="478">
        <f ca="1">Combustion+Depotage-9</f>
        <v>-9</v>
      </c>
      <c r="G103" s="479" t="s">
        <v>409</v>
      </c>
    </row>
    <row r="104" spans="2:7" x14ac:dyDescent="0.2">
      <c r="B104" s="1" t="s">
        <v>121</v>
      </c>
      <c r="F104" s="478">
        <f ca="1">Combustion+Depotage-7</f>
        <v>-7</v>
      </c>
      <c r="G104" s="479" t="s">
        <v>410</v>
      </c>
    </row>
    <row r="105" spans="2:7" x14ac:dyDescent="0.2">
      <c r="B105" s="1" t="s">
        <v>122</v>
      </c>
      <c r="F105" s="478">
        <f ca="1">Combustion+Depotage-5</f>
        <v>-5</v>
      </c>
      <c r="G105" s="479" t="s">
        <v>411</v>
      </c>
    </row>
    <row r="106" spans="2:7" x14ac:dyDescent="0.2">
      <c r="B106" s="1" t="str">
        <f>IF(T_para&gt;0,IF(Lang="Français","Phase ascendante","Climbing phase"),"")</f>
        <v>Phase ascendante</v>
      </c>
      <c r="F106" s="478">
        <f ca="1">Combustion+Depotage-3</f>
        <v>-3</v>
      </c>
      <c r="G106" s="479" t="s">
        <v>412</v>
      </c>
    </row>
    <row r="107" spans="2:7" x14ac:dyDescent="0.2">
      <c r="B107" s="1" t="str">
        <f>IF(Lang="Français","Descente balistique","Balistic fall")</f>
        <v>Descente balistique</v>
      </c>
      <c r="F107" s="478">
        <f ca="1">Combustion+Depotage</f>
        <v>0</v>
      </c>
      <c r="G107" s="479" t="s">
        <v>413</v>
      </c>
    </row>
    <row r="108" spans="2:7" x14ac:dyDescent="0.2">
      <c r="B108" s="1" t="str">
        <f>IF(T_para&gt;0,IF(Lang="Français","Fusée sous parachute","Rocket under parachute"),"")</f>
        <v>Fusée sous parachute</v>
      </c>
      <c r="F108" s="480" t="str">
        <f>IF(Lang="Français","autre",IF(Lang="English","other",""))</f>
        <v>autre</v>
      </c>
    </row>
    <row r="109" spans="2:7" x14ac:dyDescent="0.2">
      <c r="B109" s="1" t="str">
        <f>IF(AND(Nb_sat="1 satellite",T_satellite&gt;0),IF(Lang="Français","Satellite sous parachute","Satellite over parachute"),"")</f>
        <v/>
      </c>
    </row>
    <row r="110" spans="2:7" x14ac:dyDescent="0.2">
      <c r="B110" s="1" t="str">
        <f>IF(Lang="Français","Trajectoire (x z)","Trajectory (x z)")</f>
        <v>Trajectoire (x z)</v>
      </c>
    </row>
    <row r="111" spans="2:7" x14ac:dyDescent="0.2">
      <c r="B111" s="1" t="str">
        <f>IF(Lang="Français","Portée x [m]","Range x [m]")</f>
        <v>Portée x [m]</v>
      </c>
    </row>
    <row r="112" spans="2:7" x14ac:dyDescent="0.2">
      <c r="B112" s="1" t="str">
        <f>IF(Lang="Français","Temps [s]","Time [s]")</f>
        <v>Temps [s]</v>
      </c>
    </row>
    <row r="113" spans="2:3" x14ac:dyDescent="0.2">
      <c r="B113" s="1" t="str">
        <f>IF(Lang="Français","Altitude z  /  Temps","Altitude z  /  Time")</f>
        <v>Altitude z  /  Temps</v>
      </c>
      <c r="C113" s="1">
        <f>IF(OR(C25=F102,C25=F108),C26,C25)</f>
        <v>21.8</v>
      </c>
    </row>
    <row r="115" spans="2:3" x14ac:dyDescent="0.2">
      <c r="B115" s="1" t="s">
        <v>408</v>
      </c>
    </row>
    <row r="117" spans="2:3" x14ac:dyDescent="0.2">
      <c r="B117" s="24" t="str">
        <f>IF(Lang="Français","Données pour les graphiques :","Data for plots:")</f>
        <v>Données pour les graphiques :</v>
      </c>
      <c r="C117" s="211" t="s">
        <v>48</v>
      </c>
    </row>
    <row r="118" spans="2:3" x14ac:dyDescent="0.2">
      <c r="C118" s="216">
        <f ca="1">MAX(Altitude_culmi,Portee_balistique)</f>
        <v>3041.5232658427863</v>
      </c>
    </row>
    <row r="119" spans="2:3" x14ac:dyDescent="0.2">
      <c r="B119" s="210" t="s">
        <v>48</v>
      </c>
    </row>
    <row r="120" spans="2:3" x14ac:dyDescent="0.2">
      <c r="B120" s="218">
        <f ca="1">MAX(Altitude_culmi,Portee_balistique)</f>
        <v>3041.5232658427863</v>
      </c>
      <c r="C120" s="211" t="s">
        <v>46</v>
      </c>
    </row>
    <row r="121" spans="2:3" x14ac:dyDescent="0.2">
      <c r="C121" s="214">
        <f ca="1">Alt_para</f>
        <v>3040.8099389661788</v>
      </c>
    </row>
    <row r="122" spans="2:3" x14ac:dyDescent="0.2">
      <c r="B122" s="210" t="s">
        <v>50</v>
      </c>
      <c r="C122" s="214">
        <f ca="1">Alt_para/2</f>
        <v>1520.4049694830894</v>
      </c>
    </row>
    <row r="123" spans="2:3" x14ac:dyDescent="0.2">
      <c r="B123" s="217">
        <f ca="1">X_para</f>
        <v>465.38296276037624</v>
      </c>
      <c r="C123" s="214">
        <v>0</v>
      </c>
    </row>
    <row r="124" spans="2:3" x14ac:dyDescent="0.2">
      <c r="B124" s="217">
        <f ca="1">X_para</f>
        <v>465.38296276037624</v>
      </c>
      <c r="C124" s="214">
        <f ca="1">Alt_para/20</f>
        <v>152.04049694830894</v>
      </c>
    </row>
    <row r="125" spans="2:3" x14ac:dyDescent="0.2">
      <c r="B125" s="217">
        <f ca="1">X_para</f>
        <v>465.38296276037624</v>
      </c>
      <c r="C125" s="214">
        <v>0</v>
      </c>
    </row>
    <row r="126" spans="2:3" x14ac:dyDescent="0.2">
      <c r="B126" s="217">
        <f ca="1">X_para+Alt_para/40</f>
        <v>541.40321123453077</v>
      </c>
      <c r="C126" s="214">
        <f ca="1">Alt_para/20</f>
        <v>152.04049694830894</v>
      </c>
    </row>
    <row r="127" spans="2:3" x14ac:dyDescent="0.2">
      <c r="B127" s="217">
        <f ca="1">X_para</f>
        <v>465.38296276037624</v>
      </c>
      <c r="C127" s="219">
        <v>0</v>
      </c>
    </row>
    <row r="128" spans="2:3" x14ac:dyDescent="0.2">
      <c r="B128" s="217">
        <f ca="1">X_para-Alt_para/40</f>
        <v>389.36271428622177</v>
      </c>
      <c r="C128" s="211" t="s">
        <v>46</v>
      </c>
    </row>
    <row r="129" spans="2:6" x14ac:dyDescent="0.2">
      <c r="B129" s="218">
        <f ca="1">X_para</f>
        <v>465.38296276037624</v>
      </c>
      <c r="C129" s="214">
        <f ca="1">Alt_para</f>
        <v>3040.8099389661788</v>
      </c>
      <c r="E129" s="232">
        <v>1</v>
      </c>
      <c r="F129" s="233" t="s">
        <v>176</v>
      </c>
    </row>
    <row r="130" spans="2:6" x14ac:dyDescent="0.2">
      <c r="B130" s="210" t="s">
        <v>49</v>
      </c>
      <c r="C130" s="214">
        <f ca="1">(C129+C131)/2</f>
        <v>1520.4049694830894</v>
      </c>
      <c r="E130" s="161">
        <v>1</v>
      </c>
      <c r="F130" s="234" t="s">
        <v>177</v>
      </c>
    </row>
    <row r="131" spans="2:6" x14ac:dyDescent="0.2">
      <c r="B131" s="213">
        <f>T_para</f>
        <v>21.8</v>
      </c>
      <c r="C131" s="214">
        <f>0</f>
        <v>0</v>
      </c>
      <c r="E131" s="161"/>
      <c r="F131" s="241" t="s">
        <v>178</v>
      </c>
    </row>
    <row r="132" spans="2:6" x14ac:dyDescent="0.2">
      <c r="B132" s="213">
        <f ca="1">(B131+B133)/2</f>
        <v>94.981016646128509</v>
      </c>
      <c r="C132" s="214">
        <f ca="1">Alt_para-V_para*(H47-T_para)+E129*sS*Altitude_culmi/H47*zZ_fus+E130*sS/2*Altitude_culmi/H47*tT_fus</f>
        <v>137.0578650190387</v>
      </c>
      <c r="E132" s="235" t="s">
        <v>173</v>
      </c>
      <c r="F132" s="236">
        <f ca="1">T_balistique/10</f>
        <v>5.280000000000042</v>
      </c>
    </row>
    <row r="133" spans="2:6" x14ac:dyDescent="0.2">
      <c r="B133" s="213">
        <f ca="1">H47</f>
        <v>168.16203329225701</v>
      </c>
      <c r="C133" s="214">
        <f ca="1">Alt_para-V_para*(H47-T_para)</f>
        <v>0</v>
      </c>
      <c r="E133" s="235" t="s">
        <v>174</v>
      </c>
      <c r="F133" s="236">
        <f ca="1">(H47-T_para)/H47</f>
        <v>0.87036312791179959</v>
      </c>
    </row>
    <row r="134" spans="2:6" x14ac:dyDescent="0.2">
      <c r="B134" s="213">
        <f ca="1">H47+E129*sS/2*zZ_fus-E130*sS*tT_fus</f>
        <v>166.20651597688268</v>
      </c>
      <c r="C134" s="214">
        <f ca="1">Alt_para-V_para*(H47-T_para)+E129*sS*Altitude_culmi/H47*zZ_fus-E130*sS/2*Altitude_culmi/H47*tT_fus</f>
        <v>53.939383637438901</v>
      </c>
      <c r="E134" s="237" t="s">
        <v>175</v>
      </c>
      <c r="F134" s="238">
        <f ca="1">V_para*(H47-T_para)/Alt_para</f>
        <v>1</v>
      </c>
    </row>
    <row r="135" spans="2:6" x14ac:dyDescent="0.2">
      <c r="B135" s="213">
        <f ca="1">H47</f>
        <v>168.16203329225701</v>
      </c>
      <c r="C135" s="216">
        <f ca="1">Alt_para-V_para*(H47-T_para)</f>
        <v>0</v>
      </c>
    </row>
    <row r="136" spans="2:6" x14ac:dyDescent="0.2">
      <c r="B136" s="213">
        <f ca="1">H47-E129*sS/2*zZ_fus-E130*sS*tT_fus</f>
        <v>160.92651597688265</v>
      </c>
    </row>
    <row r="137" spans="2:6" x14ac:dyDescent="0.2">
      <c r="B137" s="215">
        <f ca="1">H47</f>
        <v>168.16203329225701</v>
      </c>
      <c r="C137" s="211" t="s">
        <v>47</v>
      </c>
    </row>
    <row r="138" spans="2:6" x14ac:dyDescent="0.2">
      <c r="C138" s="214" t="b">
        <f>IF(Nb_sat="1 satellite",Alt_sat)</f>
        <v>0</v>
      </c>
    </row>
    <row r="139" spans="2:6" x14ac:dyDescent="0.2">
      <c r="B139" s="210" t="s">
        <v>52</v>
      </c>
      <c r="C139" s="214" t="b">
        <f>IF(Nb_sat="1 satellite",Alt_sat*1/4)</f>
        <v>0</v>
      </c>
    </row>
    <row r="140" spans="2:6" x14ac:dyDescent="0.2">
      <c r="B140" s="217" t="b">
        <f>IF(Nb_sat="1 satellite",X_satellite)</f>
        <v>0</v>
      </c>
      <c r="C140" s="214" t="b">
        <f>IF(Nb_sat="1 satellite",0)</f>
        <v>0</v>
      </c>
    </row>
    <row r="141" spans="2:6" x14ac:dyDescent="0.2">
      <c r="B141" s="217" t="b">
        <f>IF(Nb_sat="1 satellite",X_satellite)</f>
        <v>0</v>
      </c>
      <c r="C141" s="214" t="b">
        <f>IF(Nb_sat="1 satellite",Alt_sat/20)</f>
        <v>0</v>
      </c>
    </row>
    <row r="142" spans="2:6" x14ac:dyDescent="0.2">
      <c r="B142" s="217" t="b">
        <f>IF(Nb_sat="1 satellite",X_satellite)</f>
        <v>0</v>
      </c>
      <c r="C142" s="214" t="b">
        <f>IF(Nb_sat="1 satellite",0)</f>
        <v>0</v>
      </c>
    </row>
    <row r="143" spans="2:6" x14ac:dyDescent="0.2">
      <c r="B143" s="217" t="b">
        <f>IF(Nb_sat="1 satellite",X_satellite+Alt_sat/40)</f>
        <v>0</v>
      </c>
      <c r="C143" s="214" t="b">
        <f>IF(Nb_sat="1 satellite",Alt_sat/20)</f>
        <v>0</v>
      </c>
    </row>
    <row r="144" spans="2:6" x14ac:dyDescent="0.2">
      <c r="B144" s="217" t="b">
        <f>IF(Nb_sat="1 satellite",X_satellite)</f>
        <v>0</v>
      </c>
      <c r="C144" s="214" t="b">
        <f>IF(Nb_sat="1 satellite",0)</f>
        <v>0</v>
      </c>
    </row>
    <row r="145" spans="2:6" x14ac:dyDescent="0.2">
      <c r="B145" s="217" t="b">
        <f>IF(Nb_sat="1 satellite",X_satellite-Alt_sat/40)</f>
        <v>0</v>
      </c>
      <c r="C145" s="211" t="s">
        <v>47</v>
      </c>
    </row>
    <row r="146" spans="2:6" x14ac:dyDescent="0.2">
      <c r="B146" s="218" t="b">
        <f>IF(Nb_sat="1 satellite",X_satellite)</f>
        <v>0</v>
      </c>
      <c r="C146" s="214" t="b">
        <f>IF(Nb_sat="1 satellite",Alt_sat)</f>
        <v>0</v>
      </c>
      <c r="D146" s="221"/>
    </row>
    <row r="147" spans="2:6" x14ac:dyDescent="0.2">
      <c r="B147" s="210" t="s">
        <v>51</v>
      </c>
      <c r="C147" s="214">
        <f>(C146+C148)/2</f>
        <v>0</v>
      </c>
      <c r="D147" s="221"/>
    </row>
    <row r="148" spans="2:6" x14ac:dyDescent="0.2">
      <c r="B148" s="213" t="b">
        <f>IF(Nb_sat="1 satellite",T_satellite)</f>
        <v>0</v>
      </c>
      <c r="C148" s="214" t="b">
        <f>IF(Nb_sat="1 satellite",0)</f>
        <v>0</v>
      </c>
    </row>
    <row r="149" spans="2:6" x14ac:dyDescent="0.2">
      <c r="B149" s="213">
        <f>(B148+B150)/2</f>
        <v>0</v>
      </c>
      <c r="C149" s="214" t="b">
        <f>IF(Nb_sat="1 satellite",Alt_sat-V_satellite*(H49-T_satellite)+E129*sS*Altitude_culmi/H49*zZ_sat+E130*sS/2*Altitude_culmi/H49*tT_sat)</f>
        <v>0</v>
      </c>
      <c r="D149" s="221"/>
    </row>
    <row r="150" spans="2:6" x14ac:dyDescent="0.2">
      <c r="B150" s="213" t="b">
        <f>IF(Nb_sat="1 satellite",H49)</f>
        <v>0</v>
      </c>
      <c r="C150" s="214" t="b">
        <f>IF(Nb_sat="1 satellite",0)</f>
        <v>0</v>
      </c>
      <c r="E150" s="239" t="s">
        <v>174</v>
      </c>
      <c r="F150" s="240">
        <f ca="1">(T_balistique-T_satellite)/T_balistique</f>
        <v>0.93371212121212177</v>
      </c>
    </row>
    <row r="151" spans="2:6" x14ac:dyDescent="0.2">
      <c r="B151" s="213" t="b">
        <f>IF(Nb_sat="1 satellite",H49+E129*sS/2*zZ_sat-E130*sS*tT_sat)</f>
        <v>0</v>
      </c>
      <c r="C151" s="214" t="b">
        <f>IF(Nb_sat="1 satellite",Alt_sat-V_satellite*(H49-T_satellite)+E129*sS*Altitude_culmi/H49*zZ_sat-E130*sS/2*Altitude_culmi/H49*tT_sat)</f>
        <v>0</v>
      </c>
      <c r="E151" s="237" t="s">
        <v>175</v>
      </c>
      <c r="F151" s="238">
        <f ca="1">V_satellite*(T_balistique-T_satellite)/Alt_sat</f>
        <v>0.97674565436553773</v>
      </c>
    </row>
    <row r="152" spans="2:6" x14ac:dyDescent="0.2">
      <c r="B152" s="213" t="b">
        <f>IF(Nb_sat="1 satellite",H49)</f>
        <v>0</v>
      </c>
      <c r="C152" s="216" t="b">
        <f>IF(Nb_sat="1 satellite",0)</f>
        <v>0</v>
      </c>
    </row>
    <row r="153" spans="2:6" x14ac:dyDescent="0.2">
      <c r="B153" s="213" t="b">
        <f>IF(Nb_sat="1 satellite",H49-sS/2*zZ_sat-E130*sS*tT_sat)</f>
        <v>0</v>
      </c>
    </row>
    <row r="154" spans="2:6" x14ac:dyDescent="0.2">
      <c r="B154" s="215" t="b">
        <f>IF(Nb_sat="1 satellite",H49)</f>
        <v>0</v>
      </c>
      <c r="C154" s="228" t="s">
        <v>29</v>
      </c>
      <c r="D154" s="211" t="s">
        <v>3</v>
      </c>
    </row>
    <row r="155" spans="2:6" x14ac:dyDescent="0.2">
      <c r="C155" s="82">
        <f ca="1">Alt_para/2</f>
        <v>1520.4049694830894</v>
      </c>
      <c r="D155" s="214">
        <f ca="1">X_para/4</f>
        <v>116.34574069009406</v>
      </c>
    </row>
    <row r="156" spans="2:6" x14ac:dyDescent="0.2">
      <c r="B156" s="210" t="s">
        <v>2</v>
      </c>
      <c r="C156" s="230">
        <f ca="1">Altitude_culmi/2</f>
        <v>1520.7616329213931</v>
      </c>
      <c r="D156" s="216">
        <f ca="1">X_culmi+(Portee_balistique-X_culmi)*2/3</f>
        <v>677.93944786758698</v>
      </c>
    </row>
    <row r="157" spans="2:6" x14ac:dyDescent="0.2">
      <c r="B157" s="231">
        <f>T_para/4</f>
        <v>5.45</v>
      </c>
    </row>
    <row r="158" spans="2:6" x14ac:dyDescent="0.2">
      <c r="B158" s="229">
        <f ca="1">Temps_culmi + (T_balistique-Temps_culmi)/2</f>
        <v>37.450000000000202</v>
      </c>
      <c r="C158" s="228" t="s">
        <v>302</v>
      </c>
      <c r="D158" s="422" t="s">
        <v>304</v>
      </c>
      <c r="E158" s="422"/>
      <c r="F158" s="423" t="s">
        <v>304</v>
      </c>
    </row>
    <row r="159" spans="2:6" x14ac:dyDescent="0.2">
      <c r="C159" s="5">
        <v>0</v>
      </c>
      <c r="D159" s="82">
        <f t="shared" ref="D159:D174" ca="1" si="0">X_culmi+C159</f>
        <v>470.04832810562738</v>
      </c>
      <c r="E159" s="82"/>
      <c r="F159" s="214">
        <f t="shared" ref="F159:F174" ca="1" si="1">X_culmi-C159</f>
        <v>470.04832810562738</v>
      </c>
    </row>
    <row r="160" spans="2:6" x14ac:dyDescent="0.2">
      <c r="B160" s="210" t="s">
        <v>303</v>
      </c>
      <c r="C160" s="5">
        <v>23</v>
      </c>
      <c r="D160" s="82">
        <f t="shared" ca="1" si="0"/>
        <v>493.04832810562738</v>
      </c>
      <c r="E160" s="82"/>
      <c r="F160" s="214">
        <f t="shared" ca="1" si="1"/>
        <v>447.04832810562738</v>
      </c>
    </row>
    <row r="161" spans="2:6" x14ac:dyDescent="0.2">
      <c r="B161" s="231" t="e">
        <f ca="1">IF(AND(Altitude_culmi&gt;80, Altitude_culmi&lt;=350), 49, NA())</f>
        <v>#N/A</v>
      </c>
      <c r="C161" s="5">
        <v>23</v>
      </c>
      <c r="D161" s="82">
        <f t="shared" ca="1" si="0"/>
        <v>493.04832810562738</v>
      </c>
      <c r="E161" s="82"/>
      <c r="F161" s="214">
        <f t="shared" ca="1" si="1"/>
        <v>447.04832810562738</v>
      </c>
    </row>
    <row r="162" spans="2:6" x14ac:dyDescent="0.2">
      <c r="B162" s="231" t="e">
        <f ca="1">IF(AND(Altitude_culmi&gt;80, Altitude_culmi&lt;=350), 49, NA())</f>
        <v>#N/A</v>
      </c>
      <c r="C162" s="5">
        <v>0</v>
      </c>
      <c r="D162" s="82">
        <f t="shared" ca="1" si="0"/>
        <v>470.04832810562738</v>
      </c>
      <c r="E162" s="82"/>
      <c r="F162" s="214">
        <f t="shared" ca="1" si="1"/>
        <v>470.04832810562738</v>
      </c>
    </row>
    <row r="163" spans="2:6" x14ac:dyDescent="0.2">
      <c r="B163" s="231" t="e">
        <f ca="1">IF(AND(Altitude_culmi&gt;80, Altitude_culmi&lt;=350), 43, NA())</f>
        <v>#N/A</v>
      </c>
      <c r="C163" s="5">
        <v>23</v>
      </c>
      <c r="D163" s="82">
        <f t="shared" ca="1" si="0"/>
        <v>493.04832810562738</v>
      </c>
      <c r="E163" s="82"/>
      <c r="F163" s="214">
        <f t="shared" ca="1" si="1"/>
        <v>447.04832810562738</v>
      </c>
    </row>
    <row r="164" spans="2:6" x14ac:dyDescent="0.2">
      <c r="B164" s="231" t="e">
        <f ca="1">IF(AND(Altitude_culmi&gt;80, Altitude_culmi&lt;=350), 43, NA())</f>
        <v>#N/A</v>
      </c>
      <c r="C164" s="5">
        <v>23</v>
      </c>
      <c r="D164" s="82">
        <f t="shared" ca="1" si="0"/>
        <v>493.04832810562738</v>
      </c>
      <c r="E164" s="82"/>
      <c r="F164" s="214">
        <f t="shared" ca="1" si="1"/>
        <v>447.04832810562738</v>
      </c>
    </row>
    <row r="165" spans="2:6" x14ac:dyDescent="0.2">
      <c r="B165" s="231" t="e">
        <f ca="1">IF(AND(Altitude_culmi&gt;80, Altitude_culmi&lt;=350), 43, NA())</f>
        <v>#N/A</v>
      </c>
      <c r="C165" s="5">
        <v>8</v>
      </c>
      <c r="D165" s="82">
        <f t="shared" ca="1" si="0"/>
        <v>478.04832810562738</v>
      </c>
      <c r="E165" s="82"/>
      <c r="F165" s="214">
        <f t="shared" ca="1" si="1"/>
        <v>462.04832810562738</v>
      </c>
    </row>
    <row r="166" spans="2:6" x14ac:dyDescent="0.2">
      <c r="B166" s="231" t="e">
        <f ca="1">IF(AND(Altitude_culmi&gt;80, Altitude_culmi&lt;=350), 0.5, NA())</f>
        <v>#N/A</v>
      </c>
      <c r="C166" s="5">
        <v>8</v>
      </c>
      <c r="D166" s="82">
        <f t="shared" ca="1" si="0"/>
        <v>478.04832810562738</v>
      </c>
      <c r="E166" s="82"/>
      <c r="F166" s="214">
        <f t="shared" ca="1" si="1"/>
        <v>462.04832810562738</v>
      </c>
    </row>
    <row r="167" spans="2:6" x14ac:dyDescent="0.2">
      <c r="B167" s="231" t="e">
        <f ca="1">IF(AND(Altitude_culmi&gt;80, Altitude_culmi&lt;=350), 0.5, NA())</f>
        <v>#N/A</v>
      </c>
      <c r="C167" s="5">
        <v>23</v>
      </c>
      <c r="D167" s="82">
        <f t="shared" ca="1" si="0"/>
        <v>493.04832810562738</v>
      </c>
      <c r="E167" s="82"/>
      <c r="F167" s="214">
        <f t="shared" ca="1" si="1"/>
        <v>447.04832810562738</v>
      </c>
    </row>
    <row r="168" spans="2:6" x14ac:dyDescent="0.2">
      <c r="B168" s="231" t="e">
        <f ca="1">IF(AND(Altitude_culmi&gt;80, Altitude_culmi&lt;=350), 27, NA())</f>
        <v>#N/A</v>
      </c>
      <c r="C168" s="5">
        <v>8</v>
      </c>
      <c r="D168" s="82">
        <f t="shared" ca="1" si="0"/>
        <v>478.04832810562738</v>
      </c>
      <c r="E168" s="82"/>
      <c r="F168" s="214">
        <f t="shared" ca="1" si="1"/>
        <v>462.04832810562738</v>
      </c>
    </row>
    <row r="169" spans="2:6" x14ac:dyDescent="0.2">
      <c r="B169" s="231" t="e">
        <f ca="1">IF(AND(Altitude_culmi&gt;80, Altitude_culmi&lt;=350), 27, NA())</f>
        <v>#N/A</v>
      </c>
      <c r="C169" s="5">
        <v>7.6</v>
      </c>
      <c r="D169" s="82">
        <f t="shared" ca="1" si="0"/>
        <v>477.6483281056274</v>
      </c>
      <c r="E169" s="82"/>
      <c r="F169" s="214">
        <f t="shared" ca="1" si="1"/>
        <v>462.44832810562735</v>
      </c>
    </row>
    <row r="170" spans="2:6" x14ac:dyDescent="0.2">
      <c r="B170" s="231" t="e">
        <f ca="1">IF(AND(Altitude_culmi&gt;80, Altitude_culmi&lt;=350), 27, NA())</f>
        <v>#N/A</v>
      </c>
      <c r="C170" s="5">
        <v>6.8</v>
      </c>
      <c r="D170" s="82">
        <f t="shared" ca="1" si="0"/>
        <v>476.84832810562739</v>
      </c>
      <c r="E170" s="82"/>
      <c r="F170" s="214">
        <f t="shared" ca="1" si="1"/>
        <v>463.24832810562737</v>
      </c>
    </row>
    <row r="171" spans="2:6" x14ac:dyDescent="0.2">
      <c r="B171" s="231" t="e">
        <f ca="1">IF(AND(Altitude_culmi&gt;80, Altitude_culmi&lt;=350), 29, NA())</f>
        <v>#N/A</v>
      </c>
      <c r="C171" s="5">
        <v>6</v>
      </c>
      <c r="D171" s="82">
        <f t="shared" ca="1" si="0"/>
        <v>476.04832810562738</v>
      </c>
      <c r="E171" s="82"/>
      <c r="F171" s="214">
        <f t="shared" ca="1" si="1"/>
        <v>464.04832810562738</v>
      </c>
    </row>
    <row r="172" spans="2:6" x14ac:dyDescent="0.2">
      <c r="B172" s="231" t="e">
        <f ca="1">IF(AND(Altitude_culmi&gt;80, Altitude_culmi&lt;=350), 31, NA())</f>
        <v>#N/A</v>
      </c>
      <c r="C172" s="5">
        <v>5</v>
      </c>
      <c r="D172" s="82">
        <f t="shared" ca="1" si="0"/>
        <v>475.04832810562738</v>
      </c>
      <c r="E172" s="82"/>
      <c r="F172" s="214">
        <f t="shared" ca="1" si="1"/>
        <v>465.04832810562738</v>
      </c>
    </row>
    <row r="173" spans="2:6" x14ac:dyDescent="0.2">
      <c r="B173" s="231" t="e">
        <f ca="1">IF(AND(Altitude_culmi&gt;80, Altitude_culmi&lt;=350), 32, NA())</f>
        <v>#N/A</v>
      </c>
      <c r="C173" s="5">
        <v>3.8</v>
      </c>
      <c r="D173" s="82">
        <f t="shared" ca="1" si="0"/>
        <v>473.84832810562739</v>
      </c>
      <c r="E173" s="82"/>
      <c r="F173" s="214">
        <f t="shared" ca="1" si="1"/>
        <v>466.24832810562737</v>
      </c>
    </row>
    <row r="174" spans="2:6" x14ac:dyDescent="0.2">
      <c r="B174" s="231" t="e">
        <f ca="1">IF(AND(Altitude_culmi&gt;80, Altitude_culmi&lt;=350), 33, NA())</f>
        <v>#N/A</v>
      </c>
      <c r="C174" s="421">
        <v>0</v>
      </c>
      <c r="D174" s="230">
        <f t="shared" ca="1" si="0"/>
        <v>470.04832810562738</v>
      </c>
      <c r="E174" s="230"/>
      <c r="F174" s="216">
        <f t="shared" ca="1" si="1"/>
        <v>470.04832810562738</v>
      </c>
    </row>
    <row r="175" spans="2:6" x14ac:dyDescent="0.2">
      <c r="B175" s="231" t="e">
        <f ca="1">IF(AND(Altitude_culmi&gt;80, Altitude_culmi&lt;=350), 34, NA())</f>
        <v>#N/A</v>
      </c>
    </row>
    <row r="176" spans="2:6" x14ac:dyDescent="0.2">
      <c r="B176" s="229" t="e">
        <f ca="1">IF(AND(Altitude_culmi&gt;80, Altitude_culmi&lt;=350), 35, NA())</f>
        <v>#N/A</v>
      </c>
      <c r="C176" s="228" t="s">
        <v>306</v>
      </c>
      <c r="D176" s="228" t="s">
        <v>307</v>
      </c>
      <c r="E176" s="228"/>
      <c r="F176" s="211" t="s">
        <v>307</v>
      </c>
    </row>
    <row r="177" spans="2:6" x14ac:dyDescent="0.2">
      <c r="C177" s="5">
        <v>0</v>
      </c>
      <c r="D177" s="82">
        <f t="shared" ref="D177:D197" ca="1" si="2">X_culmi+C177</f>
        <v>470.04832810562738</v>
      </c>
      <c r="E177" s="82"/>
      <c r="F177" s="214">
        <f t="shared" ref="F177:F197" ca="1" si="3">X_culmi-C177</f>
        <v>470.04832810562738</v>
      </c>
    </row>
    <row r="178" spans="2:6" x14ac:dyDescent="0.2">
      <c r="B178" s="210" t="s">
        <v>305</v>
      </c>
      <c r="C178" s="5">
        <v>0</v>
      </c>
      <c r="D178" s="82">
        <f t="shared" ca="1" si="2"/>
        <v>470.04832810562738</v>
      </c>
      <c r="E178" s="82"/>
      <c r="F178" s="214">
        <f t="shared" ca="1" si="3"/>
        <v>470.04832810562738</v>
      </c>
    </row>
    <row r="179" spans="2:6" x14ac:dyDescent="0.2">
      <c r="B179" s="231">
        <f ca="1">IF(Altitude_culmi&gt;350, 324, NA())</f>
        <v>324</v>
      </c>
      <c r="C179" s="5">
        <v>10</v>
      </c>
      <c r="D179" s="82">
        <f t="shared" ca="1" si="2"/>
        <v>480.04832810562738</v>
      </c>
      <c r="E179" s="82"/>
      <c r="F179" s="214">
        <f t="shared" ca="1" si="3"/>
        <v>460.04832810562738</v>
      </c>
    </row>
    <row r="180" spans="2:6" x14ac:dyDescent="0.2">
      <c r="B180" s="231">
        <f ca="1">IF(Altitude_culmi&gt;350, 300, NA())</f>
        <v>300</v>
      </c>
      <c r="C180" s="5">
        <v>0</v>
      </c>
      <c r="D180" s="82">
        <f t="shared" ca="1" si="2"/>
        <v>470.04832810562738</v>
      </c>
      <c r="E180" s="82"/>
      <c r="F180" s="214">
        <f t="shared" ca="1" si="3"/>
        <v>470.04832810562738</v>
      </c>
    </row>
    <row r="181" spans="2:6" x14ac:dyDescent="0.2">
      <c r="B181" s="231">
        <f ca="1">IF(Altitude_culmi&gt;350, 280, NA())</f>
        <v>280</v>
      </c>
      <c r="C181" s="5">
        <v>10</v>
      </c>
      <c r="D181" s="82">
        <f t="shared" ca="1" si="2"/>
        <v>480.04832810562738</v>
      </c>
      <c r="E181" s="82"/>
      <c r="F181" s="214">
        <f t="shared" ca="1" si="3"/>
        <v>460.04832810562738</v>
      </c>
    </row>
    <row r="182" spans="2:6" x14ac:dyDescent="0.2">
      <c r="B182" s="231">
        <f ca="1">IF(Altitude_culmi&gt;350, 280, NA())</f>
        <v>280</v>
      </c>
      <c r="C182" s="5">
        <v>13</v>
      </c>
      <c r="D182" s="82">
        <f t="shared" ca="1" si="2"/>
        <v>483.04832810562738</v>
      </c>
      <c r="E182" s="82"/>
      <c r="F182" s="214">
        <f t="shared" ca="1" si="3"/>
        <v>457.04832810562738</v>
      </c>
    </row>
    <row r="183" spans="2:6" x14ac:dyDescent="0.2">
      <c r="B183" s="231">
        <f ca="1">IF(Altitude_culmi&gt;350, 280, NA())</f>
        <v>280</v>
      </c>
      <c r="C183" s="5">
        <v>17</v>
      </c>
      <c r="D183" s="82">
        <f t="shared" ca="1" si="2"/>
        <v>487.04832810562738</v>
      </c>
      <c r="E183" s="82"/>
      <c r="F183" s="214">
        <f t="shared" ca="1" si="3"/>
        <v>453.04832810562738</v>
      </c>
    </row>
    <row r="184" spans="2:6" x14ac:dyDescent="0.2">
      <c r="B184" s="231">
        <f ca="1">IF(Altitude_culmi&gt;350, 200, NA())</f>
        <v>200</v>
      </c>
      <c r="C184" s="5">
        <v>20</v>
      </c>
      <c r="D184" s="82">
        <f t="shared" ca="1" si="2"/>
        <v>490.04832810562738</v>
      </c>
      <c r="E184" s="82"/>
      <c r="F184" s="214">
        <f t="shared" ca="1" si="3"/>
        <v>450.04832810562738</v>
      </c>
    </row>
    <row r="185" spans="2:6" x14ac:dyDescent="0.2">
      <c r="B185" s="231">
        <f ca="1">IF(Altitude_culmi&gt;350, 160, NA())</f>
        <v>160</v>
      </c>
      <c r="C185" s="5">
        <v>25</v>
      </c>
      <c r="D185" s="82">
        <f t="shared" ca="1" si="2"/>
        <v>495.04832810562738</v>
      </c>
      <c r="E185" s="82"/>
      <c r="F185" s="214">
        <f t="shared" ca="1" si="3"/>
        <v>445.04832810562738</v>
      </c>
    </row>
    <row r="186" spans="2:6" x14ac:dyDescent="0.2">
      <c r="B186" s="231">
        <f ca="1">IF(Altitude_culmi&gt;350, 115, NA())</f>
        <v>115</v>
      </c>
      <c r="C186" s="5">
        <v>30</v>
      </c>
      <c r="D186" s="82">
        <f t="shared" ca="1" si="2"/>
        <v>500.04832810562738</v>
      </c>
      <c r="E186" s="82"/>
      <c r="F186" s="214">
        <f t="shared" ca="1" si="3"/>
        <v>440.04832810562738</v>
      </c>
    </row>
    <row r="187" spans="2:6" x14ac:dyDescent="0.2">
      <c r="B187" s="231">
        <f ca="1">IF(Altitude_culmi&gt;350, 90, NA())</f>
        <v>90</v>
      </c>
      <c r="C187" s="5">
        <v>36</v>
      </c>
      <c r="D187" s="82">
        <f t="shared" ca="1" si="2"/>
        <v>506.04832810562738</v>
      </c>
      <c r="E187" s="82"/>
      <c r="F187" s="214">
        <f t="shared" ca="1" si="3"/>
        <v>434.04832810562738</v>
      </c>
    </row>
    <row r="188" spans="2:6" x14ac:dyDescent="0.2">
      <c r="B188" s="231">
        <f ca="1">IF(Altitude_culmi&gt;350, 57, NA())</f>
        <v>57</v>
      </c>
      <c r="C188" s="5">
        <v>48</v>
      </c>
      <c r="D188" s="82">
        <f t="shared" ca="1" si="2"/>
        <v>518.04832810562743</v>
      </c>
      <c r="E188" s="82"/>
      <c r="F188" s="214">
        <f t="shared" ca="1" si="3"/>
        <v>422.04832810562738</v>
      </c>
    </row>
    <row r="189" spans="2:6" x14ac:dyDescent="0.2">
      <c r="B189" s="231">
        <f ca="1">IF(Altitude_culmi&gt;350, 40, NA())</f>
        <v>40</v>
      </c>
      <c r="C189" s="5">
        <v>62</v>
      </c>
      <c r="D189" s="82">
        <f t="shared" ca="1" si="2"/>
        <v>532.04832810562743</v>
      </c>
      <c r="E189" s="82"/>
      <c r="F189" s="214">
        <f t="shared" ca="1" si="3"/>
        <v>408.04832810562738</v>
      </c>
    </row>
    <row r="190" spans="2:6" x14ac:dyDescent="0.2">
      <c r="B190" s="231">
        <f ca="1">IF(Altitude_culmi&gt;350, 20, NA())</f>
        <v>20</v>
      </c>
      <c r="C190" s="5">
        <v>37</v>
      </c>
      <c r="D190" s="82">
        <f t="shared" ca="1" si="2"/>
        <v>507.04832810562738</v>
      </c>
      <c r="E190" s="82"/>
      <c r="F190" s="214">
        <f t="shared" ca="1" si="3"/>
        <v>433.04832810562738</v>
      </c>
    </row>
    <row r="191" spans="2:6" x14ac:dyDescent="0.2">
      <c r="B191" s="231">
        <f ca="1">IF(Altitude_culmi&gt;350, 0.5, NA())</f>
        <v>0.5</v>
      </c>
      <c r="C191" s="5">
        <v>30</v>
      </c>
      <c r="D191" s="82">
        <f t="shared" ca="1" si="2"/>
        <v>500.04832810562738</v>
      </c>
      <c r="E191" s="82"/>
      <c r="F191" s="214">
        <f t="shared" ca="1" si="3"/>
        <v>440.04832810562738</v>
      </c>
    </row>
    <row r="192" spans="2:6" x14ac:dyDescent="0.2">
      <c r="B192" s="231">
        <f ca="1">IF(Altitude_culmi&gt;350, 0.5, NA())</f>
        <v>0.5</v>
      </c>
      <c r="C192" s="5">
        <v>15</v>
      </c>
      <c r="D192" s="82">
        <f t="shared" ca="1" si="2"/>
        <v>485.04832810562738</v>
      </c>
      <c r="E192" s="82"/>
      <c r="F192" s="214">
        <f t="shared" ca="1" si="3"/>
        <v>455.04832810562738</v>
      </c>
    </row>
    <row r="193" spans="2:6" x14ac:dyDescent="0.2">
      <c r="B193" s="231">
        <f ca="1">IF(Altitude_culmi&gt;350, 15, NA())</f>
        <v>15</v>
      </c>
      <c r="C193" s="5">
        <v>0</v>
      </c>
      <c r="D193" s="82">
        <f t="shared" ca="1" si="2"/>
        <v>470.04832810562738</v>
      </c>
      <c r="E193" s="82"/>
      <c r="F193" s="214">
        <f t="shared" ca="1" si="3"/>
        <v>470.04832810562738</v>
      </c>
    </row>
    <row r="194" spans="2:6" x14ac:dyDescent="0.2">
      <c r="B194" s="231">
        <f ca="1">IF(Altitude_culmi&gt;350, 30, NA())</f>
        <v>30</v>
      </c>
      <c r="C194" s="5">
        <v>0</v>
      </c>
      <c r="D194" s="82">
        <f t="shared" ca="1" si="2"/>
        <v>470.04832810562738</v>
      </c>
      <c r="E194" s="82"/>
      <c r="F194" s="214">
        <f t="shared" ca="1" si="3"/>
        <v>470.04832810562738</v>
      </c>
    </row>
    <row r="195" spans="2:6" x14ac:dyDescent="0.2">
      <c r="B195" s="231">
        <f ca="1">IF(Altitude_culmi&gt;350, 37, NA())</f>
        <v>37</v>
      </c>
      <c r="C195" s="5">
        <v>17</v>
      </c>
      <c r="D195" s="82">
        <f t="shared" ca="1" si="2"/>
        <v>487.04832810562738</v>
      </c>
      <c r="E195" s="82"/>
      <c r="F195" s="214">
        <f t="shared" ca="1" si="3"/>
        <v>453.04832810562738</v>
      </c>
    </row>
    <row r="196" spans="2:6" x14ac:dyDescent="0.2">
      <c r="B196" s="231">
        <f ca="1">IF(Altitude_culmi&gt;350, 67, NA())</f>
        <v>67</v>
      </c>
      <c r="C196" s="5">
        <v>11</v>
      </c>
      <c r="D196" s="82">
        <f t="shared" ca="1" si="2"/>
        <v>481.04832810562738</v>
      </c>
      <c r="E196" s="82"/>
      <c r="F196" s="214">
        <f t="shared" ca="1" si="3"/>
        <v>459.04832810562738</v>
      </c>
    </row>
    <row r="197" spans="2:6" x14ac:dyDescent="0.2">
      <c r="B197" s="231">
        <f ca="1">IF(Altitude_culmi&gt;350, 67, NA())</f>
        <v>67</v>
      </c>
      <c r="C197" s="421">
        <v>0</v>
      </c>
      <c r="D197" s="230">
        <f t="shared" ca="1" si="2"/>
        <v>470.04832810562738</v>
      </c>
      <c r="E197" s="230"/>
      <c r="F197" s="216">
        <f t="shared" ca="1" si="3"/>
        <v>470.04832810562738</v>
      </c>
    </row>
    <row r="198" spans="2:6" x14ac:dyDescent="0.2">
      <c r="B198" s="231">
        <f ca="1">IF(Altitude_culmi&gt;350, 100, NA())</f>
        <v>100</v>
      </c>
    </row>
    <row r="199" spans="2:6" x14ac:dyDescent="0.2">
      <c r="B199" s="229">
        <f ca="1">IF(Altitude_culmi&gt;350, 100, NA())</f>
        <v>100</v>
      </c>
    </row>
  </sheetData>
  <sheetProtection password="C6AC" sheet="1"/>
  <protectedRanges>
    <protectedRange sqref="C25" name="Plage1"/>
  </protectedRanges>
  <mergeCells count="41">
    <mergeCell ref="C2:D3"/>
    <mergeCell ref="C7:D7"/>
    <mergeCell ref="C8:D8"/>
    <mergeCell ref="C9:D9"/>
    <mergeCell ref="C6:D6"/>
    <mergeCell ref="C4:D4"/>
    <mergeCell ref="H33:I33"/>
    <mergeCell ref="H32:I32"/>
    <mergeCell ref="F28:G28"/>
    <mergeCell ref="H31:I31"/>
    <mergeCell ref="A38:D38"/>
    <mergeCell ref="H34:I34"/>
    <mergeCell ref="F34:G34"/>
    <mergeCell ref="F33:G33"/>
    <mergeCell ref="F32:G32"/>
    <mergeCell ref="F38:G38"/>
    <mergeCell ref="C22:D22"/>
    <mergeCell ref="C17:D17"/>
    <mergeCell ref="F23:G23"/>
    <mergeCell ref="F27:G27"/>
    <mergeCell ref="F26:G26"/>
    <mergeCell ref="F24:G24"/>
    <mergeCell ref="F25:G25"/>
    <mergeCell ref="C15:D15"/>
    <mergeCell ref="C10:D10"/>
    <mergeCell ref="C19:D19"/>
    <mergeCell ref="C20:D20"/>
    <mergeCell ref="C11:D11"/>
    <mergeCell ref="C13:D13"/>
    <mergeCell ref="C14:D14"/>
    <mergeCell ref="C18:D18"/>
    <mergeCell ref="F49:G49"/>
    <mergeCell ref="F40:G40"/>
    <mergeCell ref="F41:G41"/>
    <mergeCell ref="F42:G42"/>
    <mergeCell ref="F43:G43"/>
    <mergeCell ref="F48:G48"/>
    <mergeCell ref="F44:G44"/>
    <mergeCell ref="F45:G45"/>
    <mergeCell ref="F47:G47"/>
    <mergeCell ref="F46:G46"/>
  </mergeCells>
  <phoneticPr fontId="8" type="noConversion"/>
  <conditionalFormatting sqref="B26">
    <cfRule type="expression" dxfId="26" priority="89" stopIfTrue="1">
      <formula>NOT(OR(C25=F108,C25=F102,Nb_sat="1 satellite"))</formula>
    </cfRule>
  </conditionalFormatting>
  <conditionalFormatting sqref="C26">
    <cfRule type="expression" dxfId="25" priority="91" stopIfTrue="1">
      <formula>NOT(OR(C25=F108,C25=F102))</formula>
    </cfRule>
  </conditionalFormatting>
  <conditionalFormatting sqref="C30">
    <cfRule type="cellIs" dxfId="24" priority="42" stopIfTrue="1" operator="notBetween">
      <formula>5</formula>
      <formula>15</formula>
    </cfRule>
  </conditionalFormatting>
  <conditionalFormatting sqref="D24">
    <cfRule type="expression" dxfId="23" priority="39" stopIfTrue="1">
      <formula>Nb_sat="0 satellite"</formula>
    </cfRule>
  </conditionalFormatting>
  <conditionalFormatting sqref="D25">
    <cfRule type="expression" dxfId="22" priority="2" stopIfTrue="1">
      <formula>Nb_sat="0 satellite"</formula>
    </cfRule>
  </conditionalFormatting>
  <conditionalFormatting sqref="D26:D29 D31:D33">
    <cfRule type="expression" dxfId="21" priority="59" stopIfTrue="1">
      <formula>Nb_sat="0 satellite"</formula>
    </cfRule>
  </conditionalFormatting>
  <conditionalFormatting sqref="D30">
    <cfRule type="expression" dxfId="20" priority="40" stopIfTrue="1">
      <formula>Nb_sat="0 satellite"</formula>
    </cfRule>
    <cfRule type="cellIs" dxfId="19" priority="49" stopIfTrue="1" operator="notBetween">
      <formula>5</formula>
      <formula>15</formula>
    </cfRule>
  </conditionalFormatting>
  <conditionalFormatting sqref="F25">
    <cfRule type="expression" dxfId="18" priority="26" stopIfTrue="1">
      <formula>Nb_sat="0 satellite"</formula>
    </cfRule>
  </conditionalFormatting>
  <conditionalFormatting sqref="F34:I34 F48:M48">
    <cfRule type="expression" dxfId="17" priority="22" stopIfTrue="1">
      <formula>Nb_sat="0 satellite"</formula>
    </cfRule>
  </conditionalFormatting>
  <conditionalFormatting sqref="F49:M49">
    <cfRule type="expression" dxfId="16" priority="21" stopIfTrue="1">
      <formula>Nb_sat="0 satellite"</formula>
    </cfRule>
  </conditionalFormatting>
  <conditionalFormatting sqref="H27 H46">
    <cfRule type="expression" dxfId="15" priority="4" stopIfTrue="1">
      <formula>ABS(Temps_culmi-T_para)&gt;2</formula>
    </cfRule>
  </conditionalFormatting>
  <conditionalFormatting sqref="H32:I32">
    <cfRule type="cellIs" dxfId="14" priority="14" stopIfTrue="1" operator="equal">
      <formula>"Brun/Orange…"</formula>
    </cfRule>
  </conditionalFormatting>
  <conditionalFormatting sqref="H33:I33">
    <cfRule type="cellIs" dxfId="13" priority="13" stopIfTrue="1" operator="equal">
      <formula>"Rouge…"</formula>
    </cfRule>
  </conditionalFormatting>
  <conditionalFormatting sqref="H25:M25">
    <cfRule type="expression" dxfId="12" priority="41" stopIfTrue="1">
      <formula>Nb_sat="0 satellite"</formula>
    </cfRule>
  </conditionalFormatting>
  <conditionalFormatting sqref="J28 J45">
    <cfRule type="expression" dxfId="11" priority="6" stopIfTrue="1">
      <formula>AND(Portee_balistique&gt;200,LEFT(Type_propu,4)="Mini")</formula>
    </cfRule>
  </conditionalFormatting>
  <conditionalFormatting sqref="K23 K41">
    <cfRule type="expression" dxfId="10" priority="44" stopIfTrue="1">
      <formula>AND(Vsortie_de_rampe&lt;18, OR(LEFT(Type_fusee,1)=",",LEFT(Type_fusee,4)="Mini",LEFT(Type_fusee,1)="R"))</formula>
    </cfRule>
    <cfRule type="expression" dxfId="9" priority="45" stopIfTrue="1">
      <formula>AND(Vsortie_de_rampe&lt;20, RIGHT(Type_fusee,1)=".")</formula>
    </cfRule>
  </conditionalFormatting>
  <conditionalFormatting sqref="K40">
    <cfRule type="expression" dxfId="8" priority="34" stopIfTrue="1">
      <formula>AND( $K$21=0, OR( $I$21&gt;0, $J$21&gt;0 ) )</formula>
    </cfRule>
  </conditionalFormatting>
  <conditionalFormatting sqref="N33">
    <cfRule type="expression" dxfId="7" priority="15" stopIfTrue="1">
      <formula>ROUND(SUM(C23:L34),0)=1914</formula>
    </cfRule>
  </conditionalFormatting>
  <conditionalFormatting sqref="N34">
    <cfRule type="expression" dxfId="6" priority="16" stopIfTrue="1">
      <formula>$N$34="propu NOK"</formula>
    </cfRule>
  </conditionalFormatting>
  <dataValidations count="14">
    <dataValidation type="decimal" operator="greaterThanOrEqual" showErrorMessage="1" sqref="H40:K40 C29 C26 D26:D27" xr:uid="{00000000-0002-0000-0100-000000000000}">
      <formula1>0</formula1>
    </dataValidation>
    <dataValidation type="list" allowBlank="1" showInputMessage="1" showErrorMessage="1" sqref="H50" xr:uid="{00000000-0002-0000-0100-000001000000}">
      <formula1>gao</formula1>
    </dataValidation>
    <dataValidation operator="greaterThanOrEqual" showErrorMessage="1" sqref="D29 C27" xr:uid="{00000000-0002-0000-0100-000002000000}"/>
    <dataValidation type="decimal" errorStyle="warning" allowBlank="1" showErrorMessage="1" errorTitle="Cx para" error="Le Cx du parachute est souvent compris entre 0 et 2._x000a_Cx of parachute might be between 0 a 2." sqref="C28:D28" xr:uid="{00000000-0002-0000-0100-000003000000}">
      <formula1>0</formula1>
      <formula2>2</formula2>
    </dataValidation>
    <dataValidation sqref="C11:D11" xr:uid="{00000000-0002-0000-0100-000004000000}"/>
    <dataValidation operator="greaterThanOrEqual" sqref="C10:D10" xr:uid="{00000000-0002-0000-0100-000005000000}"/>
    <dataValidation type="decimal" errorStyle="warning" showErrorMessage="1" errorTitle="Cx" error="Le Cx est souvent compris entre 0,3 et 0,7._x000a_Cx may be between 0,3 &amp; 0,7." sqref="C15:D15" xr:uid="{00000000-0002-0000-0100-000006000000}">
      <formula1>0.3</formula1>
      <formula2>0.7</formula2>
    </dataValidation>
    <dataValidation type="decimal" operator="greaterThanOrEqual" allowBlank="1" showErrorMessage="1" sqref="C18:D18" xr:uid="{00000000-0002-0000-0100-000007000000}">
      <formula1>0</formula1>
    </dataValidation>
    <dataValidation type="decimal" errorStyle="information" allowBlank="1" showInputMessage="1" showErrorMessage="1" errorTitle="Angle de la rampe" error="Il est conseillé d'incliner à rampe entre 75° et 85° par rapport à l'horizontale._x000a_This Angle is recommended between 75° &amp; 85°." sqref="C19:D19" xr:uid="{00000000-0002-0000-0100-000008000000}">
      <formula1>75</formula1>
      <formula2>85</formula2>
    </dataValidation>
    <dataValidation type="whole" operator="greaterThanOrEqual" allowBlank="1" showErrorMessage="1" sqref="C20:D20" xr:uid="{00000000-0002-0000-0100-000009000000}">
      <formula1>0</formula1>
    </dataValidation>
    <dataValidation type="whole" allowBlank="1" showErrorMessage="1" sqref="M40" xr:uid="{00000000-0002-0000-0100-00000A000000}">
      <formula1>-360</formula1>
      <formula2>360</formula2>
    </dataValidation>
    <dataValidation type="list" showInputMessage="1" showErrorMessage="1" sqref="D23" xr:uid="{00000000-0002-0000-0100-00000B000000}">
      <formula1>Menu_sat</formula1>
    </dataValidation>
    <dataValidation type="whole" operator="greaterThanOrEqual" showErrorMessage="1" sqref="B43 B45 B51 B53" xr:uid="{00000000-0002-0000-0100-00000C000000}">
      <formula1>0</formula1>
    </dataValidation>
    <dataValidation type="list" showInputMessage="1" showErrorMessage="1" sqref="C25" xr:uid="{00000000-0002-0000-0100-00000D000000}">
      <formula1>IF(Depotage&lt;&gt;0,IF(LEFT(Type_propu,5)="Micro",$F$108,$F$103:$F$108),$F$102)</formula1>
    </dataValidation>
  </dataValidations>
  <hyperlinks>
    <hyperlink ref="B11" location="Stabilito!C17" display="Stabilito!C17" xr:uid="{00000000-0004-0000-0100-000000000000}"/>
  </hyperlinks>
  <printOptions horizontalCentered="1" verticalCentered="1"/>
  <pageMargins left="7.874015748031496E-2" right="7.874015748031496E-2" top="7.874015748031496E-2" bottom="7.874015748031496E-2" header="0" footer="0"/>
  <pageSetup paperSize="9" firstPageNumber="0" orientation="landscape" horizontalDpi="300" verticalDpi="300" r:id="rId1"/>
  <headerFooter alignWithMargins="0"/>
  <ignoredErrors>
    <ignoredError sqref="B126:B132 B138:B149 C149 C151 C136:C138 C140:C147 C124:C130" formula="1"/>
    <ignoredError sqref="H44:I44 H47 J44:M44" evalError="1"/>
    <ignoredError sqref="G103:G107" numberStoredAsText="1"/>
    <ignoredError sqref="D24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24424" r:id="rId4" name="Spinner 1064">
              <controlPr defaultSize="0" print="0" autoPict="0">
                <anchor moveWithCells="1" sizeWithCells="1">
                  <from>
                    <xdr:col>3</xdr:col>
                    <xdr:colOff>638175</xdr:colOff>
                    <xdr:row>9</xdr:row>
                    <xdr:rowOff>9525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89" r:id="rId5" name="Spinner 1229">
              <controlPr defaultSize="0" print="0" autoPict="0">
                <anchor moveWithCells="1" sizeWithCells="1">
                  <from>
                    <xdr:col>1</xdr:col>
                    <xdr:colOff>981075</xdr:colOff>
                    <xdr:row>42</xdr:row>
                    <xdr:rowOff>9525</xdr:rowOff>
                  </from>
                  <to>
                    <xdr:col>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90" r:id="rId6" name="Spinner 1230">
              <controlPr defaultSize="0" print="0" autoPict="0">
                <anchor moveWithCells="1" sizeWithCells="1">
                  <from>
                    <xdr:col>1</xdr:col>
                    <xdr:colOff>981075</xdr:colOff>
                    <xdr:row>44</xdr:row>
                    <xdr:rowOff>9525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91" r:id="rId7" name="Spinner 1231">
              <controlPr defaultSize="0" print="0" autoPict="0">
                <anchor moveWithCells="1" sizeWithCells="1">
                  <from>
                    <xdr:col>1</xdr:col>
                    <xdr:colOff>981075</xdr:colOff>
                    <xdr:row>50</xdr:row>
                    <xdr:rowOff>9525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462" r:id="rId8" name="Spinner 4550">
              <controlPr defaultSize="0" print="0" autoPict="0">
                <anchor moveWithCells="1" sizeWithCells="1">
                  <from>
                    <xdr:col>1</xdr:col>
                    <xdr:colOff>981075</xdr:colOff>
                    <xdr:row>52</xdr:row>
                    <xdr:rowOff>9525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pageSetUpPr fitToPage="1"/>
  </sheetPr>
  <dimension ref="B75:B146"/>
  <sheetViews>
    <sheetView showGridLines="0" zoomScaleNormal="100" workbookViewId="0">
      <selection activeCell="M67" sqref="M67"/>
    </sheetView>
  </sheetViews>
  <sheetFormatPr baseColWidth="10" defaultRowHeight="12.75" x14ac:dyDescent="0.2"/>
  <sheetData>
    <row r="75" spans="2:2" x14ac:dyDescent="0.2">
      <c r="B75" t="s">
        <v>44</v>
      </c>
    </row>
    <row r="76" spans="2:2" x14ac:dyDescent="0.2">
      <c r="B76" t="str">
        <f>IF(Lang="Français","Ces courbes représentent la trajectoire de la fusée dans l'hypothèse d'une descente balistique (sans ouverture du parachute). ","These curves show the rocket trajectory in case of ballistic fall (without parachute).")</f>
        <v xml:space="preserve">Ces courbes représentent la trajectoire de la fusée dans l'hypothèse d'une descente balistique (sans ouverture du parachute). </v>
      </c>
    </row>
    <row r="77" spans="2:2" x14ac:dyDescent="0.2">
      <c r="B77" t="str">
        <f>IF(Lang="Français","L'accélération longitudinale gravitationnelle définit le mouvement (dérivée de la vitesse) : Acc = (Poussee - Traînée ± Poids) / m",IF(Lang="English","Longitudinal Gravitaionnal Acceleration defines the motion (velocity derivative) : Acc = (Thrust - Drag ± Weight)/m",""))</f>
        <v>L'accélération longitudinale gravitationnelle définit le mouvement (dérivée de la vitesse) : Acc = (Poussee - Traînée ± Poids) / m</v>
      </c>
    </row>
    <row r="78" spans="2:2" x14ac:dyDescent="0.2">
      <c r="B78" t="str">
        <f>IF(Lang="Français","La charge ''non-gravitationnelle'' vue par un capteur d'accélération (masse-ressort) est : Charge = (Poussée - Traînée) / m",IF(Lang="English","''Non-Gravitaionnal'' Load seen by an acceleration sensor (mass-spring) is : Load = (Thrust - Drag) / m",""))</f>
        <v>La charge ''non-gravitationnelle'' vue par un capteur d'accélération (masse-ressort) est : Charge = (Poussée - Traînée) / m</v>
      </c>
    </row>
    <row r="79" spans="2:2" x14ac:dyDescent="0.2">
      <c r="B79" t="str">
        <f>IF(Lang="Français","Exemples : Si Poussée = Poids, Vitesse constante, Acc nulle, Charge = 1G ; En chute libre, Acc = -1G, Charge = 0",IF(Lang="English","",""))</f>
        <v>Exemples : Si Poussée = Poids, Vitesse constante, Acc nulle, Charge = 1G ; En chute libre, Acc = -1G, Charge = 0</v>
      </c>
    </row>
    <row r="131" spans="2:2" x14ac:dyDescent="0.2">
      <c r="B131" s="24" t="str">
        <f>IF(Lang="Français","Textes pour les graphiques :","Texts for graphics :")</f>
        <v>Textes pour les graphiques :</v>
      </c>
    </row>
    <row r="133" spans="2:2" x14ac:dyDescent="0.2">
      <c r="B133" t="str">
        <f>IF(Lang="Français","Traînée",IF(Lang="English","Drag",""))</f>
        <v>Traînée</v>
      </c>
    </row>
    <row r="134" spans="2:2" x14ac:dyDescent="0.2">
      <c r="B134" t="str">
        <f>IF(Lang="Français","Poussée",IF(Lang="English","Thrust",""))</f>
        <v>Poussée</v>
      </c>
    </row>
    <row r="135" spans="2:2" x14ac:dyDescent="0.2">
      <c r="B135" t="str">
        <f>IF(Lang="Français","Poids",IF(Lang="English","Weight",""))</f>
        <v>Poids</v>
      </c>
    </row>
    <row r="137" spans="2:2" x14ac:dyDescent="0.2">
      <c r="B137" t="str">
        <f>IF(Lang="Français","Accélération longitudinale",IF(Lang="English","Longitudinal Acceleration",""))</f>
        <v>Accélération longitudinale</v>
      </c>
    </row>
    <row r="138" spans="2:2" x14ac:dyDescent="0.2">
      <c r="B138" t="str">
        <f>IF(Lang="Français","Charge vue par un capteur",IF(Lang="English","Load seen by a sensor",""))</f>
        <v>Charge vue par un capteur</v>
      </c>
    </row>
    <row r="140" spans="2:2" x14ac:dyDescent="0.2">
      <c r="B140" t="str">
        <f>IF(Lang="Français","Vitesse",IF(Lang="English","Velocity",""))</f>
        <v>Vitesse</v>
      </c>
    </row>
    <row r="141" spans="2:2" x14ac:dyDescent="0.2">
      <c r="B141" t="str">
        <f>IF(Lang="Français","Vitesse [m/s]",IF(Lang="English","Velocity [m/s]",""))</f>
        <v>Vitesse [m/s]</v>
      </c>
    </row>
    <row r="143" spans="2:2" x14ac:dyDescent="0.2">
      <c r="B143" t="s">
        <v>6</v>
      </c>
    </row>
    <row r="144" spans="2:2" x14ac:dyDescent="0.2">
      <c r="B144" t="str">
        <f>IF(Lang="Français","Portée",IF(Lang="English","Range",""))</f>
        <v>Portée</v>
      </c>
    </row>
    <row r="146" spans="2:2" x14ac:dyDescent="0.2">
      <c r="B146" t="str">
        <f>IF(Lang="Français","Temps [s]",IF(Lang="English","Time [s]",""))</f>
        <v>Temps [s]</v>
      </c>
    </row>
  </sheetData>
  <sheetProtection password="C6AC" sheet="1"/>
  <phoneticPr fontId="8" type="noConversion"/>
  <printOptions horizontalCentered="1" verticalCentered="1"/>
  <pageMargins left="0.39370078740157483" right="0.39370078740157483" top="0.39370078740157483" bottom="0.39370078740157483" header="0" footer="0"/>
  <pageSetup scale="76" firstPageNumber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5">
    <pageSetUpPr fitToPage="1"/>
  </sheetPr>
  <dimension ref="A1:Z346"/>
  <sheetViews>
    <sheetView showGridLines="0" zoomScale="80" zoomScaleNormal="80" workbookViewId="0">
      <selection activeCell="K6" sqref="K6"/>
    </sheetView>
  </sheetViews>
  <sheetFormatPr baseColWidth="10" defaultRowHeight="12.75" x14ac:dyDescent="0.2"/>
  <cols>
    <col min="1" max="1" width="22.42578125" bestFit="1" customWidth="1"/>
  </cols>
  <sheetData>
    <row r="1" spans="1:26" ht="13.5" thickBot="1" x14ac:dyDescent="0.25">
      <c r="A1" s="362" t="str">
        <f>IF(Lang="Français","Moteur sélectionné","Selected motor")</f>
        <v>Moteur sélectionné</v>
      </c>
      <c r="B1" s="362" t="s">
        <v>32</v>
      </c>
    </row>
    <row r="2" spans="1:26" ht="13.5" thickBot="1" x14ac:dyDescent="0.25">
      <c r="A2" s="352" t="str">
        <f>Propu</f>
        <v>Orignal (Pro75-3G C)</v>
      </c>
      <c r="B2" s="352">
        <f>VLOOKUP(A2,A26:B314,2,FALSE)</f>
        <v>289</v>
      </c>
      <c r="C2" s="363" t="s">
        <v>116</v>
      </c>
      <c r="D2" s="353">
        <f ca="1">INDIRECT(ADDRESS(B2,4))</f>
        <v>3739.0284999999994</v>
      </c>
      <c r="E2" s="363" t="s">
        <v>115</v>
      </c>
      <c r="F2" s="354">
        <f ca="1">INDIRECT(ADDRESS(B2,6))</f>
        <v>203.4941790441234</v>
      </c>
      <c r="G2" s="363" t="s">
        <v>57</v>
      </c>
      <c r="H2" s="355">
        <f ca="1">INDIRECT(ADDRESS(B2,8))</f>
        <v>3.5110000000000001</v>
      </c>
      <c r="I2" s="363" t="s">
        <v>272</v>
      </c>
      <c r="J2" s="356">
        <f ca="1">INDIRECT(ADDRESS(B2,10))</f>
        <v>1.8730000000000002</v>
      </c>
      <c r="K2" s="363" t="s">
        <v>59</v>
      </c>
      <c r="L2" s="355">
        <f ca="1">INDIRECT(ADDRESS(B2,12))</f>
        <v>1.6379999999999999</v>
      </c>
      <c r="M2" s="363" t="s">
        <v>58</v>
      </c>
      <c r="N2" s="357">
        <f ca="1">INDIRECT(ADDRESS(B2,14))</f>
        <v>243</v>
      </c>
      <c r="O2" s="363" t="s">
        <v>60</v>
      </c>
      <c r="P2" s="357">
        <f ca="1">INDIRECT(ADDRESS(B2,16))</f>
        <v>243</v>
      </c>
      <c r="Q2" s="363" t="s">
        <v>61</v>
      </c>
      <c r="R2" s="357">
        <f ca="1">INDIRECT(ADDRESS(B2,18))</f>
        <v>486</v>
      </c>
      <c r="S2" s="363" t="s">
        <v>62</v>
      </c>
      <c r="T2" s="357">
        <f ca="1">INDIRECT(ADDRESS(B2,20))</f>
        <v>75</v>
      </c>
      <c r="U2" s="363" t="s">
        <v>55</v>
      </c>
      <c r="V2" s="358" t="str">
        <f ca="1">INDIRECT(ADDRESS(B2,22))</f>
        <v>Fusex</v>
      </c>
      <c r="W2" s="463" t="s">
        <v>394</v>
      </c>
      <c r="X2" s="464">
        <f ca="1">INDIRECT(ADDRESS(B2,24))</f>
        <v>0</v>
      </c>
      <c r="Y2" s="463" t="s">
        <v>393</v>
      </c>
      <c r="Z2" s="358">
        <f ca="1">INDIRECT(ADDRESS(B2,26))</f>
        <v>0</v>
      </c>
    </row>
    <row r="3" spans="1:26" x14ac:dyDescent="0.2">
      <c r="A3" s="362" t="str">
        <f>IF(Lang="Français","Temps (en s)","Time (s)")</f>
        <v>Temps (en s)</v>
      </c>
      <c r="B3" s="364">
        <f t="shared" ref="B3:Y3" ca="1" si="0">INDIRECT(ADDRESS($B2+1,COLUMN(B3)))</f>
        <v>0</v>
      </c>
      <c r="C3" s="365">
        <f t="shared" ca="1" si="0"/>
        <v>0.01</v>
      </c>
      <c r="D3" s="365">
        <f t="shared" ca="1" si="0"/>
        <v>0.1</v>
      </c>
      <c r="E3" s="365">
        <f t="shared" ca="1" si="0"/>
        <v>0.12</v>
      </c>
      <c r="F3" s="365">
        <f t="shared" ca="1" si="0"/>
        <v>0.26</v>
      </c>
      <c r="G3" s="365">
        <f t="shared" ca="1" si="0"/>
        <v>0.71</v>
      </c>
      <c r="H3" s="365">
        <f t="shared" ca="1" si="0"/>
        <v>1.28</v>
      </c>
      <c r="I3" s="365">
        <f t="shared" ca="1" si="0"/>
        <v>2.0499999999999998</v>
      </c>
      <c r="J3" s="365">
        <f t="shared" ca="1" si="0"/>
        <v>2.41</v>
      </c>
      <c r="K3" s="365">
        <f t="shared" ca="1" si="0"/>
        <v>2.83</v>
      </c>
      <c r="L3" s="365">
        <f t="shared" ca="1" si="0"/>
        <v>3.25</v>
      </c>
      <c r="M3" s="365">
        <f t="shared" ca="1" si="0"/>
        <v>3.65</v>
      </c>
      <c r="N3" s="365">
        <f t="shared" ca="1" si="0"/>
        <v>3.8</v>
      </c>
      <c r="O3" s="365">
        <f t="shared" ca="1" si="0"/>
        <v>4</v>
      </c>
      <c r="P3" s="365">
        <f t="shared" ca="1" si="0"/>
        <v>4.0999999999999996</v>
      </c>
      <c r="Q3" s="365">
        <f t="shared" ca="1" si="0"/>
        <v>4.1900000000000004</v>
      </c>
      <c r="R3" s="365">
        <f t="shared" ca="1" si="0"/>
        <v>4.3099999999999996</v>
      </c>
      <c r="S3" s="365">
        <f t="shared" ca="1" si="0"/>
        <v>4.41</v>
      </c>
      <c r="T3" s="365">
        <f t="shared" ca="1" si="0"/>
        <v>4.5199999999999996</v>
      </c>
      <c r="U3" s="365">
        <f t="shared" ca="1" si="0"/>
        <v>4.5999999999999996</v>
      </c>
      <c r="V3" s="365">
        <f t="shared" ca="1" si="0"/>
        <v>4.6500000000000004</v>
      </c>
      <c r="W3" s="365">
        <f t="shared" ca="1" si="0"/>
        <v>4.67</v>
      </c>
      <c r="X3" s="365">
        <f ca="1">INDIRECT(ADDRESS($B2+1,COLUMN(X3)))</f>
        <v>4.68</v>
      </c>
      <c r="Y3" s="366">
        <f t="shared" ca="1" si="0"/>
        <v>1000</v>
      </c>
    </row>
    <row r="4" spans="1:26" ht="13.5" thickBot="1" x14ac:dyDescent="0.25">
      <c r="A4" s="379" t="str">
        <f>IF(Lang="Français","Poussée (en N)","Thrust (N)")</f>
        <v>Poussée (en N)</v>
      </c>
      <c r="B4" s="367">
        <f t="shared" ref="B4:Y4" ca="1" si="1">INDIRECT(ADDRESS($B2+2,COLUMN(B3)))</f>
        <v>27</v>
      </c>
      <c r="C4" s="368">
        <f t="shared" ca="1" si="1"/>
        <v>402.4</v>
      </c>
      <c r="D4" s="368">
        <f t="shared" ca="1" si="1"/>
        <v>1286</v>
      </c>
      <c r="E4" s="368">
        <f t="shared" ca="1" si="1"/>
        <v>1257</v>
      </c>
      <c r="F4" s="368">
        <f t="shared" ca="1" si="1"/>
        <v>1042</v>
      </c>
      <c r="G4" s="368">
        <f t="shared" ca="1" si="1"/>
        <v>1027</v>
      </c>
      <c r="H4" s="368">
        <f t="shared" ca="1" si="1"/>
        <v>998.4</v>
      </c>
      <c r="I4" s="368">
        <f t="shared" ca="1" si="1"/>
        <v>901.4</v>
      </c>
      <c r="J4" s="368">
        <f t="shared" ca="1" si="1"/>
        <v>849.6</v>
      </c>
      <c r="K4" s="368">
        <f t="shared" ca="1" si="1"/>
        <v>763.5</v>
      </c>
      <c r="L4" s="368">
        <f t="shared" ca="1" si="1"/>
        <v>707.1</v>
      </c>
      <c r="M4" s="368">
        <f t="shared" ca="1" si="1"/>
        <v>655.1</v>
      </c>
      <c r="N4" s="368">
        <f t="shared" ca="1" si="1"/>
        <v>651.70000000000005</v>
      </c>
      <c r="O4" s="368">
        <f t="shared" ca="1" si="1"/>
        <v>624.1</v>
      </c>
      <c r="P4" s="368">
        <f t="shared" ca="1" si="1"/>
        <v>601.29999999999995</v>
      </c>
      <c r="Q4" s="368">
        <f t="shared" ca="1" si="1"/>
        <v>536.20000000000005</v>
      </c>
      <c r="R4" s="368">
        <f t="shared" ca="1" si="1"/>
        <v>415.7</v>
      </c>
      <c r="S4" s="368">
        <f t="shared" ca="1" si="1"/>
        <v>270.2</v>
      </c>
      <c r="T4" s="368">
        <f t="shared" ca="1" si="1"/>
        <v>140.19999999999999</v>
      </c>
      <c r="U4" s="368">
        <f t="shared" ca="1" si="1"/>
        <v>76.900000000000006</v>
      </c>
      <c r="V4" s="368">
        <f t="shared" ca="1" si="1"/>
        <v>54.9</v>
      </c>
      <c r="W4" s="368">
        <f t="shared" ca="1" si="1"/>
        <v>40.200000000000003</v>
      </c>
      <c r="X4" s="368">
        <f ca="1">INDIRECT(ADDRESS($B2+2,COLUMN(X3)))</f>
        <v>0</v>
      </c>
      <c r="Y4" s="369">
        <f t="shared" ca="1" si="1"/>
        <v>0</v>
      </c>
    </row>
    <row r="5" spans="1:26" x14ac:dyDescent="0.2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6" x14ac:dyDescent="0.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6" x14ac:dyDescent="0.2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26" x14ac:dyDescent="0.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26" x14ac:dyDescent="0.2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26" x14ac:dyDescent="0.2">
      <c r="B10" s="12"/>
      <c r="C10" s="12"/>
      <c r="D10" s="12"/>
      <c r="E10" s="12"/>
      <c r="F10" s="12"/>
      <c r="G10" s="12"/>
      <c r="H10" s="12"/>
      <c r="I10" s="12"/>
      <c r="J10" s="12"/>
    </row>
    <row r="11" spans="1:26" x14ac:dyDescent="0.2">
      <c r="B11" s="12"/>
      <c r="C11" s="12"/>
      <c r="D11" s="12"/>
      <c r="E11" s="12"/>
      <c r="F11" s="12"/>
      <c r="G11" s="12"/>
      <c r="H11" s="12"/>
      <c r="I11" s="12"/>
      <c r="J11" s="12"/>
    </row>
    <row r="12" spans="1:26" x14ac:dyDescent="0.2">
      <c r="B12" s="12"/>
      <c r="C12" s="12"/>
      <c r="D12" s="12"/>
      <c r="E12" s="12"/>
      <c r="F12" s="12"/>
      <c r="G12" s="12"/>
      <c r="H12" s="12"/>
      <c r="I12" s="12"/>
      <c r="J12" s="12"/>
    </row>
    <row r="13" spans="1:26" x14ac:dyDescent="0.2">
      <c r="B13" s="12"/>
      <c r="C13" s="12"/>
      <c r="D13" s="12"/>
      <c r="E13" s="12"/>
      <c r="F13" s="12"/>
      <c r="G13" s="12"/>
      <c r="H13" s="12"/>
      <c r="I13" s="12"/>
      <c r="J13" s="12"/>
    </row>
    <row r="14" spans="1:26" x14ac:dyDescent="0.2">
      <c r="B14" s="12"/>
      <c r="C14" s="12"/>
      <c r="D14" s="12"/>
      <c r="E14" s="12"/>
      <c r="F14" s="12"/>
      <c r="G14" s="12"/>
      <c r="H14" s="12"/>
      <c r="I14" s="12"/>
      <c r="J14" s="12"/>
    </row>
    <row r="15" spans="1:26" x14ac:dyDescent="0.2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26" x14ac:dyDescent="0.2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25" x14ac:dyDescent="0.2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25" x14ac:dyDescent="0.2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2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2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x14ac:dyDescent="0.2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x14ac:dyDescent="0.2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x14ac:dyDescent="0.2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5" spans="1:25" ht="13.5" thickBot="1" x14ac:dyDescent="0.25">
      <c r="A25" s="6" t="s">
        <v>275</v>
      </c>
    </row>
    <row r="26" spans="1:25" ht="13.5" thickBot="1" x14ac:dyDescent="0.25">
      <c r="A26" s="361" t="s">
        <v>308</v>
      </c>
      <c r="B26" s="359">
        <f>ROW(A26)</f>
        <v>26</v>
      </c>
      <c r="C26" s="363" t="s">
        <v>116</v>
      </c>
      <c r="D26" s="353">
        <f>SUM(B29:Y29)</f>
        <v>9.8449999999999989</v>
      </c>
      <c r="E26" s="363" t="s">
        <v>115</v>
      </c>
      <c r="F26" s="399">
        <f>D26/g/J26</f>
        <v>3.3452259599048584</v>
      </c>
      <c r="G26" s="363" t="s">
        <v>57</v>
      </c>
      <c r="H26" s="64">
        <v>0.3</v>
      </c>
      <c r="I26" s="363" t="s">
        <v>270</v>
      </c>
      <c r="J26" s="355">
        <f>H26-L26</f>
        <v>0.3</v>
      </c>
      <c r="K26" s="363" t="s">
        <v>271</v>
      </c>
      <c r="L26" s="64">
        <v>0</v>
      </c>
      <c r="M26" s="363" t="s">
        <v>58</v>
      </c>
      <c r="N26" s="65">
        <f>0.2*R26</f>
        <v>60</v>
      </c>
      <c r="O26" s="363" t="s">
        <v>60</v>
      </c>
      <c r="P26" s="65">
        <v>150</v>
      </c>
      <c r="Q26" s="363" t="s">
        <v>61</v>
      </c>
      <c r="R26" s="65">
        <v>300</v>
      </c>
      <c r="S26" s="363" t="s">
        <v>62</v>
      </c>
      <c r="T26" s="65">
        <v>90</v>
      </c>
      <c r="U26" s="363" t="s">
        <v>55</v>
      </c>
      <c r="V26" s="66" t="s">
        <v>275</v>
      </c>
      <c r="W26" s="12"/>
      <c r="X26" s="12"/>
      <c r="Y26" s="12"/>
    </row>
    <row r="27" spans="1:25" x14ac:dyDescent="0.2">
      <c r="A27" s="362" t="s">
        <v>33</v>
      </c>
      <c r="B27" s="370">
        <v>0</v>
      </c>
      <c r="C27" s="371">
        <v>1E-3</v>
      </c>
      <c r="D27" s="371">
        <v>0.02</v>
      </c>
      <c r="E27" s="371">
        <v>3.7999999999999999E-2</v>
      </c>
      <c r="F27" s="371">
        <v>0.04</v>
      </c>
      <c r="G27" s="371">
        <v>0.04</v>
      </c>
      <c r="H27" s="371">
        <v>0.04</v>
      </c>
      <c r="I27" s="371">
        <v>0.04</v>
      </c>
      <c r="J27" s="371">
        <v>0.04</v>
      </c>
      <c r="K27" s="371">
        <v>0.04</v>
      </c>
      <c r="L27" s="371">
        <v>0.04</v>
      </c>
      <c r="M27" s="371">
        <v>0.04</v>
      </c>
      <c r="N27" s="371">
        <v>0.04</v>
      </c>
      <c r="O27" s="371">
        <v>0.04</v>
      </c>
      <c r="P27" s="371">
        <v>0.04</v>
      </c>
      <c r="Q27" s="371">
        <v>0.04</v>
      </c>
      <c r="R27" s="371">
        <v>0.04</v>
      </c>
      <c r="S27" s="371">
        <v>0.04</v>
      </c>
      <c r="T27" s="371">
        <v>0.04</v>
      </c>
      <c r="U27" s="371">
        <v>0.04</v>
      </c>
      <c r="V27" s="371">
        <v>0.04</v>
      </c>
      <c r="W27" s="371">
        <v>0.04</v>
      </c>
      <c r="X27" s="371">
        <v>0.04</v>
      </c>
      <c r="Y27" s="381">
        <v>1000</v>
      </c>
    </row>
    <row r="28" spans="1:25" x14ac:dyDescent="0.2">
      <c r="A28" s="378" t="s">
        <v>34</v>
      </c>
      <c r="B28" s="372">
        <v>0</v>
      </c>
      <c r="C28" s="373">
        <v>310</v>
      </c>
      <c r="D28" s="373">
        <v>250</v>
      </c>
      <c r="E28" s="373">
        <v>212</v>
      </c>
      <c r="F28" s="373">
        <v>0</v>
      </c>
      <c r="G28" s="373">
        <v>0</v>
      </c>
      <c r="H28" s="373">
        <v>0</v>
      </c>
      <c r="I28" s="373">
        <v>0</v>
      </c>
      <c r="J28" s="373">
        <v>0</v>
      </c>
      <c r="K28" s="373">
        <v>0</v>
      </c>
      <c r="L28" s="373">
        <v>0</v>
      </c>
      <c r="M28" s="373">
        <v>0</v>
      </c>
      <c r="N28" s="373">
        <v>0</v>
      </c>
      <c r="O28" s="373">
        <v>0</v>
      </c>
      <c r="P28" s="373">
        <v>0</v>
      </c>
      <c r="Q28" s="373">
        <v>0</v>
      </c>
      <c r="R28" s="373">
        <v>0</v>
      </c>
      <c r="S28" s="373">
        <v>0</v>
      </c>
      <c r="T28" s="373">
        <v>0</v>
      </c>
      <c r="U28" s="373">
        <v>0</v>
      </c>
      <c r="V28" s="373">
        <v>0</v>
      </c>
      <c r="W28" s="373">
        <v>0</v>
      </c>
      <c r="X28" s="373">
        <v>0</v>
      </c>
      <c r="Y28" s="382">
        <v>0</v>
      </c>
    </row>
    <row r="29" spans="1:25" ht="13.5" thickBot="1" x14ac:dyDescent="0.25">
      <c r="A29" s="379" t="s">
        <v>117</v>
      </c>
      <c r="B29" s="374">
        <f t="shared" ref="B29:X29" si="2">(C28+B28)*(C27-B27)/2</f>
        <v>0.155</v>
      </c>
      <c r="C29" s="375">
        <f t="shared" si="2"/>
        <v>5.32</v>
      </c>
      <c r="D29" s="375">
        <f t="shared" si="2"/>
        <v>4.1579999999999995</v>
      </c>
      <c r="E29" s="375">
        <f t="shared" si="2"/>
        <v>0.21200000000000019</v>
      </c>
      <c r="F29" s="375">
        <f t="shared" si="2"/>
        <v>0</v>
      </c>
      <c r="G29" s="375">
        <f t="shared" si="2"/>
        <v>0</v>
      </c>
      <c r="H29" s="375">
        <f t="shared" si="2"/>
        <v>0</v>
      </c>
      <c r="I29" s="375">
        <f t="shared" si="2"/>
        <v>0</v>
      </c>
      <c r="J29" s="375">
        <f t="shared" si="2"/>
        <v>0</v>
      </c>
      <c r="K29" s="375">
        <f t="shared" si="2"/>
        <v>0</v>
      </c>
      <c r="L29" s="375">
        <f t="shared" si="2"/>
        <v>0</v>
      </c>
      <c r="M29" s="375">
        <f t="shared" si="2"/>
        <v>0</v>
      </c>
      <c r="N29" s="375">
        <f t="shared" si="2"/>
        <v>0</v>
      </c>
      <c r="O29" s="375">
        <f t="shared" si="2"/>
        <v>0</v>
      </c>
      <c r="P29" s="375">
        <f t="shared" si="2"/>
        <v>0</v>
      </c>
      <c r="Q29" s="375">
        <f t="shared" si="2"/>
        <v>0</v>
      </c>
      <c r="R29" s="375">
        <f t="shared" si="2"/>
        <v>0</v>
      </c>
      <c r="S29" s="375">
        <f t="shared" si="2"/>
        <v>0</v>
      </c>
      <c r="T29" s="375">
        <f t="shared" si="2"/>
        <v>0</v>
      </c>
      <c r="U29" s="375">
        <f t="shared" si="2"/>
        <v>0</v>
      </c>
      <c r="V29" s="375">
        <f t="shared" si="2"/>
        <v>0</v>
      </c>
      <c r="W29" s="375">
        <f t="shared" si="2"/>
        <v>0</v>
      </c>
      <c r="X29" s="375">
        <f t="shared" si="2"/>
        <v>0</v>
      </c>
      <c r="Y29" s="369"/>
    </row>
    <row r="30" spans="1:25" ht="13.5" thickBot="1" x14ac:dyDescent="0.25">
      <c r="A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3.5" thickBot="1" x14ac:dyDescent="0.25">
      <c r="A31" s="361" t="s">
        <v>309</v>
      </c>
      <c r="B31" s="359">
        <f>ROW(A31)</f>
        <v>31</v>
      </c>
      <c r="C31" s="363" t="s">
        <v>116</v>
      </c>
      <c r="D31" s="353">
        <f>SUM(B34:Y34)</f>
        <v>13.814500000000002</v>
      </c>
      <c r="E31" s="363" t="s">
        <v>115</v>
      </c>
      <c r="F31" s="399">
        <f>D31/g/J31</f>
        <v>3.1293464718541175</v>
      </c>
      <c r="G31" s="363" t="s">
        <v>57</v>
      </c>
      <c r="H31" s="64">
        <v>0.45</v>
      </c>
      <c r="I31" s="363" t="s">
        <v>270</v>
      </c>
      <c r="J31" s="355">
        <f>H31-L31</f>
        <v>0.45</v>
      </c>
      <c r="K31" s="363" t="s">
        <v>271</v>
      </c>
      <c r="L31" s="64">
        <v>0</v>
      </c>
      <c r="M31" s="363" t="s">
        <v>58</v>
      </c>
      <c r="N31" s="65">
        <f>0.3*R31</f>
        <v>90</v>
      </c>
      <c r="O31" s="363" t="s">
        <v>60</v>
      </c>
      <c r="P31" s="65">
        <v>150</v>
      </c>
      <c r="Q31" s="363" t="s">
        <v>61</v>
      </c>
      <c r="R31" s="65">
        <v>300</v>
      </c>
      <c r="S31" s="363" t="s">
        <v>62</v>
      </c>
      <c r="T31" s="65">
        <v>90</v>
      </c>
      <c r="U31" s="363" t="s">
        <v>55</v>
      </c>
      <c r="V31" s="66" t="s">
        <v>275</v>
      </c>
      <c r="W31" s="12"/>
      <c r="X31" s="12"/>
      <c r="Y31" s="12"/>
    </row>
    <row r="32" spans="1:25" x14ac:dyDescent="0.2">
      <c r="A32" s="362" t="s">
        <v>33</v>
      </c>
      <c r="B32" s="370">
        <v>0</v>
      </c>
      <c r="C32" s="371">
        <v>1E-3</v>
      </c>
      <c r="D32" s="371">
        <v>0.02</v>
      </c>
      <c r="E32" s="371">
        <v>0.04</v>
      </c>
      <c r="F32" s="371">
        <v>6.0999999999999999E-2</v>
      </c>
      <c r="G32" s="371">
        <v>6.2E-2</v>
      </c>
      <c r="H32" s="371">
        <v>6.2E-2</v>
      </c>
      <c r="I32" s="371">
        <v>6.2E-2</v>
      </c>
      <c r="J32" s="371">
        <v>6.2E-2</v>
      </c>
      <c r="K32" s="371">
        <v>6.2E-2</v>
      </c>
      <c r="L32" s="371">
        <v>6.2E-2</v>
      </c>
      <c r="M32" s="371">
        <v>6.2E-2</v>
      </c>
      <c r="N32" s="371">
        <v>6.2E-2</v>
      </c>
      <c r="O32" s="371">
        <v>6.2E-2</v>
      </c>
      <c r="P32" s="371">
        <v>6.2E-2</v>
      </c>
      <c r="Q32" s="371">
        <v>6.2E-2</v>
      </c>
      <c r="R32" s="371">
        <v>6.2E-2</v>
      </c>
      <c r="S32" s="371">
        <v>6.2E-2</v>
      </c>
      <c r="T32" s="371">
        <v>6.2E-2</v>
      </c>
      <c r="U32" s="371">
        <v>6.2E-2</v>
      </c>
      <c r="V32" s="371">
        <v>6.2E-2</v>
      </c>
      <c r="W32" s="371">
        <v>6.2E-2</v>
      </c>
      <c r="X32" s="371">
        <v>6.2E-2</v>
      </c>
      <c r="Y32" s="381">
        <v>1000</v>
      </c>
    </row>
    <row r="33" spans="1:25" x14ac:dyDescent="0.2">
      <c r="A33" s="378" t="s">
        <v>34</v>
      </c>
      <c r="B33" s="372">
        <v>0</v>
      </c>
      <c r="C33" s="373">
        <v>310</v>
      </c>
      <c r="D33" s="373">
        <v>245</v>
      </c>
      <c r="E33" s="373">
        <v>200</v>
      </c>
      <c r="F33" s="373">
        <v>167</v>
      </c>
      <c r="G33" s="373">
        <v>0</v>
      </c>
      <c r="H33" s="373">
        <v>0</v>
      </c>
      <c r="I33" s="373">
        <v>0</v>
      </c>
      <c r="J33" s="373">
        <v>0</v>
      </c>
      <c r="K33" s="373">
        <v>0</v>
      </c>
      <c r="L33" s="373">
        <v>0</v>
      </c>
      <c r="M33" s="373">
        <v>0</v>
      </c>
      <c r="N33" s="373">
        <v>0</v>
      </c>
      <c r="O33" s="373">
        <v>0</v>
      </c>
      <c r="P33" s="373">
        <v>0</v>
      </c>
      <c r="Q33" s="373">
        <v>0</v>
      </c>
      <c r="R33" s="373">
        <v>0</v>
      </c>
      <c r="S33" s="373">
        <v>0</v>
      </c>
      <c r="T33" s="373">
        <v>0</v>
      </c>
      <c r="U33" s="373">
        <v>0</v>
      </c>
      <c r="V33" s="373">
        <v>0</v>
      </c>
      <c r="W33" s="373">
        <v>0</v>
      </c>
      <c r="X33" s="373">
        <v>0</v>
      </c>
      <c r="Y33" s="382">
        <v>0</v>
      </c>
    </row>
    <row r="34" spans="1:25" ht="13.5" thickBot="1" x14ac:dyDescent="0.25">
      <c r="A34" s="379" t="s">
        <v>117</v>
      </c>
      <c r="B34" s="374">
        <f t="shared" ref="B34:X34" si="3">(C33+B33)*(C32-B32)/2</f>
        <v>0.155</v>
      </c>
      <c r="C34" s="375">
        <f t="shared" si="3"/>
        <v>5.2725</v>
      </c>
      <c r="D34" s="375">
        <f t="shared" si="3"/>
        <v>4.45</v>
      </c>
      <c r="E34" s="375">
        <f t="shared" si="3"/>
        <v>3.8534999999999995</v>
      </c>
      <c r="F34" s="375">
        <f t="shared" si="3"/>
        <v>8.3500000000000074E-2</v>
      </c>
      <c r="G34" s="375">
        <f t="shared" si="3"/>
        <v>0</v>
      </c>
      <c r="H34" s="375">
        <f t="shared" si="3"/>
        <v>0</v>
      </c>
      <c r="I34" s="375">
        <f t="shared" si="3"/>
        <v>0</v>
      </c>
      <c r="J34" s="375">
        <f t="shared" si="3"/>
        <v>0</v>
      </c>
      <c r="K34" s="375">
        <f t="shared" si="3"/>
        <v>0</v>
      </c>
      <c r="L34" s="375">
        <f t="shared" si="3"/>
        <v>0</v>
      </c>
      <c r="M34" s="375">
        <f t="shared" si="3"/>
        <v>0</v>
      </c>
      <c r="N34" s="375">
        <f t="shared" si="3"/>
        <v>0</v>
      </c>
      <c r="O34" s="375">
        <f t="shared" si="3"/>
        <v>0</v>
      </c>
      <c r="P34" s="375">
        <f t="shared" si="3"/>
        <v>0</v>
      </c>
      <c r="Q34" s="375">
        <f t="shared" si="3"/>
        <v>0</v>
      </c>
      <c r="R34" s="375">
        <f t="shared" si="3"/>
        <v>0</v>
      </c>
      <c r="S34" s="375">
        <f t="shared" si="3"/>
        <v>0</v>
      </c>
      <c r="T34" s="375">
        <f t="shared" si="3"/>
        <v>0</v>
      </c>
      <c r="U34" s="375">
        <f t="shared" si="3"/>
        <v>0</v>
      </c>
      <c r="V34" s="375">
        <f t="shared" si="3"/>
        <v>0</v>
      </c>
      <c r="W34" s="375">
        <f t="shared" si="3"/>
        <v>0</v>
      </c>
      <c r="X34" s="375">
        <f t="shared" si="3"/>
        <v>0</v>
      </c>
      <c r="Y34" s="369"/>
    </row>
    <row r="35" spans="1:25" ht="13.5" thickBot="1" x14ac:dyDescent="0.2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3.5" thickBot="1" x14ac:dyDescent="0.25">
      <c r="A36" s="361" t="s">
        <v>310</v>
      </c>
      <c r="B36" s="359">
        <f>ROW(A36)</f>
        <v>36</v>
      </c>
      <c r="C36" s="363" t="s">
        <v>116</v>
      </c>
      <c r="D36" s="353">
        <f>SUM(B39:Y39)</f>
        <v>17.144499999999997</v>
      </c>
      <c r="E36" s="363" t="s">
        <v>115</v>
      </c>
      <c r="F36" s="399">
        <f>D36/g/J36</f>
        <v>2.9127590893645934</v>
      </c>
      <c r="G36" s="363" t="s">
        <v>57</v>
      </c>
      <c r="H36" s="64">
        <v>0.6</v>
      </c>
      <c r="I36" s="363" t="s">
        <v>270</v>
      </c>
      <c r="J36" s="355">
        <f>H36-L36</f>
        <v>0.6</v>
      </c>
      <c r="K36" s="363" t="s">
        <v>271</v>
      </c>
      <c r="L36" s="64">
        <v>0</v>
      </c>
      <c r="M36" s="363" t="s">
        <v>58</v>
      </c>
      <c r="N36" s="65">
        <f>0.4*R36</f>
        <v>120</v>
      </c>
      <c r="O36" s="363" t="s">
        <v>60</v>
      </c>
      <c r="P36" s="65">
        <v>150</v>
      </c>
      <c r="Q36" s="363" t="s">
        <v>61</v>
      </c>
      <c r="R36" s="65">
        <v>300</v>
      </c>
      <c r="S36" s="363" t="s">
        <v>62</v>
      </c>
      <c r="T36" s="65">
        <v>90</v>
      </c>
      <c r="U36" s="363" t="s">
        <v>55</v>
      </c>
      <c r="V36" s="66" t="s">
        <v>275</v>
      </c>
      <c r="W36" s="12"/>
      <c r="X36" s="12"/>
      <c r="Y36" s="12"/>
    </row>
    <row r="37" spans="1:25" x14ac:dyDescent="0.2">
      <c r="A37" s="362" t="s">
        <v>33</v>
      </c>
      <c r="B37" s="370">
        <v>0</v>
      </c>
      <c r="C37" s="371">
        <v>1E-3</v>
      </c>
      <c r="D37" s="371">
        <v>0.02</v>
      </c>
      <c r="E37" s="371">
        <v>0.04</v>
      </c>
      <c r="F37" s="371">
        <v>0.06</v>
      </c>
      <c r="G37" s="371">
        <v>0.08</v>
      </c>
      <c r="H37" s="371">
        <v>8.7999999999999995E-2</v>
      </c>
      <c r="I37" s="371">
        <v>8.8999999999999996E-2</v>
      </c>
      <c r="J37" s="371">
        <v>8.8999999999999996E-2</v>
      </c>
      <c r="K37" s="371">
        <v>8.8999999999999996E-2</v>
      </c>
      <c r="L37" s="371">
        <v>8.8999999999999996E-2</v>
      </c>
      <c r="M37" s="371">
        <v>8.8999999999999996E-2</v>
      </c>
      <c r="N37" s="371">
        <v>8.8999999999999996E-2</v>
      </c>
      <c r="O37" s="371">
        <v>8.8999999999999996E-2</v>
      </c>
      <c r="P37" s="371">
        <v>8.8999999999999996E-2</v>
      </c>
      <c r="Q37" s="371">
        <v>8.8999999999999996E-2</v>
      </c>
      <c r="R37" s="371">
        <v>8.8999999999999996E-2</v>
      </c>
      <c r="S37" s="371">
        <v>8.8999999999999996E-2</v>
      </c>
      <c r="T37" s="371">
        <v>8.8999999999999996E-2</v>
      </c>
      <c r="U37" s="371">
        <v>8.8999999999999996E-2</v>
      </c>
      <c r="V37" s="371">
        <v>8.8999999999999996E-2</v>
      </c>
      <c r="W37" s="371">
        <v>8.8999999999999996E-2</v>
      </c>
      <c r="X37" s="371">
        <v>8.8999999999999996E-2</v>
      </c>
      <c r="Y37" s="381">
        <v>1000</v>
      </c>
    </row>
    <row r="38" spans="1:25" x14ac:dyDescent="0.2">
      <c r="A38" s="378" t="s">
        <v>34</v>
      </c>
      <c r="B38" s="372">
        <v>0</v>
      </c>
      <c r="C38" s="373">
        <v>310</v>
      </c>
      <c r="D38" s="373">
        <v>240</v>
      </c>
      <c r="E38" s="373">
        <v>190</v>
      </c>
      <c r="F38" s="373">
        <v>157</v>
      </c>
      <c r="G38" s="373">
        <v>133</v>
      </c>
      <c r="H38" s="373">
        <v>125</v>
      </c>
      <c r="I38" s="373">
        <v>0</v>
      </c>
      <c r="J38" s="373">
        <v>0</v>
      </c>
      <c r="K38" s="373">
        <v>0</v>
      </c>
      <c r="L38" s="373">
        <v>0</v>
      </c>
      <c r="M38" s="373">
        <v>0</v>
      </c>
      <c r="N38" s="373">
        <v>0</v>
      </c>
      <c r="O38" s="373">
        <v>0</v>
      </c>
      <c r="P38" s="373">
        <v>0</v>
      </c>
      <c r="Q38" s="373">
        <v>0</v>
      </c>
      <c r="R38" s="373">
        <v>0</v>
      </c>
      <c r="S38" s="373">
        <v>0</v>
      </c>
      <c r="T38" s="373">
        <v>0</v>
      </c>
      <c r="U38" s="373">
        <v>0</v>
      </c>
      <c r="V38" s="373">
        <v>0</v>
      </c>
      <c r="W38" s="373">
        <v>0</v>
      </c>
      <c r="X38" s="373">
        <v>0</v>
      </c>
      <c r="Y38" s="382">
        <v>0</v>
      </c>
    </row>
    <row r="39" spans="1:25" ht="13.5" thickBot="1" x14ac:dyDescent="0.25">
      <c r="A39" s="379" t="s">
        <v>117</v>
      </c>
      <c r="B39" s="374">
        <f t="shared" ref="B39:X39" si="4">(C38+B38)*(C37-B37)/2</f>
        <v>0.155</v>
      </c>
      <c r="C39" s="375">
        <f t="shared" si="4"/>
        <v>5.2249999999999996</v>
      </c>
      <c r="D39" s="375">
        <f t="shared" si="4"/>
        <v>4.3</v>
      </c>
      <c r="E39" s="375">
        <f t="shared" si="4"/>
        <v>3.4699999999999993</v>
      </c>
      <c r="F39" s="375">
        <f t="shared" si="4"/>
        <v>2.9000000000000004</v>
      </c>
      <c r="G39" s="375">
        <f t="shared" si="4"/>
        <v>1.0319999999999991</v>
      </c>
      <c r="H39" s="375">
        <f t="shared" si="4"/>
        <v>6.2500000000000056E-2</v>
      </c>
      <c r="I39" s="375">
        <f t="shared" si="4"/>
        <v>0</v>
      </c>
      <c r="J39" s="375">
        <f t="shared" si="4"/>
        <v>0</v>
      </c>
      <c r="K39" s="375">
        <f t="shared" si="4"/>
        <v>0</v>
      </c>
      <c r="L39" s="375">
        <f t="shared" si="4"/>
        <v>0</v>
      </c>
      <c r="M39" s="375">
        <f t="shared" si="4"/>
        <v>0</v>
      </c>
      <c r="N39" s="375">
        <f t="shared" si="4"/>
        <v>0</v>
      </c>
      <c r="O39" s="375">
        <f t="shared" si="4"/>
        <v>0</v>
      </c>
      <c r="P39" s="375">
        <f t="shared" si="4"/>
        <v>0</v>
      </c>
      <c r="Q39" s="375">
        <f t="shared" si="4"/>
        <v>0</v>
      </c>
      <c r="R39" s="375">
        <f t="shared" si="4"/>
        <v>0</v>
      </c>
      <c r="S39" s="375">
        <f t="shared" si="4"/>
        <v>0</v>
      </c>
      <c r="T39" s="375">
        <f t="shared" si="4"/>
        <v>0</v>
      </c>
      <c r="U39" s="375">
        <f t="shared" si="4"/>
        <v>0</v>
      </c>
      <c r="V39" s="375">
        <f t="shared" si="4"/>
        <v>0</v>
      </c>
      <c r="W39" s="375">
        <f t="shared" si="4"/>
        <v>0</v>
      </c>
      <c r="X39" s="375">
        <f t="shared" si="4"/>
        <v>0</v>
      </c>
      <c r="Y39" s="369"/>
    </row>
    <row r="40" spans="1:25" ht="13.5" thickBot="1" x14ac:dyDescent="0.25">
      <c r="A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3.5" thickBot="1" x14ac:dyDescent="0.25">
      <c r="A41" s="361" t="s">
        <v>311</v>
      </c>
      <c r="B41" s="359">
        <f>ROW(A41)</f>
        <v>41</v>
      </c>
      <c r="C41" s="363" t="s">
        <v>116</v>
      </c>
      <c r="D41" s="353">
        <f>SUM(B44:Y44)</f>
        <v>19.415000000000003</v>
      </c>
      <c r="E41" s="363" t="s">
        <v>115</v>
      </c>
      <c r="F41" s="399">
        <f>D41/g/J41</f>
        <v>2.6388039415562354</v>
      </c>
      <c r="G41" s="363" t="s">
        <v>57</v>
      </c>
      <c r="H41" s="64">
        <v>0.75</v>
      </c>
      <c r="I41" s="363" t="s">
        <v>270</v>
      </c>
      <c r="J41" s="355">
        <f>H41-L41</f>
        <v>0.75</v>
      </c>
      <c r="K41" s="363" t="s">
        <v>271</v>
      </c>
      <c r="L41" s="64">
        <v>0</v>
      </c>
      <c r="M41" s="363" t="s">
        <v>58</v>
      </c>
      <c r="N41" s="65">
        <f>0.5*R41</f>
        <v>150</v>
      </c>
      <c r="O41" s="363" t="s">
        <v>60</v>
      </c>
      <c r="P41" s="65">
        <v>150</v>
      </c>
      <c r="Q41" s="363" t="s">
        <v>61</v>
      </c>
      <c r="R41" s="65">
        <v>300</v>
      </c>
      <c r="S41" s="363" t="s">
        <v>62</v>
      </c>
      <c r="T41" s="65">
        <v>90</v>
      </c>
      <c r="U41" s="363" t="s">
        <v>55</v>
      </c>
      <c r="V41" s="66" t="s">
        <v>275</v>
      </c>
      <c r="W41" s="12"/>
      <c r="X41" s="12"/>
      <c r="Y41" s="12"/>
    </row>
    <row r="42" spans="1:25" x14ac:dyDescent="0.2">
      <c r="A42" s="362" t="s">
        <v>33</v>
      </c>
      <c r="B42" s="370">
        <v>0</v>
      </c>
      <c r="C42" s="371">
        <v>1E-3</v>
      </c>
      <c r="D42" s="371">
        <v>0.02</v>
      </c>
      <c r="E42" s="371">
        <v>0.04</v>
      </c>
      <c r="F42" s="371">
        <v>0.06</v>
      </c>
      <c r="G42" s="371">
        <v>0.08</v>
      </c>
      <c r="H42" s="371">
        <v>0.1</v>
      </c>
      <c r="I42" s="371">
        <v>0.123</v>
      </c>
      <c r="J42" s="371">
        <v>0.124</v>
      </c>
      <c r="K42" s="371">
        <v>0.124</v>
      </c>
      <c r="L42" s="371">
        <v>0.124</v>
      </c>
      <c r="M42" s="371">
        <v>0.124</v>
      </c>
      <c r="N42" s="371">
        <v>0.124</v>
      </c>
      <c r="O42" s="371">
        <v>0.124</v>
      </c>
      <c r="P42" s="371">
        <v>0.124</v>
      </c>
      <c r="Q42" s="371">
        <v>0.124</v>
      </c>
      <c r="R42" s="371">
        <v>0.124</v>
      </c>
      <c r="S42" s="371">
        <v>0.124</v>
      </c>
      <c r="T42" s="371">
        <v>0.124</v>
      </c>
      <c r="U42" s="371">
        <v>0.124</v>
      </c>
      <c r="V42" s="371">
        <v>0.124</v>
      </c>
      <c r="W42" s="371">
        <v>0.124</v>
      </c>
      <c r="X42" s="371">
        <v>0.124</v>
      </c>
      <c r="Y42" s="381">
        <v>1000</v>
      </c>
    </row>
    <row r="43" spans="1:25" x14ac:dyDescent="0.2">
      <c r="A43" s="378" t="s">
        <v>34</v>
      </c>
      <c r="B43" s="372">
        <v>0</v>
      </c>
      <c r="C43" s="373">
        <v>310</v>
      </c>
      <c r="D43" s="373">
        <v>230</v>
      </c>
      <c r="E43" s="373">
        <v>175</v>
      </c>
      <c r="F43" s="373">
        <v>140</v>
      </c>
      <c r="G43" s="373">
        <v>118</v>
      </c>
      <c r="H43" s="373">
        <v>100</v>
      </c>
      <c r="I43" s="373">
        <v>85</v>
      </c>
      <c r="J43" s="373">
        <v>0</v>
      </c>
      <c r="K43" s="373">
        <v>0</v>
      </c>
      <c r="L43" s="373">
        <v>0</v>
      </c>
      <c r="M43" s="373">
        <v>0</v>
      </c>
      <c r="N43" s="373">
        <v>0</v>
      </c>
      <c r="O43" s="373">
        <v>0</v>
      </c>
      <c r="P43" s="373">
        <v>0</v>
      </c>
      <c r="Q43" s="373">
        <v>0</v>
      </c>
      <c r="R43" s="373">
        <v>0</v>
      </c>
      <c r="S43" s="373">
        <v>0</v>
      </c>
      <c r="T43" s="373">
        <v>0</v>
      </c>
      <c r="U43" s="373">
        <v>0</v>
      </c>
      <c r="V43" s="373">
        <v>0</v>
      </c>
      <c r="W43" s="373">
        <v>0</v>
      </c>
      <c r="X43" s="373">
        <v>0</v>
      </c>
      <c r="Y43" s="382">
        <v>0</v>
      </c>
    </row>
    <row r="44" spans="1:25" ht="13.5" thickBot="1" x14ac:dyDescent="0.25">
      <c r="A44" s="379" t="s">
        <v>117</v>
      </c>
      <c r="B44" s="374">
        <f t="shared" ref="B44:X44" si="5">(C43+B43)*(C42-B42)/2</f>
        <v>0.155</v>
      </c>
      <c r="C44" s="375">
        <f t="shared" si="5"/>
        <v>5.13</v>
      </c>
      <c r="D44" s="375">
        <f t="shared" si="5"/>
        <v>4.05</v>
      </c>
      <c r="E44" s="375">
        <f t="shared" si="5"/>
        <v>3.1499999999999995</v>
      </c>
      <c r="F44" s="375">
        <f t="shared" si="5"/>
        <v>2.5800000000000005</v>
      </c>
      <c r="G44" s="375">
        <f t="shared" si="5"/>
        <v>2.1800000000000006</v>
      </c>
      <c r="H44" s="375">
        <f t="shared" si="5"/>
        <v>2.1274999999999995</v>
      </c>
      <c r="I44" s="375">
        <f t="shared" si="5"/>
        <v>4.2500000000000038E-2</v>
      </c>
      <c r="J44" s="375">
        <f t="shared" si="5"/>
        <v>0</v>
      </c>
      <c r="K44" s="375">
        <f t="shared" si="5"/>
        <v>0</v>
      </c>
      <c r="L44" s="375">
        <f t="shared" si="5"/>
        <v>0</v>
      </c>
      <c r="M44" s="375">
        <f t="shared" si="5"/>
        <v>0</v>
      </c>
      <c r="N44" s="375">
        <f t="shared" si="5"/>
        <v>0</v>
      </c>
      <c r="O44" s="375">
        <f t="shared" si="5"/>
        <v>0</v>
      </c>
      <c r="P44" s="375">
        <f t="shared" si="5"/>
        <v>0</v>
      </c>
      <c r="Q44" s="375">
        <f t="shared" si="5"/>
        <v>0</v>
      </c>
      <c r="R44" s="375">
        <f t="shared" si="5"/>
        <v>0</v>
      </c>
      <c r="S44" s="375">
        <f t="shared" si="5"/>
        <v>0</v>
      </c>
      <c r="T44" s="375">
        <f t="shared" si="5"/>
        <v>0</v>
      </c>
      <c r="U44" s="375">
        <f t="shared" si="5"/>
        <v>0</v>
      </c>
      <c r="V44" s="375">
        <f t="shared" si="5"/>
        <v>0</v>
      </c>
      <c r="W44" s="375">
        <f t="shared" si="5"/>
        <v>0</v>
      </c>
      <c r="X44" s="375">
        <f t="shared" si="5"/>
        <v>0</v>
      </c>
      <c r="Y44" s="369"/>
    </row>
    <row r="45" spans="1:25" ht="13.5" thickBot="1" x14ac:dyDescent="0.25"/>
    <row r="46" spans="1:25" ht="13.5" thickBot="1" x14ac:dyDescent="0.25">
      <c r="A46" s="361" t="s">
        <v>276</v>
      </c>
      <c r="B46" s="359">
        <f>ROW(A46)</f>
        <v>46</v>
      </c>
      <c r="C46" s="363" t="s">
        <v>116</v>
      </c>
      <c r="D46" s="353">
        <f>SUM(B49:Y49)</f>
        <v>12.8695</v>
      </c>
      <c r="E46" s="363" t="s">
        <v>115</v>
      </c>
      <c r="F46" s="399">
        <f>D46/g/J46</f>
        <v>3.2796890927624869</v>
      </c>
      <c r="G46" s="363" t="s">
        <v>57</v>
      </c>
      <c r="H46" s="64">
        <v>0.5</v>
      </c>
      <c r="I46" s="363" t="s">
        <v>270</v>
      </c>
      <c r="J46" s="355">
        <f>H46-L46</f>
        <v>0.4</v>
      </c>
      <c r="K46" s="363" t="s">
        <v>271</v>
      </c>
      <c r="L46" s="64">
        <v>0.1</v>
      </c>
      <c r="M46" s="363" t="s">
        <v>58</v>
      </c>
      <c r="N46" s="65">
        <f>0.2*R46</f>
        <v>60</v>
      </c>
      <c r="O46" s="363" t="s">
        <v>60</v>
      </c>
      <c r="P46" s="65">
        <v>150</v>
      </c>
      <c r="Q46" s="363" t="s">
        <v>61</v>
      </c>
      <c r="R46" s="65">
        <v>300</v>
      </c>
      <c r="S46" s="363" t="s">
        <v>62</v>
      </c>
      <c r="T46" s="65">
        <v>98</v>
      </c>
      <c r="U46" s="363" t="s">
        <v>55</v>
      </c>
      <c r="V46" s="66" t="s">
        <v>275</v>
      </c>
      <c r="W46" s="12"/>
      <c r="X46" s="12"/>
      <c r="Y46" s="12"/>
    </row>
    <row r="47" spans="1:25" x14ac:dyDescent="0.2">
      <c r="A47" s="362" t="s">
        <v>33</v>
      </c>
      <c r="B47" s="370">
        <v>0</v>
      </c>
      <c r="C47" s="371">
        <v>1E-3</v>
      </c>
      <c r="D47" s="371">
        <v>0.02</v>
      </c>
      <c r="E47" s="371">
        <v>0.04</v>
      </c>
      <c r="F47" s="371">
        <v>0.05</v>
      </c>
      <c r="G47" s="371">
        <v>5.0999999999999997E-2</v>
      </c>
      <c r="H47" s="371">
        <v>5.0999999999999997E-2</v>
      </c>
      <c r="I47" s="371">
        <v>5.0999999999999997E-2</v>
      </c>
      <c r="J47" s="371">
        <v>5.0999999999999997E-2</v>
      </c>
      <c r="K47" s="371">
        <v>5.0999999999999997E-2</v>
      </c>
      <c r="L47" s="371">
        <v>5.0999999999999997E-2</v>
      </c>
      <c r="M47" s="371">
        <v>5.0999999999999997E-2</v>
      </c>
      <c r="N47" s="371">
        <v>5.0999999999999997E-2</v>
      </c>
      <c r="O47" s="371">
        <v>5.0999999999999997E-2</v>
      </c>
      <c r="P47" s="371">
        <v>5.0999999999999997E-2</v>
      </c>
      <c r="Q47" s="371">
        <v>5.0999999999999997E-2</v>
      </c>
      <c r="R47" s="371">
        <v>5.0999999999999997E-2</v>
      </c>
      <c r="S47" s="371">
        <v>5.0999999999999997E-2</v>
      </c>
      <c r="T47" s="371">
        <v>5.0999999999999997E-2</v>
      </c>
      <c r="U47" s="371">
        <v>5.0999999999999997E-2</v>
      </c>
      <c r="V47" s="371">
        <v>5.0999999999999997E-2</v>
      </c>
      <c r="W47" s="371">
        <v>5.0999999999999997E-2</v>
      </c>
      <c r="X47" s="371">
        <v>5.0999999999999997E-2</v>
      </c>
      <c r="Y47" s="381">
        <v>1000</v>
      </c>
    </row>
    <row r="48" spans="1:25" x14ac:dyDescent="0.2">
      <c r="A48" s="378" t="s">
        <v>34</v>
      </c>
      <c r="B48" s="372">
        <v>0</v>
      </c>
      <c r="C48" s="373">
        <v>310</v>
      </c>
      <c r="D48" s="373">
        <v>264</v>
      </c>
      <c r="E48" s="373">
        <v>230</v>
      </c>
      <c r="F48" s="373">
        <v>213</v>
      </c>
      <c r="G48" s="373">
        <v>0</v>
      </c>
      <c r="H48" s="373">
        <v>0</v>
      </c>
      <c r="I48" s="373">
        <v>0</v>
      </c>
      <c r="J48" s="373">
        <v>0</v>
      </c>
      <c r="K48" s="373">
        <v>0</v>
      </c>
      <c r="L48" s="373">
        <v>0</v>
      </c>
      <c r="M48" s="373">
        <v>0</v>
      </c>
      <c r="N48" s="373">
        <v>0</v>
      </c>
      <c r="O48" s="373">
        <v>0</v>
      </c>
      <c r="P48" s="373">
        <v>0</v>
      </c>
      <c r="Q48" s="373">
        <v>0</v>
      </c>
      <c r="R48" s="373">
        <v>0</v>
      </c>
      <c r="S48" s="373">
        <v>0</v>
      </c>
      <c r="T48" s="373">
        <v>0</v>
      </c>
      <c r="U48" s="373">
        <v>0</v>
      </c>
      <c r="V48" s="373">
        <v>0</v>
      </c>
      <c r="W48" s="373">
        <v>0</v>
      </c>
      <c r="X48" s="373">
        <v>0</v>
      </c>
      <c r="Y48" s="382">
        <v>0</v>
      </c>
    </row>
    <row r="49" spans="1:25" ht="13.5" thickBot="1" x14ac:dyDescent="0.25">
      <c r="A49" s="379" t="s">
        <v>117</v>
      </c>
      <c r="B49" s="374">
        <f t="shared" ref="B49:X49" si="6">(C48+B48)*(C47-B47)/2</f>
        <v>0.155</v>
      </c>
      <c r="C49" s="375">
        <f t="shared" si="6"/>
        <v>5.4530000000000003</v>
      </c>
      <c r="D49" s="375">
        <f t="shared" si="6"/>
        <v>4.9400000000000004</v>
      </c>
      <c r="E49" s="375">
        <f t="shared" si="6"/>
        <v>2.2150000000000003</v>
      </c>
      <c r="F49" s="375">
        <f t="shared" si="6"/>
        <v>0.10649999999999936</v>
      </c>
      <c r="G49" s="375">
        <f t="shared" si="6"/>
        <v>0</v>
      </c>
      <c r="H49" s="375">
        <f t="shared" si="6"/>
        <v>0</v>
      </c>
      <c r="I49" s="375">
        <f t="shared" si="6"/>
        <v>0</v>
      </c>
      <c r="J49" s="375">
        <f t="shared" si="6"/>
        <v>0</v>
      </c>
      <c r="K49" s="375">
        <f t="shared" si="6"/>
        <v>0</v>
      </c>
      <c r="L49" s="375">
        <f t="shared" si="6"/>
        <v>0</v>
      </c>
      <c r="M49" s="375">
        <f t="shared" si="6"/>
        <v>0</v>
      </c>
      <c r="N49" s="375">
        <f t="shared" si="6"/>
        <v>0</v>
      </c>
      <c r="O49" s="375">
        <f t="shared" si="6"/>
        <v>0</v>
      </c>
      <c r="P49" s="375">
        <f t="shared" si="6"/>
        <v>0</v>
      </c>
      <c r="Q49" s="375">
        <f t="shared" si="6"/>
        <v>0</v>
      </c>
      <c r="R49" s="375">
        <f t="shared" si="6"/>
        <v>0</v>
      </c>
      <c r="S49" s="375">
        <f t="shared" si="6"/>
        <v>0</v>
      </c>
      <c r="T49" s="375">
        <f t="shared" si="6"/>
        <v>0</v>
      </c>
      <c r="U49" s="375">
        <f t="shared" si="6"/>
        <v>0</v>
      </c>
      <c r="V49" s="375">
        <f t="shared" si="6"/>
        <v>0</v>
      </c>
      <c r="W49" s="375">
        <f t="shared" si="6"/>
        <v>0</v>
      </c>
      <c r="X49" s="375">
        <f t="shared" si="6"/>
        <v>0</v>
      </c>
      <c r="Y49" s="369"/>
    </row>
    <row r="50" spans="1:25" ht="13.5" thickBot="1" x14ac:dyDescent="0.25">
      <c r="A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3.5" thickBot="1" x14ac:dyDescent="0.25">
      <c r="A51" s="361" t="s">
        <v>277</v>
      </c>
      <c r="B51" s="359">
        <f>ROW(A51)</f>
        <v>51</v>
      </c>
      <c r="C51" s="363" t="s">
        <v>116</v>
      </c>
      <c r="D51" s="353">
        <f>SUM(B54:Y54)</f>
        <v>18.123500000000003</v>
      </c>
      <c r="E51" s="363" t="s">
        <v>115</v>
      </c>
      <c r="F51" s="399">
        <f>D51/g/J51</f>
        <v>3.0790859667006463</v>
      </c>
      <c r="G51" s="363" t="s">
        <v>57</v>
      </c>
      <c r="H51" s="64">
        <v>0.7</v>
      </c>
      <c r="I51" s="363" t="s">
        <v>270</v>
      </c>
      <c r="J51" s="355">
        <f>H51-L51</f>
        <v>0.6</v>
      </c>
      <c r="K51" s="363" t="s">
        <v>271</v>
      </c>
      <c r="L51" s="64">
        <v>0.1</v>
      </c>
      <c r="M51" s="363" t="s">
        <v>58</v>
      </c>
      <c r="N51" s="65">
        <f>0.3*R51</f>
        <v>90</v>
      </c>
      <c r="O51" s="363" t="s">
        <v>60</v>
      </c>
      <c r="P51" s="65">
        <v>150</v>
      </c>
      <c r="Q51" s="363" t="s">
        <v>61</v>
      </c>
      <c r="R51" s="65">
        <v>300</v>
      </c>
      <c r="S51" s="363" t="s">
        <v>62</v>
      </c>
      <c r="T51" s="65">
        <v>98</v>
      </c>
      <c r="U51" s="363" t="s">
        <v>55</v>
      </c>
      <c r="V51" s="66" t="s">
        <v>275</v>
      </c>
      <c r="W51" s="12"/>
      <c r="X51" s="12"/>
      <c r="Y51" s="12"/>
    </row>
    <row r="52" spans="1:25" x14ac:dyDescent="0.2">
      <c r="A52" s="362" t="s">
        <v>33</v>
      </c>
      <c r="B52" s="370">
        <v>0</v>
      </c>
      <c r="C52" s="371">
        <v>1E-3</v>
      </c>
      <c r="D52" s="371">
        <v>0.02</v>
      </c>
      <c r="E52" s="371">
        <v>0.04</v>
      </c>
      <c r="F52" s="371">
        <v>0.06</v>
      </c>
      <c r="G52" s="371">
        <v>0.08</v>
      </c>
      <c r="H52" s="371">
        <v>8.1000000000000003E-2</v>
      </c>
      <c r="I52" s="371">
        <v>8.1000000000000003E-2</v>
      </c>
      <c r="J52" s="371">
        <v>8.1000000000000003E-2</v>
      </c>
      <c r="K52" s="371">
        <v>8.1000000000000003E-2</v>
      </c>
      <c r="L52" s="371">
        <v>8.1000000000000003E-2</v>
      </c>
      <c r="M52" s="371">
        <v>8.1000000000000003E-2</v>
      </c>
      <c r="N52" s="371">
        <v>8.1000000000000003E-2</v>
      </c>
      <c r="O52" s="371">
        <v>8.1000000000000003E-2</v>
      </c>
      <c r="P52" s="371">
        <v>8.1000000000000003E-2</v>
      </c>
      <c r="Q52" s="371">
        <v>8.1000000000000003E-2</v>
      </c>
      <c r="R52" s="371">
        <v>8.1000000000000003E-2</v>
      </c>
      <c r="S52" s="371">
        <v>8.1000000000000003E-2</v>
      </c>
      <c r="T52" s="371">
        <v>8.1000000000000003E-2</v>
      </c>
      <c r="U52" s="371">
        <v>8.1000000000000003E-2</v>
      </c>
      <c r="V52" s="371">
        <v>8.1000000000000003E-2</v>
      </c>
      <c r="W52" s="371">
        <v>8.1000000000000003E-2</v>
      </c>
      <c r="X52" s="371">
        <v>8.1000000000000003E-2</v>
      </c>
      <c r="Y52" s="381">
        <v>1000</v>
      </c>
    </row>
    <row r="53" spans="1:25" x14ac:dyDescent="0.2">
      <c r="A53" s="378" t="s">
        <v>34</v>
      </c>
      <c r="B53" s="372">
        <v>0</v>
      </c>
      <c r="C53" s="373">
        <v>310</v>
      </c>
      <c r="D53" s="373">
        <v>260</v>
      </c>
      <c r="E53" s="373">
        <v>220</v>
      </c>
      <c r="F53" s="373">
        <v>190</v>
      </c>
      <c r="G53" s="373">
        <v>167</v>
      </c>
      <c r="H53" s="373">
        <v>0</v>
      </c>
      <c r="I53" s="373">
        <v>0</v>
      </c>
      <c r="J53" s="373">
        <v>0</v>
      </c>
      <c r="K53" s="373">
        <v>0</v>
      </c>
      <c r="L53" s="373">
        <v>0</v>
      </c>
      <c r="M53" s="373">
        <v>0</v>
      </c>
      <c r="N53" s="373">
        <v>0</v>
      </c>
      <c r="O53" s="373">
        <v>0</v>
      </c>
      <c r="P53" s="373">
        <v>0</v>
      </c>
      <c r="Q53" s="373">
        <v>0</v>
      </c>
      <c r="R53" s="373">
        <v>0</v>
      </c>
      <c r="S53" s="373">
        <v>0</v>
      </c>
      <c r="T53" s="373">
        <v>0</v>
      </c>
      <c r="U53" s="373">
        <v>0</v>
      </c>
      <c r="V53" s="373">
        <v>0</v>
      </c>
      <c r="W53" s="373">
        <v>0</v>
      </c>
      <c r="X53" s="373">
        <v>0</v>
      </c>
      <c r="Y53" s="382">
        <v>0</v>
      </c>
    </row>
    <row r="54" spans="1:25" ht="13.5" thickBot="1" x14ac:dyDescent="0.25">
      <c r="A54" s="379" t="s">
        <v>117</v>
      </c>
      <c r="B54" s="374">
        <f t="shared" ref="B54:X54" si="7">(C53+B53)*(C52-B52)/2</f>
        <v>0.155</v>
      </c>
      <c r="C54" s="375">
        <f t="shared" si="7"/>
        <v>5.415</v>
      </c>
      <c r="D54" s="375">
        <f t="shared" si="7"/>
        <v>4.8</v>
      </c>
      <c r="E54" s="375">
        <f t="shared" si="7"/>
        <v>4.0999999999999996</v>
      </c>
      <c r="F54" s="375">
        <f t="shared" si="7"/>
        <v>3.5700000000000007</v>
      </c>
      <c r="G54" s="375">
        <f t="shared" si="7"/>
        <v>8.3500000000000074E-2</v>
      </c>
      <c r="H54" s="375">
        <f t="shared" si="7"/>
        <v>0</v>
      </c>
      <c r="I54" s="375">
        <f t="shared" si="7"/>
        <v>0</v>
      </c>
      <c r="J54" s="375">
        <f t="shared" si="7"/>
        <v>0</v>
      </c>
      <c r="K54" s="375">
        <f t="shared" si="7"/>
        <v>0</v>
      </c>
      <c r="L54" s="375">
        <f t="shared" si="7"/>
        <v>0</v>
      </c>
      <c r="M54" s="375">
        <f t="shared" si="7"/>
        <v>0</v>
      </c>
      <c r="N54" s="375">
        <f t="shared" si="7"/>
        <v>0</v>
      </c>
      <c r="O54" s="375">
        <f t="shared" si="7"/>
        <v>0</v>
      </c>
      <c r="P54" s="375">
        <f t="shared" si="7"/>
        <v>0</v>
      </c>
      <c r="Q54" s="375">
        <f t="shared" si="7"/>
        <v>0</v>
      </c>
      <c r="R54" s="375">
        <f t="shared" si="7"/>
        <v>0</v>
      </c>
      <c r="S54" s="375">
        <f t="shared" si="7"/>
        <v>0</v>
      </c>
      <c r="T54" s="375">
        <f t="shared" si="7"/>
        <v>0</v>
      </c>
      <c r="U54" s="375">
        <f t="shared" si="7"/>
        <v>0</v>
      </c>
      <c r="V54" s="375">
        <f t="shared" si="7"/>
        <v>0</v>
      </c>
      <c r="W54" s="375">
        <f t="shared" si="7"/>
        <v>0</v>
      </c>
      <c r="X54" s="375">
        <f t="shared" si="7"/>
        <v>0</v>
      </c>
      <c r="Y54" s="369"/>
    </row>
    <row r="55" spans="1:25" ht="13.5" thickBot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3.5" thickBot="1" x14ac:dyDescent="0.25">
      <c r="A56" s="361" t="s">
        <v>278</v>
      </c>
      <c r="B56" s="359">
        <f>ROW(A56)</f>
        <v>56</v>
      </c>
      <c r="C56" s="363" t="s">
        <v>116</v>
      </c>
      <c r="D56" s="353">
        <f>SUM(B59:Y59)</f>
        <v>22.610000000000003</v>
      </c>
      <c r="E56" s="363" t="s">
        <v>115</v>
      </c>
      <c r="F56" s="399">
        <f>D56/g/J56</f>
        <v>2.88098878695209</v>
      </c>
      <c r="G56" s="363" t="s">
        <v>57</v>
      </c>
      <c r="H56" s="64">
        <v>0.9</v>
      </c>
      <c r="I56" s="363" t="s">
        <v>270</v>
      </c>
      <c r="J56" s="355">
        <f>H56-L56</f>
        <v>0.8</v>
      </c>
      <c r="K56" s="363" t="s">
        <v>271</v>
      </c>
      <c r="L56" s="64">
        <v>0.1</v>
      </c>
      <c r="M56" s="363" t="s">
        <v>58</v>
      </c>
      <c r="N56" s="65">
        <f>0.4*R56</f>
        <v>120</v>
      </c>
      <c r="O56" s="363" t="s">
        <v>60</v>
      </c>
      <c r="P56" s="65">
        <v>150</v>
      </c>
      <c r="Q56" s="363" t="s">
        <v>61</v>
      </c>
      <c r="R56" s="65">
        <v>300</v>
      </c>
      <c r="S56" s="363" t="s">
        <v>62</v>
      </c>
      <c r="T56" s="65">
        <v>98</v>
      </c>
      <c r="U56" s="363" t="s">
        <v>55</v>
      </c>
      <c r="V56" s="66" t="s">
        <v>275</v>
      </c>
      <c r="W56" s="12"/>
      <c r="X56" s="12"/>
      <c r="Y56" s="12"/>
    </row>
    <row r="57" spans="1:25" x14ac:dyDescent="0.2">
      <c r="A57" s="362" t="s">
        <v>33</v>
      </c>
      <c r="B57" s="370">
        <v>0</v>
      </c>
      <c r="C57" s="371">
        <v>1E-3</v>
      </c>
      <c r="D57" s="371">
        <v>0.02</v>
      </c>
      <c r="E57" s="371">
        <v>0.04</v>
      </c>
      <c r="F57" s="371">
        <v>0.06</v>
      </c>
      <c r="G57" s="371">
        <v>0.08</v>
      </c>
      <c r="H57" s="371">
        <v>0.1</v>
      </c>
      <c r="I57" s="371">
        <v>0.11700000000000001</v>
      </c>
      <c r="J57" s="371">
        <v>0.11799999999999999</v>
      </c>
      <c r="K57" s="371">
        <v>0.11799999999999999</v>
      </c>
      <c r="L57" s="371">
        <v>0.11799999999999999</v>
      </c>
      <c r="M57" s="371">
        <v>0.11799999999999999</v>
      </c>
      <c r="N57" s="371">
        <v>0.11799999999999999</v>
      </c>
      <c r="O57" s="371">
        <v>0.11799999999999999</v>
      </c>
      <c r="P57" s="371">
        <v>0.11799999999999999</v>
      </c>
      <c r="Q57" s="371">
        <v>0.11799999999999999</v>
      </c>
      <c r="R57" s="371">
        <v>0.11799999999999999</v>
      </c>
      <c r="S57" s="371">
        <v>0.11799999999999999</v>
      </c>
      <c r="T57" s="371">
        <v>0.11799999999999999</v>
      </c>
      <c r="U57" s="371">
        <v>0.11799999999999999</v>
      </c>
      <c r="V57" s="371">
        <v>0.11799999999999999</v>
      </c>
      <c r="W57" s="371">
        <v>0.11799999999999999</v>
      </c>
      <c r="X57" s="371">
        <v>0.11799999999999999</v>
      </c>
      <c r="Y57" s="381">
        <v>1000</v>
      </c>
    </row>
    <row r="58" spans="1:25" x14ac:dyDescent="0.2">
      <c r="A58" s="378" t="s">
        <v>34</v>
      </c>
      <c r="B58" s="372">
        <v>0</v>
      </c>
      <c r="C58" s="373">
        <v>310</v>
      </c>
      <c r="D58" s="373">
        <v>250</v>
      </c>
      <c r="E58" s="373">
        <v>210</v>
      </c>
      <c r="F58" s="373">
        <v>180</v>
      </c>
      <c r="G58" s="373">
        <v>156</v>
      </c>
      <c r="H58" s="373">
        <v>140</v>
      </c>
      <c r="I58" s="373">
        <v>125</v>
      </c>
      <c r="J58" s="373">
        <v>0</v>
      </c>
      <c r="K58" s="373">
        <v>0</v>
      </c>
      <c r="L58" s="373">
        <v>0</v>
      </c>
      <c r="M58" s="373">
        <v>0</v>
      </c>
      <c r="N58" s="373">
        <v>0</v>
      </c>
      <c r="O58" s="373">
        <v>0</v>
      </c>
      <c r="P58" s="373">
        <v>0</v>
      </c>
      <c r="Q58" s="373">
        <v>0</v>
      </c>
      <c r="R58" s="373">
        <v>0</v>
      </c>
      <c r="S58" s="373">
        <v>0</v>
      </c>
      <c r="T58" s="373">
        <v>0</v>
      </c>
      <c r="U58" s="373">
        <v>0</v>
      </c>
      <c r="V58" s="373">
        <v>0</v>
      </c>
      <c r="W58" s="373">
        <v>0</v>
      </c>
      <c r="X58" s="373">
        <v>0</v>
      </c>
      <c r="Y58" s="382">
        <v>0</v>
      </c>
    </row>
    <row r="59" spans="1:25" ht="13.5" thickBot="1" x14ac:dyDescent="0.25">
      <c r="A59" s="379" t="s">
        <v>117</v>
      </c>
      <c r="B59" s="374">
        <f t="shared" ref="B59:X59" si="8">(C58+B58)*(C57-B57)/2</f>
        <v>0.155</v>
      </c>
      <c r="C59" s="375">
        <f t="shared" si="8"/>
        <v>5.32</v>
      </c>
      <c r="D59" s="375">
        <f t="shared" si="8"/>
        <v>4.6000000000000005</v>
      </c>
      <c r="E59" s="375">
        <f t="shared" si="8"/>
        <v>3.8999999999999995</v>
      </c>
      <c r="F59" s="375">
        <f t="shared" si="8"/>
        <v>3.3600000000000008</v>
      </c>
      <c r="G59" s="375">
        <f t="shared" si="8"/>
        <v>2.9600000000000004</v>
      </c>
      <c r="H59" s="375">
        <f t="shared" si="8"/>
        <v>2.2524999999999999</v>
      </c>
      <c r="I59" s="375">
        <f t="shared" si="8"/>
        <v>6.2499999999999188E-2</v>
      </c>
      <c r="J59" s="375">
        <f t="shared" si="8"/>
        <v>0</v>
      </c>
      <c r="K59" s="375">
        <f t="shared" si="8"/>
        <v>0</v>
      </c>
      <c r="L59" s="375">
        <f t="shared" si="8"/>
        <v>0</v>
      </c>
      <c r="M59" s="375">
        <f t="shared" si="8"/>
        <v>0</v>
      </c>
      <c r="N59" s="375">
        <f t="shared" si="8"/>
        <v>0</v>
      </c>
      <c r="O59" s="375">
        <f t="shared" si="8"/>
        <v>0</v>
      </c>
      <c r="P59" s="375">
        <f t="shared" si="8"/>
        <v>0</v>
      </c>
      <c r="Q59" s="375">
        <f t="shared" si="8"/>
        <v>0</v>
      </c>
      <c r="R59" s="375">
        <f t="shared" si="8"/>
        <v>0</v>
      </c>
      <c r="S59" s="375">
        <f t="shared" si="8"/>
        <v>0</v>
      </c>
      <c r="T59" s="375">
        <f t="shared" si="8"/>
        <v>0</v>
      </c>
      <c r="U59" s="375">
        <f t="shared" si="8"/>
        <v>0</v>
      </c>
      <c r="V59" s="375">
        <f t="shared" si="8"/>
        <v>0</v>
      </c>
      <c r="W59" s="375">
        <f t="shared" si="8"/>
        <v>0</v>
      </c>
      <c r="X59" s="375">
        <f t="shared" si="8"/>
        <v>0</v>
      </c>
      <c r="Y59" s="369"/>
    </row>
    <row r="60" spans="1:25" ht="13.5" thickBot="1" x14ac:dyDescent="0.25">
      <c r="A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3.5" thickBot="1" x14ac:dyDescent="0.25">
      <c r="A61" s="361" t="s">
        <v>279</v>
      </c>
      <c r="B61" s="359">
        <f>ROW(A61)</f>
        <v>61</v>
      </c>
      <c r="C61" s="363" t="s">
        <v>116</v>
      </c>
      <c r="D61" s="353">
        <f>SUM(B64:Y64)</f>
        <v>25.874000000000006</v>
      </c>
      <c r="E61" s="363" t="s">
        <v>115</v>
      </c>
      <c r="F61" s="399">
        <f>D61/g/J61</f>
        <v>2.6375127420998985</v>
      </c>
      <c r="G61" s="363" t="s">
        <v>57</v>
      </c>
      <c r="H61" s="64">
        <v>1.1000000000000001</v>
      </c>
      <c r="I61" s="363" t="s">
        <v>270</v>
      </c>
      <c r="J61" s="355">
        <f>H61-L61</f>
        <v>1</v>
      </c>
      <c r="K61" s="363" t="s">
        <v>271</v>
      </c>
      <c r="L61" s="64">
        <v>0.1</v>
      </c>
      <c r="M61" s="363" t="s">
        <v>58</v>
      </c>
      <c r="N61" s="65">
        <f>0.5*R61</f>
        <v>150</v>
      </c>
      <c r="O61" s="363" t="s">
        <v>60</v>
      </c>
      <c r="P61" s="65">
        <v>150</v>
      </c>
      <c r="Q61" s="363" t="s">
        <v>61</v>
      </c>
      <c r="R61" s="65">
        <v>300</v>
      </c>
      <c r="S61" s="363" t="s">
        <v>62</v>
      </c>
      <c r="T61" s="65">
        <v>98</v>
      </c>
      <c r="U61" s="363" t="s">
        <v>55</v>
      </c>
      <c r="V61" s="66" t="s">
        <v>275</v>
      </c>
      <c r="W61" s="12"/>
      <c r="X61" s="12"/>
      <c r="Y61" s="12"/>
    </row>
    <row r="62" spans="1:25" x14ac:dyDescent="0.2">
      <c r="A62" s="362" t="s">
        <v>33</v>
      </c>
      <c r="B62" s="370">
        <v>0</v>
      </c>
      <c r="C62" s="371">
        <v>1E-3</v>
      </c>
      <c r="D62" s="371">
        <v>0.02</v>
      </c>
      <c r="E62" s="371">
        <v>0.04</v>
      </c>
      <c r="F62" s="371">
        <v>0.06</v>
      </c>
      <c r="G62" s="371">
        <v>0.08</v>
      </c>
      <c r="H62" s="371">
        <v>0.1</v>
      </c>
      <c r="I62" s="371">
        <v>0.12</v>
      </c>
      <c r="J62" s="371">
        <v>0.14000000000000001</v>
      </c>
      <c r="K62" s="371">
        <v>0.16400000000000001</v>
      </c>
      <c r="L62" s="371">
        <v>0.16500000000000001</v>
      </c>
      <c r="M62" s="371">
        <v>0.16500000000000001</v>
      </c>
      <c r="N62" s="371">
        <v>0.16500000000000001</v>
      </c>
      <c r="O62" s="371">
        <v>0.16500000000000001</v>
      </c>
      <c r="P62" s="371">
        <v>0.16500000000000001</v>
      </c>
      <c r="Q62" s="371">
        <v>0.16500000000000001</v>
      </c>
      <c r="R62" s="371">
        <v>0.16500000000000001</v>
      </c>
      <c r="S62" s="371">
        <v>0.16500000000000001</v>
      </c>
      <c r="T62" s="371">
        <v>0.16500000000000001</v>
      </c>
      <c r="U62" s="371">
        <v>0.16500000000000001</v>
      </c>
      <c r="V62" s="371">
        <v>0.16500000000000001</v>
      </c>
      <c r="W62" s="371">
        <v>0.16500000000000001</v>
      </c>
      <c r="X62" s="371">
        <v>0.16500000000000001</v>
      </c>
      <c r="Y62" s="381">
        <v>1000</v>
      </c>
    </row>
    <row r="63" spans="1:25" x14ac:dyDescent="0.2">
      <c r="A63" s="378" t="s">
        <v>34</v>
      </c>
      <c r="B63" s="372">
        <v>0</v>
      </c>
      <c r="C63" s="373">
        <v>310</v>
      </c>
      <c r="D63" s="373">
        <v>245</v>
      </c>
      <c r="E63" s="373">
        <v>200</v>
      </c>
      <c r="F63" s="373">
        <v>165</v>
      </c>
      <c r="G63" s="373">
        <v>143</v>
      </c>
      <c r="H63" s="373">
        <v>124</v>
      </c>
      <c r="I63" s="373">
        <v>108</v>
      </c>
      <c r="J63" s="373">
        <v>97</v>
      </c>
      <c r="K63" s="373">
        <v>85</v>
      </c>
      <c r="L63" s="373">
        <v>0</v>
      </c>
      <c r="M63" s="373">
        <v>0</v>
      </c>
      <c r="N63" s="373">
        <v>0</v>
      </c>
      <c r="O63" s="373">
        <v>0</v>
      </c>
      <c r="P63" s="373">
        <v>0</v>
      </c>
      <c r="Q63" s="373">
        <v>0</v>
      </c>
      <c r="R63" s="373">
        <v>0</v>
      </c>
      <c r="S63" s="373">
        <v>0</v>
      </c>
      <c r="T63" s="373">
        <v>0</v>
      </c>
      <c r="U63" s="373">
        <v>0</v>
      </c>
      <c r="V63" s="373">
        <v>0</v>
      </c>
      <c r="W63" s="373">
        <v>0</v>
      </c>
      <c r="X63" s="373">
        <v>0</v>
      </c>
      <c r="Y63" s="382">
        <v>0</v>
      </c>
    </row>
    <row r="64" spans="1:25" ht="13.5" thickBot="1" x14ac:dyDescent="0.25">
      <c r="A64" s="379" t="s">
        <v>117</v>
      </c>
      <c r="B64" s="374">
        <f t="shared" ref="B64:X64" si="9">(C63+B63)*(C62-B62)/2</f>
        <v>0.155</v>
      </c>
      <c r="C64" s="375">
        <f t="shared" si="9"/>
        <v>5.2725</v>
      </c>
      <c r="D64" s="375">
        <f t="shared" si="9"/>
        <v>4.45</v>
      </c>
      <c r="E64" s="375">
        <f t="shared" si="9"/>
        <v>3.6499999999999995</v>
      </c>
      <c r="F64" s="375">
        <f t="shared" si="9"/>
        <v>3.0800000000000005</v>
      </c>
      <c r="G64" s="375">
        <f t="shared" si="9"/>
        <v>2.6700000000000004</v>
      </c>
      <c r="H64" s="375">
        <f t="shared" si="9"/>
        <v>2.319999999999999</v>
      </c>
      <c r="I64" s="375">
        <f t="shared" si="9"/>
        <v>2.0500000000000016</v>
      </c>
      <c r="J64" s="375">
        <f t="shared" si="9"/>
        <v>2.1839999999999993</v>
      </c>
      <c r="K64" s="375">
        <f t="shared" si="9"/>
        <v>4.2500000000000038E-2</v>
      </c>
      <c r="L64" s="375">
        <f t="shared" si="9"/>
        <v>0</v>
      </c>
      <c r="M64" s="375">
        <f t="shared" si="9"/>
        <v>0</v>
      </c>
      <c r="N64" s="375">
        <f t="shared" si="9"/>
        <v>0</v>
      </c>
      <c r="O64" s="375">
        <f t="shared" si="9"/>
        <v>0</v>
      </c>
      <c r="P64" s="375">
        <f t="shared" si="9"/>
        <v>0</v>
      </c>
      <c r="Q64" s="375">
        <f t="shared" si="9"/>
        <v>0</v>
      </c>
      <c r="R64" s="375">
        <f t="shared" si="9"/>
        <v>0</v>
      </c>
      <c r="S64" s="375">
        <f t="shared" si="9"/>
        <v>0</v>
      </c>
      <c r="T64" s="375">
        <f t="shared" si="9"/>
        <v>0</v>
      </c>
      <c r="U64" s="375">
        <f t="shared" si="9"/>
        <v>0</v>
      </c>
      <c r="V64" s="375">
        <f t="shared" si="9"/>
        <v>0</v>
      </c>
      <c r="W64" s="375">
        <f t="shared" si="9"/>
        <v>0</v>
      </c>
      <c r="X64" s="375">
        <f t="shared" si="9"/>
        <v>0</v>
      </c>
      <c r="Y64" s="369"/>
    </row>
    <row r="66" spans="1:26" ht="13.5" thickBot="1" x14ac:dyDescent="0.25">
      <c r="A66" s="6" t="s">
        <v>182</v>
      </c>
    </row>
    <row r="67" spans="1:26" ht="13.5" thickBot="1" x14ac:dyDescent="0.25">
      <c r="A67" s="361" t="s">
        <v>112</v>
      </c>
      <c r="B67" s="359">
        <f>ROW(A67)</f>
        <v>67</v>
      </c>
      <c r="C67" s="363" t="s">
        <v>116</v>
      </c>
      <c r="D67" s="353">
        <f>SUM(B70:Y70)</f>
        <v>2.65</v>
      </c>
      <c r="E67" s="363" t="s">
        <v>115</v>
      </c>
      <c r="F67" s="354">
        <f>D67/g/J67</f>
        <v>54.026503567787969</v>
      </c>
      <c r="G67" s="363" t="s">
        <v>57</v>
      </c>
      <c r="H67" s="64">
        <v>1.4999999999999999E-2</v>
      </c>
      <c r="I67" s="363" t="s">
        <v>270</v>
      </c>
      <c r="J67" s="355">
        <f>H67-L67</f>
        <v>4.9999999999999992E-3</v>
      </c>
      <c r="K67" s="363" t="s">
        <v>271</v>
      </c>
      <c r="L67" s="64">
        <v>0.01</v>
      </c>
      <c r="M67" s="363" t="s">
        <v>58</v>
      </c>
      <c r="N67" s="65">
        <v>30</v>
      </c>
      <c r="O67" s="363" t="s">
        <v>60</v>
      </c>
      <c r="P67" s="65">
        <v>30</v>
      </c>
      <c r="Q67" s="363" t="s">
        <v>61</v>
      </c>
      <c r="R67" s="65">
        <v>70</v>
      </c>
      <c r="S67" s="363" t="s">
        <v>62</v>
      </c>
      <c r="T67" s="65">
        <v>15</v>
      </c>
      <c r="U67" s="363" t="s">
        <v>55</v>
      </c>
      <c r="V67" s="66" t="s">
        <v>118</v>
      </c>
      <c r="W67" s="463" t="s">
        <v>394</v>
      </c>
      <c r="X67" s="465">
        <v>0.32</v>
      </c>
      <c r="Y67" s="463" t="s">
        <v>393</v>
      </c>
      <c r="Z67" s="358">
        <v>3</v>
      </c>
    </row>
    <row r="68" spans="1:26" x14ac:dyDescent="0.2">
      <c r="A68" s="362" t="s">
        <v>33</v>
      </c>
      <c r="B68" s="370">
        <v>0</v>
      </c>
      <c r="C68" s="371">
        <v>0.2</v>
      </c>
      <c r="D68" s="371">
        <v>0.3</v>
      </c>
      <c r="E68" s="371">
        <v>0.4</v>
      </c>
      <c r="F68" s="371">
        <v>0.5</v>
      </c>
      <c r="G68" s="371">
        <v>0.55000000000000004</v>
      </c>
      <c r="H68" s="371">
        <v>0.6</v>
      </c>
      <c r="I68" s="371">
        <v>0.6</v>
      </c>
      <c r="J68" s="371">
        <v>0.6</v>
      </c>
      <c r="K68" s="371">
        <v>0.6</v>
      </c>
      <c r="L68" s="371">
        <v>0.6</v>
      </c>
      <c r="M68" s="371">
        <v>0.6</v>
      </c>
      <c r="N68" s="371">
        <v>0.6</v>
      </c>
      <c r="O68" s="371">
        <v>0.6</v>
      </c>
      <c r="P68" s="371">
        <v>0.6</v>
      </c>
      <c r="Q68" s="371">
        <v>0.6</v>
      </c>
      <c r="R68" s="371">
        <v>0.6</v>
      </c>
      <c r="S68" s="371">
        <v>0.6</v>
      </c>
      <c r="T68" s="371">
        <v>0.6</v>
      </c>
      <c r="U68" s="371">
        <v>0.6</v>
      </c>
      <c r="V68" s="371">
        <v>0.6</v>
      </c>
      <c r="W68" s="371">
        <v>0.6</v>
      </c>
      <c r="X68" s="371">
        <v>0.6</v>
      </c>
      <c r="Y68" s="381">
        <v>1000</v>
      </c>
    </row>
    <row r="69" spans="1:26" x14ac:dyDescent="0.2">
      <c r="A69" s="378" t="s">
        <v>34</v>
      </c>
      <c r="B69" s="372">
        <v>0</v>
      </c>
      <c r="C69" s="373">
        <v>9</v>
      </c>
      <c r="D69" s="373">
        <v>4.5</v>
      </c>
      <c r="E69" s="373">
        <v>4</v>
      </c>
      <c r="F69" s="373">
        <v>4</v>
      </c>
      <c r="G69" s="373">
        <v>3</v>
      </c>
      <c r="H69" s="373">
        <v>0</v>
      </c>
      <c r="I69" s="373">
        <v>0</v>
      </c>
      <c r="J69" s="373">
        <v>0</v>
      </c>
      <c r="K69" s="373">
        <v>0</v>
      </c>
      <c r="L69" s="373">
        <v>0</v>
      </c>
      <c r="M69" s="373">
        <v>0</v>
      </c>
      <c r="N69" s="373">
        <v>0</v>
      </c>
      <c r="O69" s="373">
        <v>0</v>
      </c>
      <c r="P69" s="373">
        <v>0</v>
      </c>
      <c r="Q69" s="373">
        <v>0</v>
      </c>
      <c r="R69" s="373">
        <v>0</v>
      </c>
      <c r="S69" s="373">
        <v>0</v>
      </c>
      <c r="T69" s="373">
        <v>0</v>
      </c>
      <c r="U69" s="373">
        <v>0</v>
      </c>
      <c r="V69" s="373">
        <v>0</v>
      </c>
      <c r="W69" s="373">
        <v>0</v>
      </c>
      <c r="X69" s="373">
        <v>0</v>
      </c>
      <c r="Y69" s="382">
        <v>0</v>
      </c>
    </row>
    <row r="70" spans="1:26" ht="13.5" thickBot="1" x14ac:dyDescent="0.25">
      <c r="A70" s="379" t="s">
        <v>117</v>
      </c>
      <c r="B70" s="374">
        <f t="shared" ref="B70:X70" si="10">(C69+B69)*(C68-B68)/2</f>
        <v>0.9</v>
      </c>
      <c r="C70" s="375">
        <f t="shared" si="10"/>
        <v>0.67499999999999982</v>
      </c>
      <c r="D70" s="375">
        <f t="shared" si="10"/>
        <v>0.42500000000000016</v>
      </c>
      <c r="E70" s="375">
        <f t="shared" si="10"/>
        <v>0.39999999999999991</v>
      </c>
      <c r="F70" s="375">
        <f t="shared" si="10"/>
        <v>0.17500000000000016</v>
      </c>
      <c r="G70" s="375">
        <f t="shared" si="10"/>
        <v>7.49999999999999E-2</v>
      </c>
      <c r="H70" s="375">
        <f t="shared" si="10"/>
        <v>0</v>
      </c>
      <c r="I70" s="375">
        <f t="shared" si="10"/>
        <v>0</v>
      </c>
      <c r="J70" s="375">
        <f t="shared" si="10"/>
        <v>0</v>
      </c>
      <c r="K70" s="375">
        <f t="shared" si="10"/>
        <v>0</v>
      </c>
      <c r="L70" s="375">
        <f t="shared" si="10"/>
        <v>0</v>
      </c>
      <c r="M70" s="375">
        <f t="shared" si="10"/>
        <v>0</v>
      </c>
      <c r="N70" s="375">
        <f t="shared" si="10"/>
        <v>0</v>
      </c>
      <c r="O70" s="375">
        <f t="shared" si="10"/>
        <v>0</v>
      </c>
      <c r="P70" s="375">
        <f t="shared" si="10"/>
        <v>0</v>
      </c>
      <c r="Q70" s="375">
        <f t="shared" si="10"/>
        <v>0</v>
      </c>
      <c r="R70" s="375">
        <f t="shared" si="10"/>
        <v>0</v>
      </c>
      <c r="S70" s="375">
        <f t="shared" si="10"/>
        <v>0</v>
      </c>
      <c r="T70" s="375">
        <f t="shared" si="10"/>
        <v>0</v>
      </c>
      <c r="U70" s="375">
        <f t="shared" si="10"/>
        <v>0</v>
      </c>
      <c r="V70" s="375">
        <f t="shared" si="10"/>
        <v>0</v>
      </c>
      <c r="W70" s="375">
        <f t="shared" si="10"/>
        <v>0</v>
      </c>
      <c r="X70" s="375">
        <f t="shared" si="10"/>
        <v>0</v>
      </c>
      <c r="Y70" s="369"/>
    </row>
    <row r="71" spans="1:26" ht="13.5" thickBot="1" x14ac:dyDescent="0.25">
      <c r="A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6" ht="13.5" thickBot="1" x14ac:dyDescent="0.25">
      <c r="A72" s="361" t="s">
        <v>113</v>
      </c>
      <c r="B72" s="359">
        <f>ROW(A72)</f>
        <v>72</v>
      </c>
      <c r="C72" s="363" t="s">
        <v>116</v>
      </c>
      <c r="D72" s="353">
        <f>SUM(B75:Y75)</f>
        <v>5.25</v>
      </c>
      <c r="E72" s="363" t="s">
        <v>115</v>
      </c>
      <c r="F72" s="354">
        <f>D72/g/J72</f>
        <v>89.1946992864424</v>
      </c>
      <c r="G72" s="363" t="s">
        <v>57</v>
      </c>
      <c r="H72" s="64">
        <v>0.02</v>
      </c>
      <c r="I72" s="363" t="s">
        <v>270</v>
      </c>
      <c r="J72" s="355">
        <f>H72-L72</f>
        <v>6.0000000000000001E-3</v>
      </c>
      <c r="K72" s="363" t="s">
        <v>271</v>
      </c>
      <c r="L72" s="64">
        <v>1.4E-2</v>
      </c>
      <c r="M72" s="363" t="s">
        <v>58</v>
      </c>
      <c r="N72" s="65">
        <v>30</v>
      </c>
      <c r="O72" s="363" t="s">
        <v>60</v>
      </c>
      <c r="P72" s="65">
        <v>30</v>
      </c>
      <c r="Q72" s="363" t="s">
        <v>61</v>
      </c>
      <c r="R72" s="65">
        <v>70</v>
      </c>
      <c r="S72" s="363" t="s">
        <v>62</v>
      </c>
      <c r="T72" s="65">
        <v>15</v>
      </c>
      <c r="U72" s="363" t="s">
        <v>55</v>
      </c>
      <c r="V72" s="66" t="s">
        <v>118</v>
      </c>
      <c r="W72" s="463" t="s">
        <v>394</v>
      </c>
      <c r="X72" s="465">
        <v>1.2</v>
      </c>
      <c r="Y72" s="463" t="s">
        <v>393</v>
      </c>
      <c r="Z72" s="358">
        <v>4</v>
      </c>
    </row>
    <row r="73" spans="1:26" x14ac:dyDescent="0.2">
      <c r="A73" s="362" t="s">
        <v>33</v>
      </c>
      <c r="B73" s="370">
        <v>0</v>
      </c>
      <c r="C73" s="371">
        <v>0.2</v>
      </c>
      <c r="D73" s="371">
        <v>0.3</v>
      </c>
      <c r="E73" s="371">
        <v>0.55000000000000004</v>
      </c>
      <c r="F73" s="371">
        <v>1.05</v>
      </c>
      <c r="G73" s="371">
        <v>1.1499999999999999</v>
      </c>
      <c r="H73" s="371">
        <v>1.1499999999999999</v>
      </c>
      <c r="I73" s="371">
        <v>1.1499999999999999</v>
      </c>
      <c r="J73" s="371">
        <v>1.1499999999999999</v>
      </c>
      <c r="K73" s="371">
        <v>1.1499999999999999</v>
      </c>
      <c r="L73" s="371">
        <v>1.1499999999999999</v>
      </c>
      <c r="M73" s="371">
        <v>1.1499999999999999</v>
      </c>
      <c r="N73" s="371">
        <v>1.1499999999999999</v>
      </c>
      <c r="O73" s="371">
        <v>1.1499999999999999</v>
      </c>
      <c r="P73" s="371">
        <v>1.1499999999999999</v>
      </c>
      <c r="Q73" s="371">
        <v>1.1499999999999999</v>
      </c>
      <c r="R73" s="371">
        <v>1.1499999999999999</v>
      </c>
      <c r="S73" s="371">
        <v>1.1499999999999999</v>
      </c>
      <c r="T73" s="371">
        <v>1.1499999999999999</v>
      </c>
      <c r="U73" s="371">
        <v>1.1499999999999999</v>
      </c>
      <c r="V73" s="371">
        <v>1.1499999999999999</v>
      </c>
      <c r="W73" s="371">
        <v>1.1499999999999999</v>
      </c>
      <c r="X73" s="371">
        <v>1.1499999999999999</v>
      </c>
      <c r="Y73" s="381">
        <v>1000</v>
      </c>
    </row>
    <row r="74" spans="1:26" x14ac:dyDescent="0.2">
      <c r="A74" s="378" t="s">
        <v>34</v>
      </c>
      <c r="B74" s="372">
        <v>0</v>
      </c>
      <c r="C74" s="373">
        <v>10</v>
      </c>
      <c r="D74" s="373">
        <v>6</v>
      </c>
      <c r="E74" s="373">
        <v>4</v>
      </c>
      <c r="F74" s="373">
        <v>4</v>
      </c>
      <c r="G74" s="373">
        <v>0</v>
      </c>
      <c r="H74" s="373">
        <v>0</v>
      </c>
      <c r="I74" s="373">
        <v>0</v>
      </c>
      <c r="J74" s="373">
        <v>0</v>
      </c>
      <c r="K74" s="373">
        <v>0</v>
      </c>
      <c r="L74" s="373">
        <v>0</v>
      </c>
      <c r="M74" s="373">
        <v>0</v>
      </c>
      <c r="N74" s="373">
        <v>0</v>
      </c>
      <c r="O74" s="373">
        <v>0</v>
      </c>
      <c r="P74" s="373">
        <v>0</v>
      </c>
      <c r="Q74" s="373">
        <v>0</v>
      </c>
      <c r="R74" s="373">
        <v>0</v>
      </c>
      <c r="S74" s="373">
        <v>0</v>
      </c>
      <c r="T74" s="373">
        <v>0</v>
      </c>
      <c r="U74" s="373">
        <v>0</v>
      </c>
      <c r="V74" s="373">
        <v>0</v>
      </c>
      <c r="W74" s="373">
        <v>0</v>
      </c>
      <c r="X74" s="373">
        <v>0</v>
      </c>
      <c r="Y74" s="382">
        <v>0</v>
      </c>
    </row>
    <row r="75" spans="1:26" ht="13.5" thickBot="1" x14ac:dyDescent="0.25">
      <c r="A75" s="379" t="s">
        <v>117</v>
      </c>
      <c r="B75" s="374">
        <f t="shared" ref="B75:V75" si="11">(C74+B74)*(C73-B73)/2</f>
        <v>1</v>
      </c>
      <c r="C75" s="375">
        <f t="shared" si="11"/>
        <v>0.79999999999999982</v>
      </c>
      <c r="D75" s="375">
        <f t="shared" si="11"/>
        <v>1.2500000000000002</v>
      </c>
      <c r="E75" s="375">
        <f t="shared" si="11"/>
        <v>2</v>
      </c>
      <c r="F75" s="375">
        <f t="shared" si="11"/>
        <v>0.19999999999999973</v>
      </c>
      <c r="G75" s="375">
        <f t="shared" si="11"/>
        <v>0</v>
      </c>
      <c r="H75" s="375">
        <f t="shared" si="11"/>
        <v>0</v>
      </c>
      <c r="I75" s="375">
        <f t="shared" si="11"/>
        <v>0</v>
      </c>
      <c r="J75" s="375">
        <f>(K74+J74)*(K73-J73)/2</f>
        <v>0</v>
      </c>
      <c r="K75" s="375">
        <f t="shared" si="11"/>
        <v>0</v>
      </c>
      <c r="L75" s="375">
        <f t="shared" si="11"/>
        <v>0</v>
      </c>
      <c r="M75" s="375">
        <f t="shared" si="11"/>
        <v>0</v>
      </c>
      <c r="N75" s="375">
        <f t="shared" si="11"/>
        <v>0</v>
      </c>
      <c r="O75" s="375">
        <f t="shared" si="11"/>
        <v>0</v>
      </c>
      <c r="P75" s="375">
        <f t="shared" si="11"/>
        <v>0</v>
      </c>
      <c r="Q75" s="375">
        <f t="shared" si="11"/>
        <v>0</v>
      </c>
      <c r="R75" s="375">
        <f t="shared" si="11"/>
        <v>0</v>
      </c>
      <c r="S75" s="375">
        <f>(T74+S74)*(T73-S73)/2</f>
        <v>0</v>
      </c>
      <c r="T75" s="375">
        <f t="shared" si="11"/>
        <v>0</v>
      </c>
      <c r="U75" s="375">
        <f t="shared" si="11"/>
        <v>0</v>
      </c>
      <c r="V75" s="375">
        <f t="shared" si="11"/>
        <v>0</v>
      </c>
      <c r="W75" s="375">
        <f>(X74+W74)*(X73-W73)/2</f>
        <v>0</v>
      </c>
      <c r="X75" s="375">
        <f>(Y74+X74)*(Y73-X73)/2</f>
        <v>0</v>
      </c>
      <c r="Y75" s="369"/>
    </row>
    <row r="76" spans="1:26" ht="13.5" thickBot="1" x14ac:dyDescent="0.2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6" ht="13.5" thickBot="1" x14ac:dyDescent="0.25">
      <c r="A77" s="361" t="s">
        <v>114</v>
      </c>
      <c r="B77" s="359">
        <f>ROW(A77)</f>
        <v>77</v>
      </c>
      <c r="C77" s="363" t="s">
        <v>116</v>
      </c>
      <c r="D77" s="353">
        <f>SUM(B80:Y80)</f>
        <v>10.26</v>
      </c>
      <c r="E77" s="363" t="s">
        <v>115</v>
      </c>
      <c r="F77" s="354">
        <f>D77/g/J77</f>
        <v>80.451658433309802</v>
      </c>
      <c r="G77" s="363" t="s">
        <v>57</v>
      </c>
      <c r="H77" s="64">
        <v>2.4E-2</v>
      </c>
      <c r="I77" s="363" t="s">
        <v>270</v>
      </c>
      <c r="J77" s="355">
        <f>H77-L77</f>
        <v>1.3000000000000001E-2</v>
      </c>
      <c r="K77" s="363" t="s">
        <v>271</v>
      </c>
      <c r="L77" s="64">
        <v>1.0999999999999999E-2</v>
      </c>
      <c r="M77" s="363" t="s">
        <v>58</v>
      </c>
      <c r="N77" s="65">
        <v>30</v>
      </c>
      <c r="O77" s="363" t="s">
        <v>60</v>
      </c>
      <c r="P77" s="65">
        <v>30</v>
      </c>
      <c r="Q77" s="363" t="s">
        <v>61</v>
      </c>
      <c r="R77" s="65">
        <v>70</v>
      </c>
      <c r="S77" s="363" t="s">
        <v>62</v>
      </c>
      <c r="T77" s="65">
        <v>15</v>
      </c>
      <c r="U77" s="363" t="s">
        <v>55</v>
      </c>
      <c r="V77" s="66" t="s">
        <v>118</v>
      </c>
      <c r="W77" s="463" t="s">
        <v>394</v>
      </c>
      <c r="X77" s="465">
        <v>1.7</v>
      </c>
      <c r="Y77" s="463" t="s">
        <v>393</v>
      </c>
      <c r="Z77" s="358">
        <v>3</v>
      </c>
    </row>
    <row r="78" spans="1:26" x14ac:dyDescent="0.2">
      <c r="A78" s="362" t="s">
        <v>33</v>
      </c>
      <c r="B78" s="370">
        <v>0</v>
      </c>
      <c r="C78" s="371">
        <v>0.2</v>
      </c>
      <c r="D78" s="371">
        <v>0.3</v>
      </c>
      <c r="E78" s="371">
        <v>0.6</v>
      </c>
      <c r="F78" s="371">
        <v>0.8</v>
      </c>
      <c r="G78" s="371">
        <v>2</v>
      </c>
      <c r="H78" s="371">
        <v>2.1</v>
      </c>
      <c r="I78" s="371">
        <v>2.1</v>
      </c>
      <c r="J78" s="371">
        <v>2.1</v>
      </c>
      <c r="K78" s="371">
        <v>2.1</v>
      </c>
      <c r="L78" s="371">
        <v>2.1</v>
      </c>
      <c r="M78" s="371">
        <v>2.1</v>
      </c>
      <c r="N78" s="371">
        <v>2.1</v>
      </c>
      <c r="O78" s="371">
        <v>2.1</v>
      </c>
      <c r="P78" s="371">
        <v>2.1</v>
      </c>
      <c r="Q78" s="371">
        <v>2.1</v>
      </c>
      <c r="R78" s="371">
        <v>2.1</v>
      </c>
      <c r="S78" s="371">
        <v>2.1</v>
      </c>
      <c r="T78" s="371">
        <v>2.1</v>
      </c>
      <c r="U78" s="371">
        <v>2.1</v>
      </c>
      <c r="V78" s="371">
        <v>2.1</v>
      </c>
      <c r="W78" s="371">
        <v>2.1</v>
      </c>
      <c r="X78" s="371">
        <v>2.1</v>
      </c>
      <c r="Y78" s="381">
        <v>1000</v>
      </c>
    </row>
    <row r="79" spans="1:26" x14ac:dyDescent="0.2">
      <c r="A79" s="378" t="s">
        <v>34</v>
      </c>
      <c r="B79" s="372">
        <v>0</v>
      </c>
      <c r="C79" s="373">
        <v>11</v>
      </c>
      <c r="D79" s="373">
        <v>7</v>
      </c>
      <c r="E79" s="373">
        <v>4</v>
      </c>
      <c r="F79" s="373">
        <v>4.5999999999999996</v>
      </c>
      <c r="G79" s="373">
        <v>4.5999999999999996</v>
      </c>
      <c r="H79" s="373">
        <v>0</v>
      </c>
      <c r="I79" s="373">
        <v>0</v>
      </c>
      <c r="J79" s="373">
        <v>0</v>
      </c>
      <c r="K79" s="373">
        <v>0</v>
      </c>
      <c r="L79" s="373">
        <v>0</v>
      </c>
      <c r="M79" s="373">
        <v>0</v>
      </c>
      <c r="N79" s="373">
        <v>0</v>
      </c>
      <c r="O79" s="373">
        <v>0</v>
      </c>
      <c r="P79" s="373">
        <v>0</v>
      </c>
      <c r="Q79" s="373">
        <v>0</v>
      </c>
      <c r="R79" s="373">
        <v>0</v>
      </c>
      <c r="S79" s="373">
        <v>0</v>
      </c>
      <c r="T79" s="373">
        <v>0</v>
      </c>
      <c r="U79" s="373">
        <v>0</v>
      </c>
      <c r="V79" s="373">
        <v>0</v>
      </c>
      <c r="W79" s="373">
        <v>0</v>
      </c>
      <c r="X79" s="373">
        <v>0</v>
      </c>
      <c r="Y79" s="382">
        <v>0</v>
      </c>
    </row>
    <row r="80" spans="1:26" ht="13.5" thickBot="1" x14ac:dyDescent="0.25">
      <c r="A80" s="379" t="s">
        <v>117</v>
      </c>
      <c r="B80" s="374">
        <f t="shared" ref="B80:G80" si="12">(C79+B79)*(C78-B78)/2</f>
        <v>1.1000000000000001</v>
      </c>
      <c r="C80" s="375">
        <f t="shared" si="12"/>
        <v>0.8999999999999998</v>
      </c>
      <c r="D80" s="375">
        <f t="shared" si="12"/>
        <v>1.65</v>
      </c>
      <c r="E80" s="375">
        <f t="shared" si="12"/>
        <v>0.86000000000000021</v>
      </c>
      <c r="F80" s="375">
        <f t="shared" si="12"/>
        <v>5.52</v>
      </c>
      <c r="G80" s="375">
        <f t="shared" si="12"/>
        <v>0.23000000000000018</v>
      </c>
      <c r="H80" s="375">
        <f t="shared" ref="H80:V80" si="13">(I79+H79)*(I78-H78)/2</f>
        <v>0</v>
      </c>
      <c r="I80" s="375">
        <f t="shared" si="13"/>
        <v>0</v>
      </c>
      <c r="J80" s="375">
        <f>(K79+J79)*(K78-J78)/2</f>
        <v>0</v>
      </c>
      <c r="K80" s="375">
        <f t="shared" si="13"/>
        <v>0</v>
      </c>
      <c r="L80" s="375">
        <f t="shared" si="13"/>
        <v>0</v>
      </c>
      <c r="M80" s="375">
        <f t="shared" si="13"/>
        <v>0</v>
      </c>
      <c r="N80" s="375">
        <f t="shared" si="13"/>
        <v>0</v>
      </c>
      <c r="O80" s="375">
        <f t="shared" si="13"/>
        <v>0</v>
      </c>
      <c r="P80" s="375">
        <f t="shared" si="13"/>
        <v>0</v>
      </c>
      <c r="Q80" s="375">
        <f t="shared" si="13"/>
        <v>0</v>
      </c>
      <c r="R80" s="375">
        <f t="shared" si="13"/>
        <v>0</v>
      </c>
      <c r="S80" s="375">
        <f>(T79+S79)*(T78-S78)/2</f>
        <v>0</v>
      </c>
      <c r="T80" s="375">
        <f t="shared" si="13"/>
        <v>0</v>
      </c>
      <c r="U80" s="375">
        <f t="shared" si="13"/>
        <v>0</v>
      </c>
      <c r="V80" s="375">
        <f t="shared" si="13"/>
        <v>0</v>
      </c>
      <c r="W80" s="375">
        <f>(X79+W79)*(X78-W78)/2</f>
        <v>0</v>
      </c>
      <c r="X80" s="375">
        <f>(Y79+X79)*(Y78-X78)/2</f>
        <v>0</v>
      </c>
      <c r="Y80" s="369"/>
    </row>
    <row r="81" spans="1:26" ht="13.5" thickBot="1" x14ac:dyDescent="0.25">
      <c r="A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6" ht="13.5" thickBot="1" x14ac:dyDescent="0.25">
      <c r="A82" s="361" t="s">
        <v>329</v>
      </c>
      <c r="B82" s="359">
        <f>ROW(A82)</f>
        <v>82</v>
      </c>
      <c r="C82" s="363" t="s">
        <v>116</v>
      </c>
      <c r="D82" s="353">
        <f>SUM(B85:Y85)</f>
        <v>20.52</v>
      </c>
      <c r="E82" s="363" t="s">
        <v>115</v>
      </c>
      <c r="F82" s="354">
        <f>D82/g/J82</f>
        <v>80.451658433309802</v>
      </c>
      <c r="G82" s="363" t="s">
        <v>57</v>
      </c>
      <c r="H82" s="64">
        <f>H77*2</f>
        <v>4.8000000000000001E-2</v>
      </c>
      <c r="I82" s="363" t="s">
        <v>270</v>
      </c>
      <c r="J82" s="355">
        <f>H82-L82</f>
        <v>2.6000000000000002E-2</v>
      </c>
      <c r="K82" s="363" t="s">
        <v>271</v>
      </c>
      <c r="L82" s="64">
        <f>L77*2</f>
        <v>2.1999999999999999E-2</v>
      </c>
      <c r="M82" s="363" t="s">
        <v>58</v>
      </c>
      <c r="N82" s="65">
        <v>30</v>
      </c>
      <c r="O82" s="363" t="s">
        <v>60</v>
      </c>
      <c r="P82" s="65">
        <v>30</v>
      </c>
      <c r="Q82" s="363" t="s">
        <v>61</v>
      </c>
      <c r="R82" s="65">
        <v>70</v>
      </c>
      <c r="S82" s="363" t="s">
        <v>62</v>
      </c>
      <c r="T82" s="65">
        <v>30</v>
      </c>
      <c r="U82" s="363" t="s">
        <v>55</v>
      </c>
      <c r="V82" s="66" t="s">
        <v>118</v>
      </c>
      <c r="W82" s="463" t="s">
        <v>394</v>
      </c>
      <c r="X82" s="465">
        <v>1.7</v>
      </c>
      <c r="Y82" s="463" t="s">
        <v>393</v>
      </c>
      <c r="Z82" s="358">
        <v>3</v>
      </c>
    </row>
    <row r="83" spans="1:26" x14ac:dyDescent="0.2">
      <c r="A83" s="362" t="s">
        <v>33</v>
      </c>
      <c r="B83" s="370">
        <v>0</v>
      </c>
      <c r="C83" s="371">
        <v>0.2</v>
      </c>
      <c r="D83" s="371">
        <v>0.3</v>
      </c>
      <c r="E83" s="371">
        <v>0.6</v>
      </c>
      <c r="F83" s="371">
        <v>0.8</v>
      </c>
      <c r="G83" s="371">
        <v>2</v>
      </c>
      <c r="H83" s="371">
        <v>2.1</v>
      </c>
      <c r="I83" s="371">
        <v>2.1</v>
      </c>
      <c r="J83" s="371">
        <v>2.1</v>
      </c>
      <c r="K83" s="371">
        <v>2.1</v>
      </c>
      <c r="L83" s="371">
        <v>2.1</v>
      </c>
      <c r="M83" s="371">
        <v>2.1</v>
      </c>
      <c r="N83" s="371">
        <v>2.1</v>
      </c>
      <c r="O83" s="371">
        <v>2.1</v>
      </c>
      <c r="P83" s="371">
        <v>2.1</v>
      </c>
      <c r="Q83" s="371">
        <v>2.1</v>
      </c>
      <c r="R83" s="371">
        <v>2.1</v>
      </c>
      <c r="S83" s="371">
        <v>2.1</v>
      </c>
      <c r="T83" s="371">
        <v>2.1</v>
      </c>
      <c r="U83" s="371">
        <v>2.1</v>
      </c>
      <c r="V83" s="371">
        <v>2.1</v>
      </c>
      <c r="W83" s="371">
        <v>2.1</v>
      </c>
      <c r="X83" s="371">
        <v>2.1</v>
      </c>
      <c r="Y83" s="381">
        <v>1000</v>
      </c>
    </row>
    <row r="84" spans="1:26" x14ac:dyDescent="0.2">
      <c r="A84" s="378" t="s">
        <v>34</v>
      </c>
      <c r="B84" s="372">
        <f>B79*2</f>
        <v>0</v>
      </c>
      <c r="C84" s="373">
        <f t="shared" ref="C84:X84" si="14">C79*2</f>
        <v>22</v>
      </c>
      <c r="D84" s="373">
        <f t="shared" si="14"/>
        <v>14</v>
      </c>
      <c r="E84" s="373">
        <f t="shared" si="14"/>
        <v>8</v>
      </c>
      <c r="F84" s="373">
        <f t="shared" si="14"/>
        <v>9.1999999999999993</v>
      </c>
      <c r="G84" s="373">
        <f t="shared" si="14"/>
        <v>9.1999999999999993</v>
      </c>
      <c r="H84" s="373">
        <f t="shared" si="14"/>
        <v>0</v>
      </c>
      <c r="I84" s="373">
        <f t="shared" si="14"/>
        <v>0</v>
      </c>
      <c r="J84" s="373">
        <f t="shared" si="14"/>
        <v>0</v>
      </c>
      <c r="K84" s="373">
        <f t="shared" si="14"/>
        <v>0</v>
      </c>
      <c r="L84" s="373">
        <f t="shared" si="14"/>
        <v>0</v>
      </c>
      <c r="M84" s="373">
        <f t="shared" si="14"/>
        <v>0</v>
      </c>
      <c r="N84" s="373">
        <f t="shared" si="14"/>
        <v>0</v>
      </c>
      <c r="O84" s="373">
        <f t="shared" si="14"/>
        <v>0</v>
      </c>
      <c r="P84" s="373">
        <f t="shared" si="14"/>
        <v>0</v>
      </c>
      <c r="Q84" s="373">
        <f t="shared" si="14"/>
        <v>0</v>
      </c>
      <c r="R84" s="373">
        <f t="shared" si="14"/>
        <v>0</v>
      </c>
      <c r="S84" s="373">
        <f t="shared" si="14"/>
        <v>0</v>
      </c>
      <c r="T84" s="373">
        <f t="shared" si="14"/>
        <v>0</v>
      </c>
      <c r="U84" s="373">
        <f t="shared" si="14"/>
        <v>0</v>
      </c>
      <c r="V84" s="373">
        <f t="shared" si="14"/>
        <v>0</v>
      </c>
      <c r="W84" s="373">
        <f t="shared" si="14"/>
        <v>0</v>
      </c>
      <c r="X84" s="373">
        <f t="shared" si="14"/>
        <v>0</v>
      </c>
      <c r="Y84" s="382">
        <v>0</v>
      </c>
    </row>
    <row r="85" spans="1:26" ht="13.5" thickBot="1" x14ac:dyDescent="0.25">
      <c r="A85" s="379" t="s">
        <v>117</v>
      </c>
      <c r="B85" s="374">
        <f t="shared" ref="B85:X85" si="15">(C84+B84)*(C83-B83)/2</f>
        <v>2.2000000000000002</v>
      </c>
      <c r="C85" s="375">
        <f t="shared" si="15"/>
        <v>1.7999999999999996</v>
      </c>
      <c r="D85" s="375">
        <f t="shared" si="15"/>
        <v>3.3</v>
      </c>
      <c r="E85" s="375">
        <f t="shared" si="15"/>
        <v>1.7200000000000004</v>
      </c>
      <c r="F85" s="375">
        <f t="shared" si="15"/>
        <v>11.04</v>
      </c>
      <c r="G85" s="375">
        <f t="shared" si="15"/>
        <v>0.46000000000000035</v>
      </c>
      <c r="H85" s="375">
        <f t="shared" si="15"/>
        <v>0</v>
      </c>
      <c r="I85" s="375">
        <f t="shared" si="15"/>
        <v>0</v>
      </c>
      <c r="J85" s="375">
        <f t="shared" si="15"/>
        <v>0</v>
      </c>
      <c r="K85" s="375">
        <f t="shared" si="15"/>
        <v>0</v>
      </c>
      <c r="L85" s="375">
        <f t="shared" si="15"/>
        <v>0</v>
      </c>
      <c r="M85" s="375">
        <f t="shared" si="15"/>
        <v>0</v>
      </c>
      <c r="N85" s="375">
        <f t="shared" si="15"/>
        <v>0</v>
      </c>
      <c r="O85" s="375">
        <f t="shared" si="15"/>
        <v>0</v>
      </c>
      <c r="P85" s="375">
        <f t="shared" si="15"/>
        <v>0</v>
      </c>
      <c r="Q85" s="375">
        <f t="shared" si="15"/>
        <v>0</v>
      </c>
      <c r="R85" s="375">
        <f t="shared" si="15"/>
        <v>0</v>
      </c>
      <c r="S85" s="375">
        <f t="shared" si="15"/>
        <v>0</v>
      </c>
      <c r="T85" s="375">
        <f t="shared" si="15"/>
        <v>0</v>
      </c>
      <c r="U85" s="375">
        <f t="shared" si="15"/>
        <v>0</v>
      </c>
      <c r="V85" s="375">
        <f t="shared" si="15"/>
        <v>0</v>
      </c>
      <c r="W85" s="375">
        <f t="shared" si="15"/>
        <v>0</v>
      </c>
      <c r="X85" s="375">
        <f t="shared" si="15"/>
        <v>0</v>
      </c>
      <c r="Y85" s="369"/>
    </row>
    <row r="86" spans="1:26" ht="13.5" thickBot="1" x14ac:dyDescent="0.2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6" ht="13.5" thickBot="1" x14ac:dyDescent="0.25">
      <c r="A87" s="361" t="s">
        <v>330</v>
      </c>
      <c r="B87" s="359">
        <f>ROW(A87)</f>
        <v>87</v>
      </c>
      <c r="C87" s="363" t="s">
        <v>116</v>
      </c>
      <c r="D87" s="353">
        <f>SUM(B90:Y90)</f>
        <v>30.779999999999998</v>
      </c>
      <c r="E87" s="363" t="s">
        <v>115</v>
      </c>
      <c r="F87" s="354">
        <f>D87/g/J87</f>
        <v>80.451658433309774</v>
      </c>
      <c r="G87" s="363" t="s">
        <v>57</v>
      </c>
      <c r="H87" s="64">
        <f>H77*3</f>
        <v>7.2000000000000008E-2</v>
      </c>
      <c r="I87" s="363" t="s">
        <v>270</v>
      </c>
      <c r="J87" s="355">
        <f>H87-L87</f>
        <v>3.9000000000000007E-2</v>
      </c>
      <c r="K87" s="363" t="s">
        <v>271</v>
      </c>
      <c r="L87" s="64">
        <f>L77*3</f>
        <v>3.3000000000000002E-2</v>
      </c>
      <c r="M87" s="363" t="s">
        <v>58</v>
      </c>
      <c r="N87" s="65">
        <v>30</v>
      </c>
      <c r="O87" s="363" t="s">
        <v>60</v>
      </c>
      <c r="P87" s="65">
        <v>30</v>
      </c>
      <c r="Q87" s="363" t="s">
        <v>61</v>
      </c>
      <c r="R87" s="65">
        <v>70</v>
      </c>
      <c r="S87" s="363" t="s">
        <v>62</v>
      </c>
      <c r="T87" s="65">
        <v>40</v>
      </c>
      <c r="U87" s="363" t="s">
        <v>55</v>
      </c>
      <c r="V87" s="66" t="s">
        <v>118</v>
      </c>
      <c r="W87" s="463" t="s">
        <v>394</v>
      </c>
      <c r="X87" s="465">
        <v>1.7</v>
      </c>
      <c r="Y87" s="463" t="s">
        <v>393</v>
      </c>
      <c r="Z87" s="358">
        <v>3</v>
      </c>
    </row>
    <row r="88" spans="1:26" x14ac:dyDescent="0.2">
      <c r="A88" s="362" t="s">
        <v>33</v>
      </c>
      <c r="B88" s="370">
        <v>0</v>
      </c>
      <c r="C88" s="371">
        <v>0.2</v>
      </c>
      <c r="D88" s="371">
        <v>0.3</v>
      </c>
      <c r="E88" s="371">
        <v>0.6</v>
      </c>
      <c r="F88" s="371">
        <v>0.8</v>
      </c>
      <c r="G88" s="371">
        <v>2</v>
      </c>
      <c r="H88" s="371">
        <v>2.1</v>
      </c>
      <c r="I88" s="371">
        <v>2.1</v>
      </c>
      <c r="J88" s="371">
        <v>2.1</v>
      </c>
      <c r="K88" s="371">
        <v>2.1</v>
      </c>
      <c r="L88" s="371">
        <v>2.1</v>
      </c>
      <c r="M88" s="371">
        <v>2.1</v>
      </c>
      <c r="N88" s="371">
        <v>2.1</v>
      </c>
      <c r="O88" s="371">
        <v>2.1</v>
      </c>
      <c r="P88" s="371">
        <v>2.1</v>
      </c>
      <c r="Q88" s="371">
        <v>2.1</v>
      </c>
      <c r="R88" s="371">
        <v>2.1</v>
      </c>
      <c r="S88" s="371">
        <v>2.1</v>
      </c>
      <c r="T88" s="371">
        <v>2.1</v>
      </c>
      <c r="U88" s="371">
        <v>2.1</v>
      </c>
      <c r="V88" s="371">
        <v>2.1</v>
      </c>
      <c r="W88" s="371">
        <v>2.1</v>
      </c>
      <c r="X88" s="371">
        <v>2.1</v>
      </c>
      <c r="Y88" s="381">
        <v>1000</v>
      </c>
    </row>
    <row r="89" spans="1:26" x14ac:dyDescent="0.2">
      <c r="A89" s="378" t="s">
        <v>34</v>
      </c>
      <c r="B89" s="372">
        <f>B79*3</f>
        <v>0</v>
      </c>
      <c r="C89" s="373">
        <f t="shared" ref="C89:X89" si="16">C79*3</f>
        <v>33</v>
      </c>
      <c r="D89" s="373">
        <f t="shared" si="16"/>
        <v>21</v>
      </c>
      <c r="E89" s="373">
        <f t="shared" si="16"/>
        <v>12</v>
      </c>
      <c r="F89" s="373">
        <f t="shared" si="16"/>
        <v>13.799999999999999</v>
      </c>
      <c r="G89" s="373">
        <f t="shared" si="16"/>
        <v>13.799999999999999</v>
      </c>
      <c r="H89" s="373">
        <f t="shared" si="16"/>
        <v>0</v>
      </c>
      <c r="I89" s="373">
        <f t="shared" si="16"/>
        <v>0</v>
      </c>
      <c r="J89" s="373">
        <f t="shared" si="16"/>
        <v>0</v>
      </c>
      <c r="K89" s="373">
        <f t="shared" si="16"/>
        <v>0</v>
      </c>
      <c r="L89" s="373">
        <f t="shared" si="16"/>
        <v>0</v>
      </c>
      <c r="M89" s="373">
        <f t="shared" si="16"/>
        <v>0</v>
      </c>
      <c r="N89" s="373">
        <f t="shared" si="16"/>
        <v>0</v>
      </c>
      <c r="O89" s="373">
        <f t="shared" si="16"/>
        <v>0</v>
      </c>
      <c r="P89" s="373">
        <f t="shared" si="16"/>
        <v>0</v>
      </c>
      <c r="Q89" s="373">
        <f t="shared" si="16"/>
        <v>0</v>
      </c>
      <c r="R89" s="373">
        <f t="shared" si="16"/>
        <v>0</v>
      </c>
      <c r="S89" s="373">
        <f t="shared" si="16"/>
        <v>0</v>
      </c>
      <c r="T89" s="373">
        <f t="shared" si="16"/>
        <v>0</v>
      </c>
      <c r="U89" s="373">
        <f t="shared" si="16"/>
        <v>0</v>
      </c>
      <c r="V89" s="373">
        <f t="shared" si="16"/>
        <v>0</v>
      </c>
      <c r="W89" s="373">
        <f t="shared" si="16"/>
        <v>0</v>
      </c>
      <c r="X89" s="373">
        <f t="shared" si="16"/>
        <v>0</v>
      </c>
      <c r="Y89" s="382">
        <v>0</v>
      </c>
    </row>
    <row r="90" spans="1:26" ht="13.5" thickBot="1" x14ac:dyDescent="0.25">
      <c r="A90" s="379" t="s">
        <v>117</v>
      </c>
      <c r="B90" s="374">
        <f t="shared" ref="B90:X90" si="17">(C89+B89)*(C88-B88)/2</f>
        <v>3.3000000000000003</v>
      </c>
      <c r="C90" s="375">
        <f t="shared" si="17"/>
        <v>2.6999999999999993</v>
      </c>
      <c r="D90" s="375">
        <f t="shared" si="17"/>
        <v>4.95</v>
      </c>
      <c r="E90" s="375">
        <f t="shared" si="17"/>
        <v>2.5800000000000005</v>
      </c>
      <c r="F90" s="375">
        <f t="shared" si="17"/>
        <v>16.559999999999999</v>
      </c>
      <c r="G90" s="375">
        <f t="shared" si="17"/>
        <v>0.69000000000000061</v>
      </c>
      <c r="H90" s="375">
        <f t="shared" si="17"/>
        <v>0</v>
      </c>
      <c r="I90" s="375">
        <f t="shared" si="17"/>
        <v>0</v>
      </c>
      <c r="J90" s="375">
        <f t="shared" si="17"/>
        <v>0</v>
      </c>
      <c r="K90" s="375">
        <f t="shared" si="17"/>
        <v>0</v>
      </c>
      <c r="L90" s="375">
        <f t="shared" si="17"/>
        <v>0</v>
      </c>
      <c r="M90" s="375">
        <f t="shared" si="17"/>
        <v>0</v>
      </c>
      <c r="N90" s="375">
        <f t="shared" si="17"/>
        <v>0</v>
      </c>
      <c r="O90" s="375">
        <f t="shared" si="17"/>
        <v>0</v>
      </c>
      <c r="P90" s="375">
        <f t="shared" si="17"/>
        <v>0</v>
      </c>
      <c r="Q90" s="375">
        <f t="shared" si="17"/>
        <v>0</v>
      </c>
      <c r="R90" s="375">
        <f t="shared" si="17"/>
        <v>0</v>
      </c>
      <c r="S90" s="375">
        <f t="shared" si="17"/>
        <v>0</v>
      </c>
      <c r="T90" s="375">
        <f t="shared" si="17"/>
        <v>0</v>
      </c>
      <c r="U90" s="375">
        <f t="shared" si="17"/>
        <v>0</v>
      </c>
      <c r="V90" s="375">
        <f t="shared" si="17"/>
        <v>0</v>
      </c>
      <c r="W90" s="375">
        <f t="shared" si="17"/>
        <v>0</v>
      </c>
      <c r="X90" s="375">
        <f t="shared" si="17"/>
        <v>0</v>
      </c>
      <c r="Y90" s="369"/>
    </row>
    <row r="91" spans="1:26" ht="13.5" thickBot="1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6" ht="13.5" thickBot="1" x14ac:dyDescent="0.25">
      <c r="A92" s="361" t="s">
        <v>541</v>
      </c>
      <c r="B92" s="359">
        <f>ROW(A92)</f>
        <v>92</v>
      </c>
      <c r="C92" s="363" t="s">
        <v>116</v>
      </c>
      <c r="D92" s="353">
        <f>SUM(B95:Y95)</f>
        <v>19.961989000000003</v>
      </c>
      <c r="E92" s="363" t="s">
        <v>115</v>
      </c>
      <c r="F92" s="354">
        <f>D92/g/J92</f>
        <v>118.30588744280873</v>
      </c>
      <c r="G92" s="363" t="s">
        <v>57</v>
      </c>
      <c r="H92" s="64">
        <v>2.8199999999999999E-2</v>
      </c>
      <c r="I92" s="363" t="s">
        <v>270</v>
      </c>
      <c r="J92" s="355">
        <f>H92-L92</f>
        <v>1.72E-2</v>
      </c>
      <c r="K92" s="363" t="s">
        <v>271</v>
      </c>
      <c r="L92" s="64">
        <v>1.0999999999999999E-2</v>
      </c>
      <c r="M92" s="363" t="s">
        <v>58</v>
      </c>
      <c r="N92" s="65">
        <v>30</v>
      </c>
      <c r="O92" s="363" t="s">
        <v>60</v>
      </c>
      <c r="P92" s="65">
        <v>30</v>
      </c>
      <c r="Q92" s="363" t="s">
        <v>61</v>
      </c>
      <c r="R92" s="65">
        <v>70</v>
      </c>
      <c r="S92" s="363" t="s">
        <v>62</v>
      </c>
      <c r="T92" s="65">
        <v>18</v>
      </c>
      <c r="U92" s="363" t="s">
        <v>55</v>
      </c>
      <c r="V92" s="66" t="s">
        <v>401</v>
      </c>
      <c r="W92" s="463" t="s">
        <v>394</v>
      </c>
      <c r="X92" s="465">
        <v>2.1</v>
      </c>
      <c r="Y92" s="463" t="s">
        <v>393</v>
      </c>
      <c r="Z92" s="358">
        <v>7</v>
      </c>
    </row>
    <row r="93" spans="1:26" x14ac:dyDescent="0.2">
      <c r="A93" s="362" t="s">
        <v>33</v>
      </c>
      <c r="B93" s="370">
        <v>0</v>
      </c>
      <c r="C93" s="472">
        <v>0.04</v>
      </c>
      <c r="D93" s="472">
        <v>0.11600000000000001</v>
      </c>
      <c r="E93" s="472">
        <v>0.21299999999999999</v>
      </c>
      <c r="F93" s="472">
        <v>0.28599999999999998</v>
      </c>
      <c r="G93" s="472">
        <v>0.32900000000000001</v>
      </c>
      <c r="H93" s="472">
        <v>0.36899999999999999</v>
      </c>
      <c r="I93" s="472">
        <v>0.42</v>
      </c>
      <c r="J93" s="472">
        <v>0.495</v>
      </c>
      <c r="K93" s="472">
        <v>0.59699999999999998</v>
      </c>
      <c r="L93" s="472">
        <v>1.7110000000000001</v>
      </c>
      <c r="M93" s="472">
        <v>1.8260000000000001</v>
      </c>
      <c r="N93" s="472">
        <v>1.917</v>
      </c>
      <c r="O93" s="472">
        <v>1.9750000000000001</v>
      </c>
      <c r="P93" s="472">
        <v>2.206</v>
      </c>
      <c r="Q93" s="472">
        <v>2.242</v>
      </c>
      <c r="R93" s="371">
        <v>2.5</v>
      </c>
      <c r="S93" s="371">
        <v>2.5</v>
      </c>
      <c r="T93" s="371">
        <v>2.5</v>
      </c>
      <c r="U93" s="371">
        <v>2.5</v>
      </c>
      <c r="V93" s="371">
        <v>2.5</v>
      </c>
      <c r="W93" s="371">
        <v>2.5</v>
      </c>
      <c r="X93" s="371">
        <v>2.5</v>
      </c>
      <c r="Y93" s="381">
        <v>1000</v>
      </c>
    </row>
    <row r="94" spans="1:26" x14ac:dyDescent="0.2">
      <c r="A94" s="378" t="s">
        <v>34</v>
      </c>
      <c r="B94" s="372">
        <v>0</v>
      </c>
      <c r="C94" s="472">
        <v>2.1110000000000002</v>
      </c>
      <c r="D94" s="472">
        <v>9.6850000000000005</v>
      </c>
      <c r="E94" s="472">
        <v>25</v>
      </c>
      <c r="F94" s="472">
        <v>15.738</v>
      </c>
      <c r="G94" s="472">
        <v>12.472</v>
      </c>
      <c r="H94" s="472">
        <v>10.67</v>
      </c>
      <c r="I94" s="472">
        <v>9.7129999999999992</v>
      </c>
      <c r="J94" s="472">
        <v>9.1780000000000008</v>
      </c>
      <c r="K94" s="472">
        <v>8.8960000000000008</v>
      </c>
      <c r="L94" s="472">
        <v>8.9250000000000007</v>
      </c>
      <c r="M94" s="472">
        <v>8.6989999999999998</v>
      </c>
      <c r="N94" s="472">
        <v>8.0519999999999996</v>
      </c>
      <c r="O94" s="472">
        <v>6.9539999999999997</v>
      </c>
      <c r="P94" s="472">
        <v>1.07</v>
      </c>
      <c r="Q94" s="472">
        <v>0</v>
      </c>
      <c r="R94" s="373">
        <v>0</v>
      </c>
      <c r="S94" s="373">
        <v>0</v>
      </c>
      <c r="T94" s="373">
        <v>0</v>
      </c>
      <c r="U94" s="373">
        <v>0</v>
      </c>
      <c r="V94" s="373">
        <v>0</v>
      </c>
      <c r="W94" s="373">
        <v>0</v>
      </c>
      <c r="X94" s="373">
        <v>0</v>
      </c>
      <c r="Y94" s="382">
        <v>0</v>
      </c>
    </row>
    <row r="95" spans="1:26" ht="13.5" thickBot="1" x14ac:dyDescent="0.25">
      <c r="A95" s="379" t="s">
        <v>117</v>
      </c>
      <c r="B95" s="374">
        <f t="shared" ref="B95:X95" si="18">(C94+B94)*(C93-B93)/2</f>
        <v>4.2220000000000008E-2</v>
      </c>
      <c r="C95" s="375">
        <f t="shared" si="18"/>
        <v>0.44824800000000009</v>
      </c>
      <c r="D95" s="375">
        <f t="shared" si="18"/>
        <v>1.6822225</v>
      </c>
      <c r="E95" s="375">
        <f t="shared" si="18"/>
        <v>1.4869369999999995</v>
      </c>
      <c r="F95" s="375">
        <f t="shared" si="18"/>
        <v>0.60651500000000058</v>
      </c>
      <c r="G95" s="375">
        <f t="shared" si="18"/>
        <v>0.46283999999999975</v>
      </c>
      <c r="H95" s="375">
        <f t="shared" si="18"/>
        <v>0.51976649999999991</v>
      </c>
      <c r="I95" s="375">
        <f t="shared" si="18"/>
        <v>0.7084125</v>
      </c>
      <c r="J95" s="375">
        <f t="shared" si="18"/>
        <v>0.92177399999999987</v>
      </c>
      <c r="K95" s="375">
        <f t="shared" si="18"/>
        <v>9.9262970000000017</v>
      </c>
      <c r="L95" s="375">
        <f t="shared" si="18"/>
        <v>1.0133799999999999</v>
      </c>
      <c r="M95" s="375">
        <f t="shared" si="18"/>
        <v>0.76217049999999964</v>
      </c>
      <c r="N95" s="375">
        <f t="shared" si="18"/>
        <v>0.43517400000000039</v>
      </c>
      <c r="O95" s="375">
        <f t="shared" si="18"/>
        <v>0.92677199999999937</v>
      </c>
      <c r="P95" s="375">
        <f t="shared" si="18"/>
        <v>1.9260000000000017E-2</v>
      </c>
      <c r="Q95" s="375">
        <f t="shared" si="18"/>
        <v>0</v>
      </c>
      <c r="R95" s="375">
        <f t="shared" si="18"/>
        <v>0</v>
      </c>
      <c r="S95" s="375">
        <f t="shared" si="18"/>
        <v>0</v>
      </c>
      <c r="T95" s="375">
        <f t="shared" si="18"/>
        <v>0</v>
      </c>
      <c r="U95" s="375">
        <f t="shared" si="18"/>
        <v>0</v>
      </c>
      <c r="V95" s="375">
        <f t="shared" si="18"/>
        <v>0</v>
      </c>
      <c r="W95" s="375">
        <f t="shared" si="18"/>
        <v>0</v>
      </c>
      <c r="X95" s="375">
        <f t="shared" si="18"/>
        <v>0</v>
      </c>
      <c r="Y95" s="369"/>
    </row>
    <row r="96" spans="1:26" ht="13.5" thickBot="1" x14ac:dyDescent="0.25">
      <c r="A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6" ht="13.5" thickBot="1" x14ac:dyDescent="0.25">
      <c r="A97" s="361" t="s">
        <v>539</v>
      </c>
      <c r="B97" s="359">
        <f>ROW(A97)</f>
        <v>97</v>
      </c>
      <c r="C97" s="363" t="s">
        <v>116</v>
      </c>
      <c r="D97" s="353">
        <f>SUM(B100:Y100)</f>
        <v>39.923978000000005</v>
      </c>
      <c r="E97" s="363" t="s">
        <v>115</v>
      </c>
      <c r="F97" s="354">
        <f>D97/g/J97</f>
        <v>118.30588744280873</v>
      </c>
      <c r="G97" s="363" t="s">
        <v>57</v>
      </c>
      <c r="H97" s="64">
        <f>H92*2</f>
        <v>5.6399999999999999E-2</v>
      </c>
      <c r="I97" s="363" t="s">
        <v>270</v>
      </c>
      <c r="J97" s="355">
        <f>H97-L97</f>
        <v>3.44E-2</v>
      </c>
      <c r="K97" s="363" t="s">
        <v>271</v>
      </c>
      <c r="L97" s="64">
        <f>L92*2</f>
        <v>2.1999999999999999E-2</v>
      </c>
      <c r="M97" s="363" t="s">
        <v>58</v>
      </c>
      <c r="N97" s="65">
        <v>30</v>
      </c>
      <c r="O97" s="363" t="s">
        <v>60</v>
      </c>
      <c r="P97" s="65">
        <v>30</v>
      </c>
      <c r="Q97" s="363" t="s">
        <v>61</v>
      </c>
      <c r="R97" s="65">
        <v>70</v>
      </c>
      <c r="S97" s="363" t="s">
        <v>62</v>
      </c>
      <c r="T97" s="65">
        <v>30</v>
      </c>
      <c r="U97" s="363" t="s">
        <v>55</v>
      </c>
      <c r="V97" s="66" t="s">
        <v>401</v>
      </c>
      <c r="W97" s="463" t="s">
        <v>394</v>
      </c>
      <c r="X97" s="465">
        <v>2.1</v>
      </c>
      <c r="Y97" s="463" t="s">
        <v>393</v>
      </c>
      <c r="Z97" s="358">
        <v>7</v>
      </c>
    </row>
    <row r="98" spans="1:26" x14ac:dyDescent="0.2">
      <c r="A98" s="362" t="s">
        <v>33</v>
      </c>
      <c r="B98" s="370">
        <v>0</v>
      </c>
      <c r="C98" s="371">
        <f>C93</f>
        <v>0.04</v>
      </c>
      <c r="D98" s="371">
        <f t="shared" ref="D98:X98" si="19">D93</f>
        <v>0.11600000000000001</v>
      </c>
      <c r="E98" s="371">
        <f t="shared" si="19"/>
        <v>0.21299999999999999</v>
      </c>
      <c r="F98" s="371">
        <f t="shared" si="19"/>
        <v>0.28599999999999998</v>
      </c>
      <c r="G98" s="371">
        <f t="shared" si="19"/>
        <v>0.32900000000000001</v>
      </c>
      <c r="H98" s="371">
        <f t="shared" si="19"/>
        <v>0.36899999999999999</v>
      </c>
      <c r="I98" s="371">
        <f t="shared" si="19"/>
        <v>0.42</v>
      </c>
      <c r="J98" s="371">
        <f t="shared" si="19"/>
        <v>0.495</v>
      </c>
      <c r="K98" s="371">
        <f t="shared" si="19"/>
        <v>0.59699999999999998</v>
      </c>
      <c r="L98" s="371">
        <f t="shared" si="19"/>
        <v>1.7110000000000001</v>
      </c>
      <c r="M98" s="371">
        <f t="shared" si="19"/>
        <v>1.8260000000000001</v>
      </c>
      <c r="N98" s="371">
        <f t="shared" si="19"/>
        <v>1.917</v>
      </c>
      <c r="O98" s="371">
        <f t="shared" si="19"/>
        <v>1.9750000000000001</v>
      </c>
      <c r="P98" s="371">
        <f t="shared" si="19"/>
        <v>2.206</v>
      </c>
      <c r="Q98" s="371">
        <f t="shared" si="19"/>
        <v>2.242</v>
      </c>
      <c r="R98" s="371">
        <f t="shared" si="19"/>
        <v>2.5</v>
      </c>
      <c r="S98" s="371">
        <f>S93</f>
        <v>2.5</v>
      </c>
      <c r="T98" s="371">
        <f t="shared" si="19"/>
        <v>2.5</v>
      </c>
      <c r="U98" s="371">
        <f t="shared" si="19"/>
        <v>2.5</v>
      </c>
      <c r="V98" s="371">
        <f t="shared" si="19"/>
        <v>2.5</v>
      </c>
      <c r="W98" s="371">
        <f t="shared" si="19"/>
        <v>2.5</v>
      </c>
      <c r="X98" s="371">
        <f t="shared" si="19"/>
        <v>2.5</v>
      </c>
      <c r="Y98" s="381">
        <v>1000</v>
      </c>
    </row>
    <row r="99" spans="1:26" x14ac:dyDescent="0.2">
      <c r="A99" s="378" t="s">
        <v>34</v>
      </c>
      <c r="B99" s="372">
        <f>B94*2</f>
        <v>0</v>
      </c>
      <c r="C99" s="373">
        <f t="shared" ref="C99:X99" si="20">C94*2</f>
        <v>4.2220000000000004</v>
      </c>
      <c r="D99" s="373">
        <f t="shared" si="20"/>
        <v>19.37</v>
      </c>
      <c r="E99" s="373">
        <f t="shared" si="20"/>
        <v>50</v>
      </c>
      <c r="F99" s="373">
        <f t="shared" si="20"/>
        <v>31.475999999999999</v>
      </c>
      <c r="G99" s="373">
        <f t="shared" si="20"/>
        <v>24.943999999999999</v>
      </c>
      <c r="H99" s="373">
        <f t="shared" si="20"/>
        <v>21.34</v>
      </c>
      <c r="I99" s="373">
        <f t="shared" si="20"/>
        <v>19.425999999999998</v>
      </c>
      <c r="J99" s="373">
        <f t="shared" si="20"/>
        <v>18.356000000000002</v>
      </c>
      <c r="K99" s="373">
        <f t="shared" si="20"/>
        <v>17.792000000000002</v>
      </c>
      <c r="L99" s="373">
        <f t="shared" si="20"/>
        <v>17.850000000000001</v>
      </c>
      <c r="M99" s="373">
        <f t="shared" si="20"/>
        <v>17.398</v>
      </c>
      <c r="N99" s="373">
        <f t="shared" si="20"/>
        <v>16.103999999999999</v>
      </c>
      <c r="O99" s="373">
        <f t="shared" si="20"/>
        <v>13.907999999999999</v>
      </c>
      <c r="P99" s="373">
        <f t="shared" si="20"/>
        <v>2.14</v>
      </c>
      <c r="Q99" s="373">
        <f t="shared" si="20"/>
        <v>0</v>
      </c>
      <c r="R99" s="373">
        <f t="shared" si="20"/>
        <v>0</v>
      </c>
      <c r="S99" s="373">
        <f t="shared" si="20"/>
        <v>0</v>
      </c>
      <c r="T99" s="373">
        <f t="shared" si="20"/>
        <v>0</v>
      </c>
      <c r="U99" s="373">
        <f t="shared" si="20"/>
        <v>0</v>
      </c>
      <c r="V99" s="373">
        <f t="shared" si="20"/>
        <v>0</v>
      </c>
      <c r="W99" s="373">
        <f t="shared" si="20"/>
        <v>0</v>
      </c>
      <c r="X99" s="373">
        <f t="shared" si="20"/>
        <v>0</v>
      </c>
      <c r="Y99" s="382">
        <v>0</v>
      </c>
    </row>
    <row r="100" spans="1:26" ht="13.5" thickBot="1" x14ac:dyDescent="0.25">
      <c r="A100" s="379" t="s">
        <v>117</v>
      </c>
      <c r="B100" s="374">
        <f t="shared" ref="B100:X100" si="21">(C99+B99)*(C98-B98)/2</f>
        <v>8.4440000000000015E-2</v>
      </c>
      <c r="C100" s="375">
        <f t="shared" si="21"/>
        <v>0.89649600000000018</v>
      </c>
      <c r="D100" s="375">
        <f t="shared" si="21"/>
        <v>3.3644449999999999</v>
      </c>
      <c r="E100" s="375">
        <f t="shared" si="21"/>
        <v>2.973873999999999</v>
      </c>
      <c r="F100" s="375">
        <f t="shared" si="21"/>
        <v>1.2130300000000012</v>
      </c>
      <c r="G100" s="375">
        <f t="shared" si="21"/>
        <v>0.9256799999999995</v>
      </c>
      <c r="H100" s="375">
        <f t="shared" si="21"/>
        <v>1.0395329999999998</v>
      </c>
      <c r="I100" s="375">
        <f t="shared" si="21"/>
        <v>1.416825</v>
      </c>
      <c r="J100" s="375">
        <f t="shared" si="21"/>
        <v>1.8435479999999997</v>
      </c>
      <c r="K100" s="375">
        <f t="shared" si="21"/>
        <v>19.852594000000003</v>
      </c>
      <c r="L100" s="375">
        <f t="shared" si="21"/>
        <v>2.0267599999999999</v>
      </c>
      <c r="M100" s="375">
        <f t="shared" si="21"/>
        <v>1.5243409999999993</v>
      </c>
      <c r="N100" s="375">
        <f t="shared" si="21"/>
        <v>0.87034800000000079</v>
      </c>
      <c r="O100" s="375">
        <f t="shared" si="21"/>
        <v>1.8535439999999987</v>
      </c>
      <c r="P100" s="375">
        <f t="shared" si="21"/>
        <v>3.8520000000000033E-2</v>
      </c>
      <c r="Q100" s="375">
        <f t="shared" si="21"/>
        <v>0</v>
      </c>
      <c r="R100" s="375">
        <f t="shared" si="21"/>
        <v>0</v>
      </c>
      <c r="S100" s="375">
        <f t="shared" si="21"/>
        <v>0</v>
      </c>
      <c r="T100" s="375">
        <f t="shared" si="21"/>
        <v>0</v>
      </c>
      <c r="U100" s="375">
        <f t="shared" si="21"/>
        <v>0</v>
      </c>
      <c r="V100" s="375">
        <f t="shared" si="21"/>
        <v>0</v>
      </c>
      <c r="W100" s="375">
        <f t="shared" si="21"/>
        <v>0</v>
      </c>
      <c r="X100" s="375">
        <f t="shared" si="21"/>
        <v>0</v>
      </c>
      <c r="Y100" s="369"/>
    </row>
    <row r="101" spans="1:26" ht="13.5" thickBot="1" x14ac:dyDescent="0.2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6" ht="13.5" thickBot="1" x14ac:dyDescent="0.25">
      <c r="A102" s="361" t="s">
        <v>540</v>
      </c>
      <c r="B102" s="359">
        <f>ROW(A102)</f>
        <v>102</v>
      </c>
      <c r="C102" s="363" t="s">
        <v>116</v>
      </c>
      <c r="D102" s="353">
        <f>SUM(B105:Y105)</f>
        <v>59.885967000000008</v>
      </c>
      <c r="E102" s="363" t="s">
        <v>115</v>
      </c>
      <c r="F102" s="354">
        <f>D102/g/J102</f>
        <v>118.30588744280874</v>
      </c>
      <c r="G102" s="363" t="s">
        <v>57</v>
      </c>
      <c r="H102" s="64">
        <f>H92*3</f>
        <v>8.4599999999999995E-2</v>
      </c>
      <c r="I102" s="363" t="s">
        <v>270</v>
      </c>
      <c r="J102" s="355">
        <f>H102-L102</f>
        <v>5.1599999999999993E-2</v>
      </c>
      <c r="K102" s="363" t="s">
        <v>271</v>
      </c>
      <c r="L102" s="64">
        <f>L92*3</f>
        <v>3.3000000000000002E-2</v>
      </c>
      <c r="M102" s="363" t="s">
        <v>58</v>
      </c>
      <c r="N102" s="65">
        <v>30</v>
      </c>
      <c r="O102" s="363" t="s">
        <v>60</v>
      </c>
      <c r="P102" s="65">
        <v>30</v>
      </c>
      <c r="Q102" s="363" t="s">
        <v>61</v>
      </c>
      <c r="R102" s="65">
        <v>70</v>
      </c>
      <c r="S102" s="363" t="s">
        <v>62</v>
      </c>
      <c r="T102" s="65">
        <v>40</v>
      </c>
      <c r="U102" s="363" t="s">
        <v>55</v>
      </c>
      <c r="V102" s="66" t="s">
        <v>401</v>
      </c>
      <c r="W102" s="463" t="s">
        <v>394</v>
      </c>
      <c r="X102" s="465">
        <v>2.1</v>
      </c>
      <c r="Y102" s="463" t="s">
        <v>393</v>
      </c>
      <c r="Z102" s="358">
        <v>7</v>
      </c>
    </row>
    <row r="103" spans="1:26" x14ac:dyDescent="0.2">
      <c r="A103" s="362" t="s">
        <v>33</v>
      </c>
      <c r="B103" s="370">
        <v>0</v>
      </c>
      <c r="C103" s="371">
        <f>C93</f>
        <v>0.04</v>
      </c>
      <c r="D103" s="371">
        <f t="shared" ref="D103:X103" si="22">D93</f>
        <v>0.11600000000000001</v>
      </c>
      <c r="E103" s="371">
        <f t="shared" si="22"/>
        <v>0.21299999999999999</v>
      </c>
      <c r="F103" s="371">
        <f t="shared" si="22"/>
        <v>0.28599999999999998</v>
      </c>
      <c r="G103" s="371">
        <f t="shared" si="22"/>
        <v>0.32900000000000001</v>
      </c>
      <c r="H103" s="371">
        <f t="shared" si="22"/>
        <v>0.36899999999999999</v>
      </c>
      <c r="I103" s="371">
        <f t="shared" si="22"/>
        <v>0.42</v>
      </c>
      <c r="J103" s="371">
        <f t="shared" si="22"/>
        <v>0.495</v>
      </c>
      <c r="K103" s="371">
        <f t="shared" si="22"/>
        <v>0.59699999999999998</v>
      </c>
      <c r="L103" s="371">
        <f t="shared" si="22"/>
        <v>1.7110000000000001</v>
      </c>
      <c r="M103" s="371">
        <f t="shared" si="22"/>
        <v>1.8260000000000001</v>
      </c>
      <c r="N103" s="371">
        <f t="shared" si="22"/>
        <v>1.917</v>
      </c>
      <c r="O103" s="371">
        <f t="shared" si="22"/>
        <v>1.9750000000000001</v>
      </c>
      <c r="P103" s="371">
        <f t="shared" si="22"/>
        <v>2.206</v>
      </c>
      <c r="Q103" s="371">
        <f t="shared" si="22"/>
        <v>2.242</v>
      </c>
      <c r="R103" s="371">
        <f t="shared" si="22"/>
        <v>2.5</v>
      </c>
      <c r="S103" s="371">
        <f t="shared" si="22"/>
        <v>2.5</v>
      </c>
      <c r="T103" s="371">
        <f t="shared" si="22"/>
        <v>2.5</v>
      </c>
      <c r="U103" s="371">
        <f t="shared" si="22"/>
        <v>2.5</v>
      </c>
      <c r="V103" s="371">
        <f t="shared" si="22"/>
        <v>2.5</v>
      </c>
      <c r="W103" s="371">
        <f t="shared" si="22"/>
        <v>2.5</v>
      </c>
      <c r="X103" s="371">
        <f t="shared" si="22"/>
        <v>2.5</v>
      </c>
      <c r="Y103" s="381">
        <v>1000</v>
      </c>
    </row>
    <row r="104" spans="1:26" x14ac:dyDescent="0.2">
      <c r="A104" s="378" t="s">
        <v>34</v>
      </c>
      <c r="B104" s="372">
        <f>B94*3</f>
        <v>0</v>
      </c>
      <c r="C104" s="373">
        <f t="shared" ref="C104:X104" si="23">C94*3</f>
        <v>6.3330000000000002</v>
      </c>
      <c r="D104" s="373">
        <f t="shared" si="23"/>
        <v>29.055</v>
      </c>
      <c r="E104" s="373">
        <f t="shared" si="23"/>
        <v>75</v>
      </c>
      <c r="F104" s="373">
        <f t="shared" si="23"/>
        <v>47.213999999999999</v>
      </c>
      <c r="G104" s="373">
        <f t="shared" si="23"/>
        <v>37.415999999999997</v>
      </c>
      <c r="H104" s="373">
        <f t="shared" si="23"/>
        <v>32.01</v>
      </c>
      <c r="I104" s="373">
        <f t="shared" si="23"/>
        <v>29.138999999999996</v>
      </c>
      <c r="J104" s="373">
        <f t="shared" si="23"/>
        <v>27.534000000000002</v>
      </c>
      <c r="K104" s="373">
        <f t="shared" si="23"/>
        <v>26.688000000000002</v>
      </c>
      <c r="L104" s="373">
        <f t="shared" si="23"/>
        <v>26.775000000000002</v>
      </c>
      <c r="M104" s="373">
        <f t="shared" si="23"/>
        <v>26.097000000000001</v>
      </c>
      <c r="N104" s="373">
        <f t="shared" si="23"/>
        <v>24.155999999999999</v>
      </c>
      <c r="O104" s="373">
        <f t="shared" si="23"/>
        <v>20.861999999999998</v>
      </c>
      <c r="P104" s="373">
        <f t="shared" si="23"/>
        <v>3.21</v>
      </c>
      <c r="Q104" s="373">
        <f t="shared" si="23"/>
        <v>0</v>
      </c>
      <c r="R104" s="373">
        <f t="shared" si="23"/>
        <v>0</v>
      </c>
      <c r="S104" s="373">
        <f t="shared" si="23"/>
        <v>0</v>
      </c>
      <c r="T104" s="373">
        <f t="shared" si="23"/>
        <v>0</v>
      </c>
      <c r="U104" s="373">
        <f t="shared" si="23"/>
        <v>0</v>
      </c>
      <c r="V104" s="373">
        <f t="shared" si="23"/>
        <v>0</v>
      </c>
      <c r="W104" s="373">
        <f t="shared" si="23"/>
        <v>0</v>
      </c>
      <c r="X104" s="373">
        <f t="shared" si="23"/>
        <v>0</v>
      </c>
      <c r="Y104" s="382">
        <v>0</v>
      </c>
    </row>
    <row r="105" spans="1:26" ht="13.5" thickBot="1" x14ac:dyDescent="0.25">
      <c r="A105" s="379" t="s">
        <v>117</v>
      </c>
      <c r="B105" s="374">
        <f t="shared" ref="B105:X105" si="24">(C104+B104)*(C103-B103)/2</f>
        <v>0.12665999999999999</v>
      </c>
      <c r="C105" s="375">
        <f t="shared" si="24"/>
        <v>1.3447440000000002</v>
      </c>
      <c r="D105" s="375">
        <f t="shared" si="24"/>
        <v>5.0466674999999999</v>
      </c>
      <c r="E105" s="375">
        <f t="shared" si="24"/>
        <v>4.4608109999999987</v>
      </c>
      <c r="F105" s="375">
        <f t="shared" si="24"/>
        <v>1.8195450000000015</v>
      </c>
      <c r="G105" s="375">
        <f t="shared" si="24"/>
        <v>1.3885199999999991</v>
      </c>
      <c r="H105" s="375">
        <f t="shared" si="24"/>
        <v>1.5592994999999996</v>
      </c>
      <c r="I105" s="375">
        <f t="shared" si="24"/>
        <v>2.1252375000000003</v>
      </c>
      <c r="J105" s="375">
        <f t="shared" si="24"/>
        <v>2.7653219999999998</v>
      </c>
      <c r="K105" s="375">
        <f t="shared" si="24"/>
        <v>29.778891000000009</v>
      </c>
      <c r="L105" s="375">
        <f t="shared" si="24"/>
        <v>3.0401399999999996</v>
      </c>
      <c r="M105" s="375">
        <f t="shared" si="24"/>
        <v>2.2865114999999991</v>
      </c>
      <c r="N105" s="375">
        <f t="shared" si="24"/>
        <v>1.3055220000000012</v>
      </c>
      <c r="O105" s="375">
        <f t="shared" si="24"/>
        <v>2.7803159999999982</v>
      </c>
      <c r="P105" s="375">
        <f t="shared" si="24"/>
        <v>5.7780000000000054E-2</v>
      </c>
      <c r="Q105" s="375">
        <f t="shared" si="24"/>
        <v>0</v>
      </c>
      <c r="R105" s="375">
        <f t="shared" si="24"/>
        <v>0</v>
      </c>
      <c r="S105" s="375">
        <f t="shared" si="24"/>
        <v>0</v>
      </c>
      <c r="T105" s="375">
        <f t="shared" si="24"/>
        <v>0</v>
      </c>
      <c r="U105" s="375">
        <f t="shared" si="24"/>
        <v>0</v>
      </c>
      <c r="V105" s="375">
        <f t="shared" si="24"/>
        <v>0</v>
      </c>
      <c r="W105" s="375">
        <f t="shared" si="24"/>
        <v>0</v>
      </c>
      <c r="X105" s="375">
        <f t="shared" si="24"/>
        <v>0</v>
      </c>
      <c r="Y105" s="369"/>
    </row>
    <row r="107" spans="1:26" ht="13.5" thickBot="1" x14ac:dyDescent="0.25">
      <c r="A107" s="6" t="s">
        <v>316</v>
      </c>
    </row>
    <row r="108" spans="1:26" ht="13.5" thickBot="1" x14ac:dyDescent="0.25">
      <c r="A108" s="361" t="s">
        <v>319</v>
      </c>
      <c r="B108" s="359">
        <f>ROW(A108)</f>
        <v>108</v>
      </c>
      <c r="C108" s="363" t="s">
        <v>116</v>
      </c>
      <c r="D108" s="353">
        <f>SUM(B111:Y111)</f>
        <v>24.269519000000003</v>
      </c>
      <c r="E108" s="363" t="s">
        <v>115</v>
      </c>
      <c r="F108" s="354">
        <f>D108/g/J108</f>
        <v>154.62231778797147</v>
      </c>
      <c r="G108" s="363" t="s">
        <v>57</v>
      </c>
      <c r="H108" s="64">
        <v>5.1999999999999998E-2</v>
      </c>
      <c r="I108" s="363" t="s">
        <v>270</v>
      </c>
      <c r="J108" s="355">
        <f>H108-L108</f>
        <v>1.6E-2</v>
      </c>
      <c r="K108" s="363" t="s">
        <v>271</v>
      </c>
      <c r="L108" s="64">
        <v>3.5999999999999997E-2</v>
      </c>
      <c r="M108" s="363" t="s">
        <v>58</v>
      </c>
      <c r="N108" s="396">
        <v>35</v>
      </c>
      <c r="O108" s="363" t="s">
        <v>60</v>
      </c>
      <c r="P108" s="396">
        <v>35</v>
      </c>
      <c r="Q108" s="363" t="s">
        <v>61</v>
      </c>
      <c r="R108" s="65">
        <v>69</v>
      </c>
      <c r="S108" s="363" t="s">
        <v>62</v>
      </c>
      <c r="T108" s="65">
        <v>24</v>
      </c>
      <c r="U108" s="363" t="s">
        <v>55</v>
      </c>
      <c r="V108" s="66" t="s">
        <v>399</v>
      </c>
      <c r="W108" s="463" t="s">
        <v>394</v>
      </c>
      <c r="X108" s="465">
        <v>1</v>
      </c>
      <c r="Y108" s="463" t="s">
        <v>393</v>
      </c>
      <c r="Z108" s="358">
        <v>13</v>
      </c>
    </row>
    <row r="109" spans="1:26" x14ac:dyDescent="0.2">
      <c r="A109" s="362" t="s">
        <v>33</v>
      </c>
      <c r="B109" s="370">
        <v>0</v>
      </c>
      <c r="C109" s="371">
        <v>8.0000000000000002E-3</v>
      </c>
      <c r="D109" s="371">
        <v>2.5999999999999999E-2</v>
      </c>
      <c r="E109" s="371">
        <v>3.7999999999999999E-2</v>
      </c>
      <c r="F109" s="371">
        <v>6.7000000000000004E-2</v>
      </c>
      <c r="G109" s="371">
        <v>0.10100000000000001</v>
      </c>
      <c r="H109" s="371">
        <v>0.33</v>
      </c>
      <c r="I109" s="371">
        <v>0.52800000000000002</v>
      </c>
      <c r="J109" s="371">
        <v>0.71599999999999997</v>
      </c>
      <c r="K109" s="371">
        <v>0.84099999999999997</v>
      </c>
      <c r="L109" s="371">
        <v>0.91200000000000003</v>
      </c>
      <c r="M109" s="371">
        <v>0.98699999999999999</v>
      </c>
      <c r="N109" s="371">
        <v>1.016</v>
      </c>
      <c r="O109" s="371">
        <v>1.0649999999999999</v>
      </c>
      <c r="P109" s="371">
        <v>1.087</v>
      </c>
      <c r="Q109" s="371">
        <v>2</v>
      </c>
      <c r="R109" s="371">
        <v>2</v>
      </c>
      <c r="S109" s="371">
        <v>2</v>
      </c>
      <c r="T109" s="371">
        <v>2</v>
      </c>
      <c r="U109" s="371">
        <v>2</v>
      </c>
      <c r="V109" s="371">
        <v>2</v>
      </c>
      <c r="W109" s="371">
        <v>2</v>
      </c>
      <c r="X109" s="371">
        <v>2</v>
      </c>
      <c r="Y109" s="381">
        <v>1000</v>
      </c>
    </row>
    <row r="110" spans="1:26" x14ac:dyDescent="0.2">
      <c r="A110" s="378" t="s">
        <v>34</v>
      </c>
      <c r="B110" s="372">
        <v>0</v>
      </c>
      <c r="C110" s="373">
        <v>18.292000000000002</v>
      </c>
      <c r="D110" s="373">
        <v>30</v>
      </c>
      <c r="E110" s="373">
        <v>30.792000000000002</v>
      </c>
      <c r="F110" s="373">
        <v>18.707999999999998</v>
      </c>
      <c r="G110" s="373">
        <v>21.875</v>
      </c>
      <c r="H110" s="373">
        <v>26.082999999999998</v>
      </c>
      <c r="I110" s="373">
        <v>28.042000000000002</v>
      </c>
      <c r="J110" s="373">
        <v>27.875</v>
      </c>
      <c r="K110" s="373">
        <v>23.542000000000002</v>
      </c>
      <c r="L110" s="373">
        <v>17.832999999999998</v>
      </c>
      <c r="M110" s="373">
        <v>7</v>
      </c>
      <c r="N110" s="373">
        <v>3.3330000000000002</v>
      </c>
      <c r="O110" s="373">
        <v>1.083</v>
      </c>
      <c r="P110" s="373">
        <v>0</v>
      </c>
      <c r="Q110" s="373">
        <v>0</v>
      </c>
      <c r="R110" s="373">
        <v>0</v>
      </c>
      <c r="S110" s="373">
        <v>0</v>
      </c>
      <c r="T110" s="373">
        <f>S110</f>
        <v>0</v>
      </c>
      <c r="U110" s="373">
        <f>T110</f>
        <v>0</v>
      </c>
      <c r="V110" s="373">
        <f>U110</f>
        <v>0</v>
      </c>
      <c r="W110" s="373">
        <f>V110</f>
        <v>0</v>
      </c>
      <c r="X110" s="373">
        <f>W110</f>
        <v>0</v>
      </c>
      <c r="Y110" s="382">
        <v>0</v>
      </c>
    </row>
    <row r="111" spans="1:26" ht="13.5" thickBot="1" x14ac:dyDescent="0.25">
      <c r="A111" s="379" t="s">
        <v>117</v>
      </c>
      <c r="B111" s="374">
        <f t="shared" ref="B111:V111" si="25">(C110+B110)*(C109-B109)/2</f>
        <v>7.3168000000000011E-2</v>
      </c>
      <c r="C111" s="375">
        <f t="shared" si="25"/>
        <v>0.43462799999999996</v>
      </c>
      <c r="D111" s="375">
        <f t="shared" si="25"/>
        <v>0.36475200000000002</v>
      </c>
      <c r="E111" s="375">
        <f t="shared" si="25"/>
        <v>0.71775000000000011</v>
      </c>
      <c r="F111" s="375">
        <f t="shared" si="25"/>
        <v>0.68991100000000005</v>
      </c>
      <c r="G111" s="375">
        <f t="shared" si="25"/>
        <v>5.4911909999999997</v>
      </c>
      <c r="H111" s="375">
        <f t="shared" si="25"/>
        <v>5.3583750000000006</v>
      </c>
      <c r="I111" s="375">
        <f t="shared" si="25"/>
        <v>5.2561979999999986</v>
      </c>
      <c r="J111" s="375">
        <f>(K110+J110)*(K109-J109)/2</f>
        <v>3.2135625000000001</v>
      </c>
      <c r="K111" s="375">
        <f t="shared" si="25"/>
        <v>1.4688125000000014</v>
      </c>
      <c r="L111" s="375">
        <f t="shared" si="25"/>
        <v>0.93123749999999939</v>
      </c>
      <c r="M111" s="375">
        <f t="shared" si="25"/>
        <v>0.14982850000000014</v>
      </c>
      <c r="N111" s="375">
        <f t="shared" si="25"/>
        <v>0.10819199999999986</v>
      </c>
      <c r="O111" s="375">
        <f t="shared" si="25"/>
        <v>1.191300000000001E-2</v>
      </c>
      <c r="P111" s="375">
        <f t="shared" si="25"/>
        <v>0</v>
      </c>
      <c r="Q111" s="375">
        <f t="shared" si="25"/>
        <v>0</v>
      </c>
      <c r="R111" s="375">
        <f t="shared" si="25"/>
        <v>0</v>
      </c>
      <c r="S111" s="375">
        <f>(T110+S110)*(T109-S109)/2</f>
        <v>0</v>
      </c>
      <c r="T111" s="375">
        <f t="shared" si="25"/>
        <v>0</v>
      </c>
      <c r="U111" s="375">
        <f t="shared" si="25"/>
        <v>0</v>
      </c>
      <c r="V111" s="375">
        <f t="shared" si="25"/>
        <v>0</v>
      </c>
      <c r="W111" s="375">
        <f>(X110+W110)*(X109-W109)/2</f>
        <v>0</v>
      </c>
      <c r="X111" s="375">
        <f>(Y110+X110)*(Y109-X109)/2</f>
        <v>0</v>
      </c>
      <c r="Y111" s="369"/>
    </row>
    <row r="112" spans="1:26" ht="13.5" thickBot="1" x14ac:dyDescent="0.25"/>
    <row r="113" spans="1:26" ht="13.5" thickBot="1" x14ac:dyDescent="0.25">
      <c r="A113" s="361" t="s">
        <v>417</v>
      </c>
      <c r="B113" s="359">
        <f>ROW(A113)</f>
        <v>113</v>
      </c>
      <c r="C113" s="363" t="s">
        <v>116</v>
      </c>
      <c r="D113" s="353">
        <f>SUM(B116:Y116)</f>
        <v>24.488898000000002</v>
      </c>
      <c r="E113" s="363" t="s">
        <v>115</v>
      </c>
      <c r="F113" s="354">
        <f>D113/g/J113</f>
        <v>121.771701350041</v>
      </c>
      <c r="G113" s="363" t="s">
        <v>57</v>
      </c>
      <c r="H113" s="64">
        <v>5.6500000000000002E-2</v>
      </c>
      <c r="I113" s="363" t="s">
        <v>270</v>
      </c>
      <c r="J113" s="355">
        <f>H113-L113</f>
        <v>2.0500000000000004E-2</v>
      </c>
      <c r="K113" s="363" t="s">
        <v>271</v>
      </c>
      <c r="L113" s="64">
        <v>3.5999999999999997E-2</v>
      </c>
      <c r="M113" s="363" t="s">
        <v>58</v>
      </c>
      <c r="N113" s="396">
        <v>35</v>
      </c>
      <c r="O113" s="363" t="s">
        <v>60</v>
      </c>
      <c r="P113" s="396">
        <v>35</v>
      </c>
      <c r="Q113" s="363" t="s">
        <v>61</v>
      </c>
      <c r="R113" s="65">
        <v>69</v>
      </c>
      <c r="S113" s="363" t="s">
        <v>62</v>
      </c>
      <c r="T113" s="65">
        <v>24</v>
      </c>
      <c r="U113" s="363" t="s">
        <v>55</v>
      </c>
      <c r="V113" s="66" t="s">
        <v>400</v>
      </c>
      <c r="W113" s="463" t="s">
        <v>394</v>
      </c>
      <c r="X113" s="465">
        <v>0.33</v>
      </c>
      <c r="Y113" s="463" t="s">
        <v>393</v>
      </c>
      <c r="Z113" s="358">
        <v>17</v>
      </c>
    </row>
    <row r="114" spans="1:26" x14ac:dyDescent="0.2">
      <c r="A114" s="362" t="s">
        <v>33</v>
      </c>
      <c r="B114" s="370">
        <v>0</v>
      </c>
      <c r="C114" s="371">
        <v>8.9999999999999993E-3</v>
      </c>
      <c r="D114" s="371">
        <v>1.2E-2</v>
      </c>
      <c r="E114" s="371">
        <v>2.3E-2</v>
      </c>
      <c r="F114" s="371">
        <v>2.7E-2</v>
      </c>
      <c r="G114" s="371">
        <v>4.7E-2</v>
      </c>
      <c r="H114" s="371">
        <v>9.1999999999999998E-2</v>
      </c>
      <c r="I114" s="371">
        <v>0.11799999999999999</v>
      </c>
      <c r="J114" s="371">
        <v>0.14099999999999999</v>
      </c>
      <c r="K114" s="371">
        <v>0.192</v>
      </c>
      <c r="L114" s="371">
        <v>0.222</v>
      </c>
      <c r="M114" s="371">
        <v>0.25</v>
      </c>
      <c r="N114" s="371">
        <v>0.26</v>
      </c>
      <c r="O114" s="371">
        <v>0.28100000000000003</v>
      </c>
      <c r="P114" s="371">
        <v>0.28699999999999998</v>
      </c>
      <c r="Q114" s="371">
        <v>0.30599999999999999</v>
      </c>
      <c r="R114" s="371">
        <v>0.314</v>
      </c>
      <c r="S114" s="371">
        <v>0.32600000000000001</v>
      </c>
      <c r="T114" s="371">
        <v>0.32900000000000001</v>
      </c>
      <c r="U114" s="371">
        <v>0.5</v>
      </c>
      <c r="V114" s="371">
        <v>1</v>
      </c>
      <c r="W114" s="371">
        <v>2</v>
      </c>
      <c r="X114" s="371">
        <v>2</v>
      </c>
      <c r="Y114" s="381">
        <v>1000</v>
      </c>
    </row>
    <row r="115" spans="1:26" x14ac:dyDescent="0.2">
      <c r="A115" s="378" t="s">
        <v>34</v>
      </c>
      <c r="B115" s="372">
        <v>0</v>
      </c>
      <c r="C115" s="373">
        <v>84.212999999999994</v>
      </c>
      <c r="D115" s="373">
        <v>95.099000000000004</v>
      </c>
      <c r="E115" s="373">
        <v>77.08</v>
      </c>
      <c r="F115" s="373">
        <v>68.697000000000003</v>
      </c>
      <c r="G115" s="373">
        <v>73.451999999999998</v>
      </c>
      <c r="H115" s="373">
        <v>81.834999999999994</v>
      </c>
      <c r="I115" s="373">
        <v>83.837000000000003</v>
      </c>
      <c r="J115" s="373">
        <v>86.465000000000003</v>
      </c>
      <c r="K115" s="373">
        <v>86.965999999999994</v>
      </c>
      <c r="L115" s="373">
        <v>85.338999999999999</v>
      </c>
      <c r="M115" s="373">
        <v>80.082999999999998</v>
      </c>
      <c r="N115" s="373">
        <v>78.331999999999994</v>
      </c>
      <c r="O115" s="373">
        <v>82.960999999999999</v>
      </c>
      <c r="P115" s="373">
        <v>78.206000000000003</v>
      </c>
      <c r="Q115" s="373">
        <v>24.776</v>
      </c>
      <c r="R115" s="373">
        <v>14.14</v>
      </c>
      <c r="S115" s="373">
        <v>8.5090000000000003</v>
      </c>
      <c r="T115" s="373">
        <v>0</v>
      </c>
      <c r="U115" s="373">
        <f>T115</f>
        <v>0</v>
      </c>
      <c r="V115" s="373">
        <f>U115</f>
        <v>0</v>
      </c>
      <c r="W115" s="373">
        <f>V115</f>
        <v>0</v>
      </c>
      <c r="X115" s="373">
        <f>W115</f>
        <v>0</v>
      </c>
      <c r="Y115" s="382">
        <v>0</v>
      </c>
    </row>
    <row r="116" spans="1:26" ht="13.5" thickBot="1" x14ac:dyDescent="0.25">
      <c r="A116" s="379" t="s">
        <v>117</v>
      </c>
      <c r="B116" s="374">
        <f t="shared" ref="B116:V116" si="26">(C115+B115)*(C114-B114)/2</f>
        <v>0.37895849999999992</v>
      </c>
      <c r="C116" s="375">
        <f t="shared" si="26"/>
        <v>0.2689680000000001</v>
      </c>
      <c r="D116" s="375">
        <f t="shared" si="26"/>
        <v>0.94698450000000001</v>
      </c>
      <c r="E116" s="375">
        <f t="shared" si="26"/>
        <v>0.29155399999999998</v>
      </c>
      <c r="F116" s="375">
        <f t="shared" si="26"/>
        <v>1.4214900000000001</v>
      </c>
      <c r="G116" s="375">
        <f t="shared" si="26"/>
        <v>3.4939574999999992</v>
      </c>
      <c r="H116" s="375">
        <f t="shared" si="26"/>
        <v>2.1537359999999994</v>
      </c>
      <c r="I116" s="375">
        <f t="shared" si="26"/>
        <v>1.9584729999999997</v>
      </c>
      <c r="J116" s="375">
        <f>(K115+J115)*(K114-J114)/2</f>
        <v>4.4224905000000012</v>
      </c>
      <c r="K116" s="375">
        <f t="shared" si="26"/>
        <v>2.5845750000000001</v>
      </c>
      <c r="L116" s="375">
        <f t="shared" si="26"/>
        <v>2.3159079999999999</v>
      </c>
      <c r="M116" s="375">
        <f t="shared" si="26"/>
        <v>0.79207500000000064</v>
      </c>
      <c r="N116" s="375">
        <f t="shared" si="26"/>
        <v>1.6935765000000016</v>
      </c>
      <c r="O116" s="375">
        <f t="shared" si="26"/>
        <v>0.48350099999999596</v>
      </c>
      <c r="P116" s="375">
        <f t="shared" si="26"/>
        <v>0.97832900000000089</v>
      </c>
      <c r="Q116" s="375">
        <f t="shared" si="26"/>
        <v>0.15566400000000014</v>
      </c>
      <c r="R116" s="375">
        <f t="shared" si="26"/>
        <v>0.13589400000000013</v>
      </c>
      <c r="S116" s="375">
        <f>(T115+S115)*(T114-S114)/2</f>
        <v>1.2763500000000013E-2</v>
      </c>
      <c r="T116" s="375">
        <f t="shared" si="26"/>
        <v>0</v>
      </c>
      <c r="U116" s="375">
        <f t="shared" si="26"/>
        <v>0</v>
      </c>
      <c r="V116" s="375">
        <f t="shared" si="26"/>
        <v>0</v>
      </c>
      <c r="W116" s="375">
        <f>(X115+W115)*(X114-W114)/2</f>
        <v>0</v>
      </c>
      <c r="X116" s="375">
        <f>(Y115+X115)*(Y114-X114)/2</f>
        <v>0</v>
      </c>
      <c r="Y116" s="369"/>
    </row>
    <row r="117" spans="1:26" ht="13.5" thickBot="1" x14ac:dyDescent="0.25"/>
    <row r="118" spans="1:26" ht="13.5" thickBot="1" x14ac:dyDescent="0.25">
      <c r="A118" s="361" t="s">
        <v>320</v>
      </c>
      <c r="B118" s="359">
        <f>ROW(A118)</f>
        <v>118</v>
      </c>
      <c r="C118" s="363" t="s">
        <v>116</v>
      </c>
      <c r="D118" s="353">
        <f>SUM(B121:Y121)</f>
        <v>26.083982500000001</v>
      </c>
      <c r="E118" s="363" t="s">
        <v>115</v>
      </c>
      <c r="F118" s="354">
        <f>D118/g/J118</f>
        <v>166.18235537716615</v>
      </c>
      <c r="G118" s="363" t="s">
        <v>57</v>
      </c>
      <c r="H118" s="64">
        <v>5.1999999999999998E-2</v>
      </c>
      <c r="I118" s="363" t="s">
        <v>270</v>
      </c>
      <c r="J118" s="355">
        <f>H118-L118</f>
        <v>1.6E-2</v>
      </c>
      <c r="K118" s="363" t="s">
        <v>271</v>
      </c>
      <c r="L118" s="64">
        <v>3.5999999999999997E-2</v>
      </c>
      <c r="M118" s="363" t="s">
        <v>58</v>
      </c>
      <c r="N118" s="396">
        <v>35</v>
      </c>
      <c r="O118" s="363" t="s">
        <v>60</v>
      </c>
      <c r="P118" s="396">
        <v>35</v>
      </c>
      <c r="Q118" s="363" t="s">
        <v>61</v>
      </c>
      <c r="R118" s="65">
        <v>69</v>
      </c>
      <c r="S118" s="363" t="s">
        <v>62</v>
      </c>
      <c r="T118" s="65">
        <v>24</v>
      </c>
      <c r="U118" s="363" t="s">
        <v>55</v>
      </c>
      <c r="V118" s="66" t="s">
        <v>399</v>
      </c>
      <c r="W118" s="463" t="s">
        <v>394</v>
      </c>
      <c r="X118" s="465">
        <v>0.85</v>
      </c>
      <c r="Y118" s="463" t="s">
        <v>393</v>
      </c>
      <c r="Z118" s="358">
        <v>15</v>
      </c>
    </row>
    <row r="119" spans="1:26" x14ac:dyDescent="0.2">
      <c r="A119" s="362" t="s">
        <v>33</v>
      </c>
      <c r="B119" s="370">
        <v>0</v>
      </c>
      <c r="C119" s="371">
        <v>0.02</v>
      </c>
      <c r="D119" s="371">
        <v>2.7E-2</v>
      </c>
      <c r="E119" s="371">
        <v>4.9000000000000002E-2</v>
      </c>
      <c r="F119" s="371">
        <v>0.113</v>
      </c>
      <c r="G119" s="371">
        <v>0.193</v>
      </c>
      <c r="H119" s="371">
        <v>0.28199999999999997</v>
      </c>
      <c r="I119" s="371">
        <v>0.5</v>
      </c>
      <c r="J119" s="371">
        <v>0.72699999999999998</v>
      </c>
      <c r="K119" s="371">
        <v>0.77100000000000002</v>
      </c>
      <c r="L119" s="371">
        <v>0.80700000000000005</v>
      </c>
      <c r="M119" s="371">
        <v>0.84</v>
      </c>
      <c r="N119" s="371">
        <v>0.87</v>
      </c>
      <c r="O119" s="371">
        <v>1</v>
      </c>
      <c r="P119" s="371">
        <v>1</v>
      </c>
      <c r="Q119" s="371">
        <v>1</v>
      </c>
      <c r="R119" s="371">
        <v>1</v>
      </c>
      <c r="S119" s="371">
        <v>1</v>
      </c>
      <c r="T119" s="371">
        <v>1</v>
      </c>
      <c r="U119" s="371">
        <v>1</v>
      </c>
      <c r="V119" s="371">
        <v>1</v>
      </c>
      <c r="W119" s="371">
        <v>1</v>
      </c>
      <c r="X119" s="371">
        <v>2</v>
      </c>
      <c r="Y119" s="381">
        <v>1000</v>
      </c>
    </row>
    <row r="120" spans="1:26" x14ac:dyDescent="0.2">
      <c r="A120" s="378" t="s">
        <v>34</v>
      </c>
      <c r="B120" s="372">
        <v>0</v>
      </c>
      <c r="C120" s="373">
        <v>43.823999999999998</v>
      </c>
      <c r="D120" s="373">
        <v>39.963999999999999</v>
      </c>
      <c r="E120" s="373">
        <v>26.780999999999999</v>
      </c>
      <c r="F120" s="373">
        <v>32.600999999999999</v>
      </c>
      <c r="G120" s="373">
        <v>34.738999999999997</v>
      </c>
      <c r="H120" s="373">
        <v>35.808</v>
      </c>
      <c r="I120" s="373">
        <v>34.442</v>
      </c>
      <c r="J120" s="373">
        <v>29.276</v>
      </c>
      <c r="K120" s="373">
        <v>22.742999999999999</v>
      </c>
      <c r="L120" s="373">
        <v>9.5609999999999999</v>
      </c>
      <c r="M120" s="373">
        <v>3.5630000000000002</v>
      </c>
      <c r="N120" s="373">
        <v>0</v>
      </c>
      <c r="O120" s="373">
        <v>0</v>
      </c>
      <c r="P120" s="373">
        <v>0</v>
      </c>
      <c r="Q120" s="373">
        <v>0</v>
      </c>
      <c r="R120" s="373">
        <v>0</v>
      </c>
      <c r="S120" s="373">
        <v>0</v>
      </c>
      <c r="T120" s="373">
        <f>S120</f>
        <v>0</v>
      </c>
      <c r="U120" s="373">
        <f>T120</f>
        <v>0</v>
      </c>
      <c r="V120" s="373">
        <f>U120</f>
        <v>0</v>
      </c>
      <c r="W120" s="373">
        <f>V120</f>
        <v>0</v>
      </c>
      <c r="X120" s="373">
        <f>W120</f>
        <v>0</v>
      </c>
      <c r="Y120" s="382">
        <v>0</v>
      </c>
    </row>
    <row r="121" spans="1:26" ht="13.5" thickBot="1" x14ac:dyDescent="0.25">
      <c r="A121" s="379" t="s">
        <v>117</v>
      </c>
      <c r="B121" s="374">
        <f t="shared" ref="B121:V121" si="27">(C120+B120)*(C119-B119)/2</f>
        <v>0.43823999999999996</v>
      </c>
      <c r="C121" s="375">
        <f t="shared" si="27"/>
        <v>0.29325799999999996</v>
      </c>
      <c r="D121" s="375">
        <f t="shared" si="27"/>
        <v>0.73419500000000015</v>
      </c>
      <c r="E121" s="375">
        <f t="shared" si="27"/>
        <v>1.9002239999999999</v>
      </c>
      <c r="F121" s="375">
        <f t="shared" si="27"/>
        <v>2.6936</v>
      </c>
      <c r="G121" s="375">
        <f t="shared" si="27"/>
        <v>3.1393414999999987</v>
      </c>
      <c r="H121" s="375">
        <f t="shared" si="27"/>
        <v>7.6572500000000012</v>
      </c>
      <c r="I121" s="375">
        <f t="shared" si="27"/>
        <v>7.2319930000000001</v>
      </c>
      <c r="J121" s="375">
        <f>(K120+J120)*(K119-J119)/2</f>
        <v>1.144418000000001</v>
      </c>
      <c r="K121" s="375">
        <f t="shared" si="27"/>
        <v>0.58147200000000054</v>
      </c>
      <c r="L121" s="375">
        <f t="shared" si="27"/>
        <v>0.21654599999999946</v>
      </c>
      <c r="M121" s="375">
        <f t="shared" si="27"/>
        <v>5.3445000000000048E-2</v>
      </c>
      <c r="N121" s="375">
        <f t="shared" si="27"/>
        <v>0</v>
      </c>
      <c r="O121" s="375">
        <f t="shared" si="27"/>
        <v>0</v>
      </c>
      <c r="P121" s="375">
        <f t="shared" si="27"/>
        <v>0</v>
      </c>
      <c r="Q121" s="375">
        <f t="shared" si="27"/>
        <v>0</v>
      </c>
      <c r="R121" s="375">
        <f t="shared" si="27"/>
        <v>0</v>
      </c>
      <c r="S121" s="375">
        <f>(T120+S120)*(T119-S119)/2</f>
        <v>0</v>
      </c>
      <c r="T121" s="375">
        <f t="shared" si="27"/>
        <v>0</v>
      </c>
      <c r="U121" s="375">
        <f t="shared" si="27"/>
        <v>0</v>
      </c>
      <c r="V121" s="375">
        <f t="shared" si="27"/>
        <v>0</v>
      </c>
      <c r="W121" s="375">
        <f>(X120+W120)*(X119-W119)/2</f>
        <v>0</v>
      </c>
      <c r="X121" s="375">
        <f>(Y120+X120)*(Y119-X119)/2</f>
        <v>0</v>
      </c>
      <c r="Y121" s="369"/>
    </row>
    <row r="122" spans="1:26" ht="13.5" thickBot="1" x14ac:dyDescent="0.25">
      <c r="A122" s="6" t="s">
        <v>389</v>
      </c>
    </row>
    <row r="123" spans="1:26" ht="13.5" thickBot="1" x14ac:dyDescent="0.25">
      <c r="A123" s="361" t="s">
        <v>390</v>
      </c>
      <c r="B123" s="359">
        <f>ROW(A123)</f>
        <v>123</v>
      </c>
      <c r="C123" s="363" t="s">
        <v>116</v>
      </c>
      <c r="D123" s="353">
        <f>SUM(B126:Y126)</f>
        <v>49.788765499999997</v>
      </c>
      <c r="E123" s="363" t="s">
        <v>115</v>
      </c>
      <c r="F123" s="354">
        <v>231</v>
      </c>
      <c r="G123" s="363" t="s">
        <v>57</v>
      </c>
      <c r="H123" s="64">
        <v>7.2999999999999995E-2</v>
      </c>
      <c r="I123" s="363" t="s">
        <v>270</v>
      </c>
      <c r="J123" s="355">
        <f>H123-L123</f>
        <v>2.7999999999999997E-2</v>
      </c>
      <c r="K123" s="363" t="s">
        <v>271</v>
      </c>
      <c r="L123" s="64">
        <v>4.4999999999999998E-2</v>
      </c>
      <c r="M123" s="363" t="s">
        <v>58</v>
      </c>
      <c r="N123" s="396">
        <v>50</v>
      </c>
      <c r="O123" s="363" t="s">
        <v>60</v>
      </c>
      <c r="P123" s="396">
        <v>50</v>
      </c>
      <c r="Q123" s="363" t="s">
        <v>61</v>
      </c>
      <c r="R123" s="65">
        <v>101</v>
      </c>
      <c r="S123" s="363" t="s">
        <v>62</v>
      </c>
      <c r="T123" s="65">
        <v>24</v>
      </c>
      <c r="U123" s="363" t="s">
        <v>55</v>
      </c>
      <c r="V123" s="66" t="s">
        <v>120</v>
      </c>
      <c r="W123" s="463" t="s">
        <v>394</v>
      </c>
      <c r="X123" s="465">
        <v>1</v>
      </c>
      <c r="Y123" s="463" t="s">
        <v>393</v>
      </c>
      <c r="Z123" s="358">
        <v>13</v>
      </c>
    </row>
    <row r="124" spans="1:26" x14ac:dyDescent="0.2">
      <c r="A124" s="362" t="s">
        <v>33</v>
      </c>
      <c r="B124" s="471">
        <v>0</v>
      </c>
      <c r="C124" s="471">
        <v>1E-3</v>
      </c>
      <c r="D124" s="471">
        <v>2.7E-2</v>
      </c>
      <c r="E124" s="471">
        <v>5.0999999999999997E-2</v>
      </c>
      <c r="F124" s="471">
        <v>0.06</v>
      </c>
      <c r="G124" s="471">
        <v>9.1999999999999998E-2</v>
      </c>
      <c r="H124" s="471">
        <v>0.11899999999999999</v>
      </c>
      <c r="I124" s="471">
        <v>0.17</v>
      </c>
      <c r="J124" s="471">
        <v>0.3</v>
      </c>
      <c r="K124" s="471">
        <v>0.46200000000000002</v>
      </c>
      <c r="L124" s="471">
        <v>0.56899999999999995</v>
      </c>
      <c r="M124" s="471">
        <v>0.67500000000000004</v>
      </c>
      <c r="N124" s="471">
        <v>0.77800000000000002</v>
      </c>
      <c r="O124" s="471">
        <v>0.84599999999999997</v>
      </c>
      <c r="P124" s="471">
        <v>0.91700000000000004</v>
      </c>
      <c r="Q124" s="471">
        <v>1.0089999999999999</v>
      </c>
      <c r="R124" s="471">
        <v>1.032</v>
      </c>
      <c r="S124" s="471">
        <v>1.0449999999999999</v>
      </c>
      <c r="T124" s="371">
        <v>2</v>
      </c>
      <c r="U124" s="371">
        <v>2</v>
      </c>
      <c r="V124" s="371">
        <v>2</v>
      </c>
      <c r="W124" s="371">
        <v>2</v>
      </c>
      <c r="X124" s="371">
        <v>2</v>
      </c>
      <c r="Y124" s="381">
        <v>1000</v>
      </c>
    </row>
    <row r="125" spans="1:26" x14ac:dyDescent="0.2">
      <c r="A125" s="378" t="s">
        <v>34</v>
      </c>
      <c r="B125" s="471">
        <v>0</v>
      </c>
      <c r="C125" s="471">
        <v>5.1449999999999996</v>
      </c>
      <c r="D125" s="471">
        <v>67.975999999999999</v>
      </c>
      <c r="E125" s="471">
        <v>53.807000000000002</v>
      </c>
      <c r="F125" s="471">
        <v>52.88</v>
      </c>
      <c r="G125" s="471">
        <v>55.915999999999997</v>
      </c>
      <c r="H125" s="471">
        <v>57.94</v>
      </c>
      <c r="I125" s="471">
        <v>59.710999999999999</v>
      </c>
      <c r="J125" s="471">
        <v>61.145000000000003</v>
      </c>
      <c r="K125" s="471">
        <v>58.951999999999998</v>
      </c>
      <c r="L125" s="471">
        <v>55.578000000000003</v>
      </c>
      <c r="M125" s="471">
        <v>52.204999999999998</v>
      </c>
      <c r="N125" s="471">
        <v>46.386000000000003</v>
      </c>
      <c r="O125" s="471">
        <v>38.119999999999997</v>
      </c>
      <c r="P125" s="471">
        <v>20.324999999999999</v>
      </c>
      <c r="Q125" s="471">
        <v>3.5419999999999998</v>
      </c>
      <c r="R125" s="471">
        <v>1.6020000000000001</v>
      </c>
      <c r="S125" s="471">
        <v>0</v>
      </c>
      <c r="T125" s="373">
        <f>S125</f>
        <v>0</v>
      </c>
      <c r="U125" s="373">
        <f>T125</f>
        <v>0</v>
      </c>
      <c r="V125" s="373">
        <f>U125</f>
        <v>0</v>
      </c>
      <c r="W125" s="373">
        <f>V125</f>
        <v>0</v>
      </c>
      <c r="X125" s="373">
        <f>W125</f>
        <v>0</v>
      </c>
      <c r="Y125" s="382">
        <v>0</v>
      </c>
    </row>
    <row r="126" spans="1:26" ht="13.5" thickBot="1" x14ac:dyDescent="0.25">
      <c r="A126" s="379" t="s">
        <v>117</v>
      </c>
      <c r="B126" s="374">
        <f t="shared" ref="B126:X126" si="28">(C125+B125)*(C124-B124)/2</f>
        <v>2.5724999999999997E-3</v>
      </c>
      <c r="C126" s="375">
        <f t="shared" si="28"/>
        <v>0.95057299999999989</v>
      </c>
      <c r="D126" s="375">
        <f t="shared" si="28"/>
        <v>1.4613959999999999</v>
      </c>
      <c r="E126" s="375">
        <f t="shared" si="28"/>
        <v>0.48009150000000012</v>
      </c>
      <c r="F126" s="375">
        <f t="shared" si="28"/>
        <v>1.7407359999999998</v>
      </c>
      <c r="G126" s="375">
        <f t="shared" si="28"/>
        <v>1.5370559999999998</v>
      </c>
      <c r="H126" s="375">
        <f t="shared" si="28"/>
        <v>3.0001005000000007</v>
      </c>
      <c r="I126" s="375">
        <f t="shared" si="28"/>
        <v>7.8556399999999984</v>
      </c>
      <c r="J126" s="375">
        <f t="shared" si="28"/>
        <v>9.727857000000002</v>
      </c>
      <c r="K126" s="375">
        <f t="shared" si="28"/>
        <v>6.1273549999999961</v>
      </c>
      <c r="L126" s="375">
        <f t="shared" si="28"/>
        <v>5.7124990000000055</v>
      </c>
      <c r="M126" s="375">
        <f t="shared" si="28"/>
        <v>5.0774364999999992</v>
      </c>
      <c r="N126" s="375">
        <f t="shared" si="28"/>
        <v>2.8732039999999976</v>
      </c>
      <c r="O126" s="375">
        <f t="shared" si="28"/>
        <v>2.0747975000000016</v>
      </c>
      <c r="P126" s="375">
        <f t="shared" si="28"/>
        <v>1.0978819999999982</v>
      </c>
      <c r="Q126" s="375">
        <f t="shared" si="28"/>
        <v>5.915600000000034E-2</v>
      </c>
      <c r="R126" s="375">
        <f t="shared" si="28"/>
        <v>1.0412999999999921E-2</v>
      </c>
      <c r="S126" s="375">
        <f t="shared" si="28"/>
        <v>0</v>
      </c>
      <c r="T126" s="375">
        <f t="shared" si="28"/>
        <v>0</v>
      </c>
      <c r="U126" s="375">
        <f t="shared" si="28"/>
        <v>0</v>
      </c>
      <c r="V126" s="375">
        <f t="shared" si="28"/>
        <v>0</v>
      </c>
      <c r="W126" s="375">
        <f t="shared" si="28"/>
        <v>0</v>
      </c>
      <c r="X126" s="375">
        <f t="shared" si="28"/>
        <v>0</v>
      </c>
      <c r="Y126" s="369"/>
    </row>
    <row r="127" spans="1:26" ht="13.5" thickBot="1" x14ac:dyDescent="0.25"/>
    <row r="128" spans="1:26" ht="13.5" thickBot="1" x14ac:dyDescent="0.25">
      <c r="A128" s="361" t="s">
        <v>391</v>
      </c>
      <c r="B128" s="359">
        <f>ROW(A128)</f>
        <v>128</v>
      </c>
      <c r="C128" s="363" t="s">
        <v>116</v>
      </c>
      <c r="D128" s="353">
        <f>SUM(B131:Y131)</f>
        <v>52.815674000000008</v>
      </c>
      <c r="E128" s="363" t="s">
        <v>115</v>
      </c>
      <c r="F128" s="354">
        <v>239</v>
      </c>
      <c r="G128" s="363" t="s">
        <v>57</v>
      </c>
      <c r="H128" s="64">
        <v>7.2999999999999995E-2</v>
      </c>
      <c r="I128" s="363" t="s">
        <v>270</v>
      </c>
      <c r="J128" s="355">
        <f>H128-L128</f>
        <v>2.8999999999999998E-2</v>
      </c>
      <c r="K128" s="363" t="s">
        <v>271</v>
      </c>
      <c r="L128" s="64">
        <v>4.3999999999999997E-2</v>
      </c>
      <c r="M128" s="363" t="s">
        <v>58</v>
      </c>
      <c r="N128" s="396">
        <v>50</v>
      </c>
      <c r="O128" s="363" t="s">
        <v>60</v>
      </c>
      <c r="P128" s="396">
        <v>50</v>
      </c>
      <c r="Q128" s="363" t="s">
        <v>61</v>
      </c>
      <c r="R128" s="65">
        <v>101</v>
      </c>
      <c r="S128" s="363" t="s">
        <v>62</v>
      </c>
      <c r="T128" s="65">
        <v>24</v>
      </c>
      <c r="U128" s="363" t="s">
        <v>55</v>
      </c>
      <c r="V128" s="66" t="s">
        <v>120</v>
      </c>
      <c r="W128" s="463" t="s">
        <v>394</v>
      </c>
      <c r="X128" s="465">
        <v>0.77</v>
      </c>
      <c r="Y128" s="463" t="s">
        <v>393</v>
      </c>
      <c r="Z128" s="358">
        <v>14</v>
      </c>
    </row>
    <row r="129" spans="1:26" x14ac:dyDescent="0.2">
      <c r="A129" s="362" t="s">
        <v>33</v>
      </c>
      <c r="B129" s="471">
        <v>0</v>
      </c>
      <c r="C129" s="471">
        <v>1E-3</v>
      </c>
      <c r="D129" s="471">
        <v>1.2999999999999999E-2</v>
      </c>
      <c r="E129" s="471">
        <v>2.3E-2</v>
      </c>
      <c r="F129" s="471">
        <v>5.1999999999999998E-2</v>
      </c>
      <c r="G129" s="471">
        <v>0.1</v>
      </c>
      <c r="H129" s="471">
        <v>0.379</v>
      </c>
      <c r="I129" s="471">
        <v>0.64100000000000001</v>
      </c>
      <c r="J129" s="471">
        <v>0.66500000000000004</v>
      </c>
      <c r="K129" s="471">
        <v>0.70599999999999996</v>
      </c>
      <c r="L129" s="471">
        <v>0.74399999999999999</v>
      </c>
      <c r="M129" s="471">
        <v>0.78700000000000003</v>
      </c>
      <c r="N129" s="471">
        <v>0.81599999999999995</v>
      </c>
      <c r="O129" s="371">
        <v>1</v>
      </c>
      <c r="P129" s="371">
        <v>1</v>
      </c>
      <c r="Q129" s="371">
        <v>1</v>
      </c>
      <c r="R129" s="371">
        <v>1</v>
      </c>
      <c r="S129" s="371">
        <v>1</v>
      </c>
      <c r="T129" s="371">
        <v>1</v>
      </c>
      <c r="U129" s="371">
        <v>1</v>
      </c>
      <c r="V129" s="371">
        <v>1</v>
      </c>
      <c r="W129" s="371">
        <v>2</v>
      </c>
      <c r="X129" s="371">
        <v>2</v>
      </c>
      <c r="Y129" s="381">
        <v>1000</v>
      </c>
    </row>
    <row r="130" spans="1:26" x14ac:dyDescent="0.2">
      <c r="A130" s="378" t="s">
        <v>34</v>
      </c>
      <c r="B130" s="471">
        <v>0</v>
      </c>
      <c r="C130" s="471">
        <v>8.3030000000000008</v>
      </c>
      <c r="D130" s="471">
        <v>85.68</v>
      </c>
      <c r="E130" s="471">
        <v>96.149000000000001</v>
      </c>
      <c r="F130" s="471">
        <v>78.820999999999998</v>
      </c>
      <c r="G130" s="471">
        <v>83.634</v>
      </c>
      <c r="H130" s="471">
        <v>77.858000000000004</v>
      </c>
      <c r="I130" s="471">
        <v>62.575000000000003</v>
      </c>
      <c r="J130" s="471">
        <v>55.716000000000001</v>
      </c>
      <c r="K130" s="471">
        <v>23.946999999999999</v>
      </c>
      <c r="L130" s="471">
        <v>9.1460000000000008</v>
      </c>
      <c r="M130" s="471">
        <v>2.7679999999999998</v>
      </c>
      <c r="N130" s="471">
        <v>0</v>
      </c>
      <c r="O130" s="373">
        <v>0</v>
      </c>
      <c r="P130" s="373">
        <v>0</v>
      </c>
      <c r="Q130" s="373">
        <v>0</v>
      </c>
      <c r="R130" s="373">
        <v>0</v>
      </c>
      <c r="S130" s="373">
        <v>0</v>
      </c>
      <c r="T130" s="373">
        <v>0</v>
      </c>
      <c r="U130" s="373">
        <v>0</v>
      </c>
      <c r="V130" s="373">
        <f>U130</f>
        <v>0</v>
      </c>
      <c r="W130" s="373">
        <f>V130</f>
        <v>0</v>
      </c>
      <c r="X130" s="373">
        <f>W130</f>
        <v>0</v>
      </c>
      <c r="Y130" s="382">
        <v>0</v>
      </c>
    </row>
    <row r="131" spans="1:26" ht="13.5" thickBot="1" x14ac:dyDescent="0.25">
      <c r="A131" s="379" t="s">
        <v>117</v>
      </c>
      <c r="B131" s="374">
        <f t="shared" ref="B131:X131" si="29">(C130+B130)*(C129-B129)/2</f>
        <v>4.1515000000000007E-3</v>
      </c>
      <c r="C131" s="375">
        <f t="shared" si="29"/>
        <v>0.56389800000000001</v>
      </c>
      <c r="D131" s="375">
        <f t="shared" si="29"/>
        <v>0.90914500000000009</v>
      </c>
      <c r="E131" s="375">
        <f t="shared" si="29"/>
        <v>2.5370649999999997</v>
      </c>
      <c r="F131" s="375">
        <f t="shared" si="29"/>
        <v>3.8989200000000004</v>
      </c>
      <c r="G131" s="375">
        <f t="shared" si="29"/>
        <v>22.528134000000005</v>
      </c>
      <c r="H131" s="375">
        <f t="shared" si="29"/>
        <v>18.396723000000001</v>
      </c>
      <c r="I131" s="375">
        <f t="shared" si="29"/>
        <v>1.4194920000000013</v>
      </c>
      <c r="J131" s="375">
        <f t="shared" si="29"/>
        <v>1.633091499999997</v>
      </c>
      <c r="K131" s="375">
        <f t="shared" si="29"/>
        <v>0.62876700000000063</v>
      </c>
      <c r="L131" s="375">
        <f t="shared" si="29"/>
        <v>0.25615100000000024</v>
      </c>
      <c r="M131" s="375">
        <f t="shared" si="29"/>
        <v>4.013599999999988E-2</v>
      </c>
      <c r="N131" s="375">
        <f t="shared" si="29"/>
        <v>0</v>
      </c>
      <c r="O131" s="375">
        <f t="shared" si="29"/>
        <v>0</v>
      </c>
      <c r="P131" s="375">
        <f t="shared" si="29"/>
        <v>0</v>
      </c>
      <c r="Q131" s="375">
        <f t="shared" si="29"/>
        <v>0</v>
      </c>
      <c r="R131" s="375">
        <f t="shared" si="29"/>
        <v>0</v>
      </c>
      <c r="S131" s="375">
        <f t="shared" si="29"/>
        <v>0</v>
      </c>
      <c r="T131" s="375">
        <f t="shared" si="29"/>
        <v>0</v>
      </c>
      <c r="U131" s="375">
        <f t="shared" si="29"/>
        <v>0</v>
      </c>
      <c r="V131" s="375">
        <f t="shared" si="29"/>
        <v>0</v>
      </c>
      <c r="W131" s="375">
        <f t="shared" si="29"/>
        <v>0</v>
      </c>
      <c r="X131" s="375">
        <f t="shared" si="29"/>
        <v>0</v>
      </c>
      <c r="Y131" s="369"/>
    </row>
    <row r="132" spans="1:26" ht="13.5" thickBot="1" x14ac:dyDescent="0.25">
      <c r="A132" s="6" t="s">
        <v>313</v>
      </c>
    </row>
    <row r="133" spans="1:26" ht="13.5" thickBot="1" x14ac:dyDescent="0.25">
      <c r="A133" s="361" t="s">
        <v>381</v>
      </c>
      <c r="B133" s="359">
        <f>ROW(A133)</f>
        <v>133</v>
      </c>
      <c r="C133" s="363" t="s">
        <v>116</v>
      </c>
      <c r="D133" s="353">
        <f>SUM(B136:Y136)</f>
        <v>41.835000000000015</v>
      </c>
      <c r="E133" s="363" t="s">
        <v>115</v>
      </c>
      <c r="F133" s="354">
        <f>D133/g/J133</f>
        <v>121.84359982525126</v>
      </c>
      <c r="G133" s="363" t="s">
        <v>57</v>
      </c>
      <c r="H133" s="64">
        <v>0.104</v>
      </c>
      <c r="I133" s="363" t="s">
        <v>270</v>
      </c>
      <c r="J133" s="355">
        <f>H133-L133</f>
        <v>3.4999999999999989E-2</v>
      </c>
      <c r="K133" s="363" t="s">
        <v>271</v>
      </c>
      <c r="L133" s="64">
        <v>6.9000000000000006E-2</v>
      </c>
      <c r="M133" s="363" t="s">
        <v>58</v>
      </c>
      <c r="N133" s="65">
        <v>49</v>
      </c>
      <c r="O133" s="363" t="s">
        <v>60</v>
      </c>
      <c r="P133" s="65">
        <v>49</v>
      </c>
      <c r="Q133" s="363" t="s">
        <v>61</v>
      </c>
      <c r="R133" s="65">
        <v>98</v>
      </c>
      <c r="S133" s="363" t="s">
        <v>62</v>
      </c>
      <c r="T133" s="65">
        <v>29</v>
      </c>
      <c r="U133" s="363" t="s">
        <v>55</v>
      </c>
      <c r="V133" s="66" t="s">
        <v>399</v>
      </c>
      <c r="W133" s="463" t="s">
        <v>394</v>
      </c>
      <c r="X133" s="465">
        <v>1.07</v>
      </c>
      <c r="Y133" s="463" t="s">
        <v>393</v>
      </c>
      <c r="Z133" s="358">
        <v>11</v>
      </c>
    </row>
    <row r="134" spans="1:26" x14ac:dyDescent="0.2">
      <c r="A134" s="362" t="s">
        <v>33</v>
      </c>
      <c r="B134" s="370">
        <v>0</v>
      </c>
      <c r="C134" s="371">
        <v>0.01</v>
      </c>
      <c r="D134" s="371">
        <v>0.02</v>
      </c>
      <c r="E134" s="371">
        <v>0.03</v>
      </c>
      <c r="F134" s="371">
        <v>0.04</v>
      </c>
      <c r="G134" s="371">
        <v>0.06</v>
      </c>
      <c r="H134" s="371">
        <v>7.0000000000000007E-2</v>
      </c>
      <c r="I134" s="371">
        <v>0.08</v>
      </c>
      <c r="J134" s="371">
        <v>0.1</v>
      </c>
      <c r="K134" s="371">
        <v>0.2</v>
      </c>
      <c r="L134" s="371">
        <v>0.3</v>
      </c>
      <c r="M134" s="371">
        <v>0.4</v>
      </c>
      <c r="N134" s="371">
        <v>0.5</v>
      </c>
      <c r="O134" s="371">
        <v>0.6</v>
      </c>
      <c r="P134" s="371">
        <v>0.7</v>
      </c>
      <c r="Q134" s="371">
        <v>0.8</v>
      </c>
      <c r="R134" s="371">
        <v>0.85</v>
      </c>
      <c r="S134" s="371">
        <v>0.92</v>
      </c>
      <c r="T134" s="371">
        <v>0.95</v>
      </c>
      <c r="U134" s="371">
        <v>0.99</v>
      </c>
      <c r="V134" s="371">
        <v>1.05</v>
      </c>
      <c r="W134" s="371">
        <v>1.05</v>
      </c>
      <c r="X134" s="371">
        <v>2</v>
      </c>
      <c r="Y134" s="381">
        <v>1000</v>
      </c>
    </row>
    <row r="135" spans="1:26" x14ac:dyDescent="0.2">
      <c r="A135" s="378" t="s">
        <v>34</v>
      </c>
      <c r="B135" s="372">
        <v>0</v>
      </c>
      <c r="C135" s="373">
        <v>12</v>
      </c>
      <c r="D135" s="373">
        <v>46</v>
      </c>
      <c r="E135" s="373">
        <v>75</v>
      </c>
      <c r="F135" s="373">
        <v>79</v>
      </c>
      <c r="G135" s="373">
        <v>77</v>
      </c>
      <c r="H135" s="373">
        <v>62</v>
      </c>
      <c r="I135" s="373">
        <v>32</v>
      </c>
      <c r="J135" s="373">
        <v>35</v>
      </c>
      <c r="K135" s="373">
        <v>38</v>
      </c>
      <c r="L135" s="373">
        <v>39</v>
      </c>
      <c r="M135" s="373">
        <v>41</v>
      </c>
      <c r="N135" s="373">
        <v>43</v>
      </c>
      <c r="O135" s="373">
        <v>43</v>
      </c>
      <c r="P135" s="373">
        <v>43</v>
      </c>
      <c r="Q135" s="373">
        <v>43</v>
      </c>
      <c r="R135" s="373">
        <v>47</v>
      </c>
      <c r="S135" s="373">
        <v>54</v>
      </c>
      <c r="T135" s="373">
        <v>32</v>
      </c>
      <c r="U135" s="373">
        <v>8</v>
      </c>
      <c r="V135" s="373">
        <v>0</v>
      </c>
      <c r="W135" s="373">
        <v>0</v>
      </c>
      <c r="X135" s="373">
        <v>0</v>
      </c>
      <c r="Y135" s="382">
        <v>0</v>
      </c>
    </row>
    <row r="136" spans="1:26" ht="13.5" thickBot="1" x14ac:dyDescent="0.25">
      <c r="A136" s="379" t="s">
        <v>117</v>
      </c>
      <c r="B136" s="374">
        <f t="shared" ref="B136:X136" si="30">(C135+B135)*(C134-B134)/2</f>
        <v>0.06</v>
      </c>
      <c r="C136" s="375">
        <f t="shared" si="30"/>
        <v>0.28999999999999998</v>
      </c>
      <c r="D136" s="375">
        <f t="shared" si="30"/>
        <v>0.60499999999999987</v>
      </c>
      <c r="E136" s="375">
        <f t="shared" si="30"/>
        <v>0.77000000000000013</v>
      </c>
      <c r="F136" s="375">
        <f t="shared" si="30"/>
        <v>1.5599999999999998</v>
      </c>
      <c r="G136" s="375">
        <f t="shared" si="30"/>
        <v>0.69500000000000062</v>
      </c>
      <c r="H136" s="375">
        <f t="shared" si="30"/>
        <v>0.46999999999999975</v>
      </c>
      <c r="I136" s="375">
        <f t="shared" si="30"/>
        <v>0.67000000000000015</v>
      </c>
      <c r="J136" s="375">
        <f t="shared" si="30"/>
        <v>3.6500000000000004</v>
      </c>
      <c r="K136" s="375">
        <f t="shared" si="30"/>
        <v>3.8499999999999992</v>
      </c>
      <c r="L136" s="375">
        <f t="shared" si="30"/>
        <v>4.0000000000000018</v>
      </c>
      <c r="M136" s="375">
        <f t="shared" si="30"/>
        <v>4.1999999999999993</v>
      </c>
      <c r="N136" s="375">
        <f t="shared" si="30"/>
        <v>4.2999999999999989</v>
      </c>
      <c r="O136" s="375">
        <f t="shared" si="30"/>
        <v>4.2999999999999989</v>
      </c>
      <c r="P136" s="375">
        <f t="shared" si="30"/>
        <v>4.3000000000000043</v>
      </c>
      <c r="Q136" s="375">
        <f t="shared" si="30"/>
        <v>2.2499999999999969</v>
      </c>
      <c r="R136" s="375">
        <f t="shared" si="30"/>
        <v>3.5350000000000033</v>
      </c>
      <c r="S136" s="375">
        <f t="shared" si="30"/>
        <v>1.2899999999999965</v>
      </c>
      <c r="T136" s="375">
        <f t="shared" si="30"/>
        <v>0.80000000000000071</v>
      </c>
      <c r="U136" s="375">
        <f t="shared" si="30"/>
        <v>0.24000000000000021</v>
      </c>
      <c r="V136" s="375">
        <f t="shared" si="30"/>
        <v>0</v>
      </c>
      <c r="W136" s="375">
        <f t="shared" si="30"/>
        <v>0</v>
      </c>
      <c r="X136" s="375">
        <f t="shared" si="30"/>
        <v>0</v>
      </c>
      <c r="Y136" s="369"/>
    </row>
    <row r="137" spans="1:26" ht="13.5" thickBot="1" x14ac:dyDescent="0.2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6" ht="13.5" thickBot="1" x14ac:dyDescent="0.25">
      <c r="A138" s="361" t="s">
        <v>382</v>
      </c>
      <c r="B138" s="359">
        <f>ROW(A138)</f>
        <v>138</v>
      </c>
      <c r="C138" s="363" t="s">
        <v>116</v>
      </c>
      <c r="D138" s="353">
        <f>SUM(B141:Y141)</f>
        <v>52.564999999999998</v>
      </c>
      <c r="E138" s="363" t="s">
        <v>115</v>
      </c>
      <c r="F138" s="354">
        <f>D138/g/J138</f>
        <v>167.44712028542301</v>
      </c>
      <c r="G138" s="363" t="s">
        <v>57</v>
      </c>
      <c r="H138" s="64">
        <v>0.10100000000000001</v>
      </c>
      <c r="I138" s="363" t="s">
        <v>270</v>
      </c>
      <c r="J138" s="355">
        <f>H138-L138</f>
        <v>3.2000000000000001E-2</v>
      </c>
      <c r="K138" s="363" t="s">
        <v>271</v>
      </c>
      <c r="L138" s="64">
        <v>6.9000000000000006E-2</v>
      </c>
      <c r="M138" s="363" t="s">
        <v>58</v>
      </c>
      <c r="N138" s="65">
        <v>49</v>
      </c>
      <c r="O138" s="363" t="s">
        <v>60</v>
      </c>
      <c r="P138" s="65">
        <v>49</v>
      </c>
      <c r="Q138" s="363" t="s">
        <v>61</v>
      </c>
      <c r="R138" s="65">
        <v>98</v>
      </c>
      <c r="S138" s="363" t="s">
        <v>62</v>
      </c>
      <c r="T138" s="65">
        <v>29</v>
      </c>
      <c r="U138" s="363" t="s">
        <v>55</v>
      </c>
      <c r="V138" s="66" t="s">
        <v>400</v>
      </c>
      <c r="W138" s="463" t="s">
        <v>394</v>
      </c>
      <c r="X138" s="465">
        <v>1.8</v>
      </c>
      <c r="Y138" s="463" t="s">
        <v>393</v>
      </c>
      <c r="Z138" s="358">
        <v>12</v>
      </c>
    </row>
    <row r="139" spans="1:26" x14ac:dyDescent="0.2">
      <c r="A139" s="362" t="s">
        <v>33</v>
      </c>
      <c r="B139" s="370">
        <v>0</v>
      </c>
      <c r="C139" s="371">
        <v>0.01</v>
      </c>
      <c r="D139" s="371">
        <v>0.03</v>
      </c>
      <c r="E139" s="371">
        <v>0.04</v>
      </c>
      <c r="F139" s="371">
        <v>0.05</v>
      </c>
      <c r="G139" s="371">
        <v>0.06</v>
      </c>
      <c r="H139" s="371">
        <v>7.0000000000000007E-2</v>
      </c>
      <c r="I139" s="371">
        <v>0.08</v>
      </c>
      <c r="J139" s="371">
        <v>0.09</v>
      </c>
      <c r="K139" s="371">
        <v>0.1</v>
      </c>
      <c r="L139" s="371">
        <v>0.2</v>
      </c>
      <c r="M139" s="371">
        <v>0.3</v>
      </c>
      <c r="N139" s="371">
        <v>0.4</v>
      </c>
      <c r="O139" s="371">
        <v>0.5</v>
      </c>
      <c r="P139" s="371">
        <v>0.7</v>
      </c>
      <c r="Q139" s="371">
        <v>0.8</v>
      </c>
      <c r="R139" s="371">
        <v>0.9</v>
      </c>
      <c r="S139" s="371">
        <v>1</v>
      </c>
      <c r="T139" s="371">
        <v>1.1000000000000001</v>
      </c>
      <c r="U139" s="371">
        <v>1.24</v>
      </c>
      <c r="V139" s="371">
        <v>1.3</v>
      </c>
      <c r="W139" s="371">
        <v>1.5</v>
      </c>
      <c r="X139" s="371">
        <v>2</v>
      </c>
      <c r="Y139" s="381">
        <v>1000</v>
      </c>
    </row>
    <row r="140" spans="1:26" x14ac:dyDescent="0.2">
      <c r="A140" s="378" t="s">
        <v>34</v>
      </c>
      <c r="B140" s="372">
        <v>0</v>
      </c>
      <c r="C140" s="373">
        <v>12</v>
      </c>
      <c r="D140" s="373">
        <v>41</v>
      </c>
      <c r="E140" s="373">
        <v>42</v>
      </c>
      <c r="F140" s="373">
        <v>42</v>
      </c>
      <c r="G140" s="373">
        <v>40</v>
      </c>
      <c r="H140" s="373">
        <v>34</v>
      </c>
      <c r="I140" s="373">
        <v>34</v>
      </c>
      <c r="J140" s="373">
        <v>35</v>
      </c>
      <c r="K140" s="373">
        <v>36</v>
      </c>
      <c r="L140" s="373">
        <v>40</v>
      </c>
      <c r="M140" s="373">
        <v>42</v>
      </c>
      <c r="N140" s="373">
        <v>43</v>
      </c>
      <c r="O140" s="373">
        <v>43</v>
      </c>
      <c r="P140" s="373">
        <v>43</v>
      </c>
      <c r="Q140" s="373">
        <v>42</v>
      </c>
      <c r="R140" s="373">
        <v>41</v>
      </c>
      <c r="S140" s="373">
        <v>40</v>
      </c>
      <c r="T140" s="373">
        <v>38</v>
      </c>
      <c r="U140" s="373">
        <v>37</v>
      </c>
      <c r="V140" s="373">
        <v>12</v>
      </c>
      <c r="W140" s="373">
        <v>0</v>
      </c>
      <c r="X140" s="373">
        <v>0</v>
      </c>
      <c r="Y140" s="382">
        <v>0</v>
      </c>
    </row>
    <row r="141" spans="1:26" ht="13.5" thickBot="1" x14ac:dyDescent="0.25">
      <c r="A141" s="379" t="s">
        <v>117</v>
      </c>
      <c r="B141" s="374">
        <f t="shared" ref="B141:X141" si="31">(C140+B140)*(C139-B139)/2</f>
        <v>0.06</v>
      </c>
      <c r="C141" s="375">
        <f t="shared" si="31"/>
        <v>0.52999999999999992</v>
      </c>
      <c r="D141" s="375">
        <f t="shared" si="31"/>
        <v>0.41500000000000009</v>
      </c>
      <c r="E141" s="375">
        <f t="shared" si="31"/>
        <v>0.4200000000000001</v>
      </c>
      <c r="F141" s="375">
        <f t="shared" si="31"/>
        <v>0.40999999999999981</v>
      </c>
      <c r="G141" s="375">
        <f t="shared" si="31"/>
        <v>0.37000000000000033</v>
      </c>
      <c r="H141" s="375">
        <f t="shared" si="31"/>
        <v>0.33999999999999986</v>
      </c>
      <c r="I141" s="375">
        <f t="shared" si="31"/>
        <v>0.34499999999999981</v>
      </c>
      <c r="J141" s="375">
        <f t="shared" si="31"/>
        <v>0.35500000000000032</v>
      </c>
      <c r="K141" s="375">
        <f t="shared" si="31"/>
        <v>3.8000000000000003</v>
      </c>
      <c r="L141" s="375">
        <f t="shared" si="31"/>
        <v>4.0999999999999988</v>
      </c>
      <c r="M141" s="375">
        <f t="shared" si="31"/>
        <v>4.2500000000000018</v>
      </c>
      <c r="N141" s="375">
        <f t="shared" si="31"/>
        <v>4.2999999999999989</v>
      </c>
      <c r="O141" s="375">
        <f t="shared" si="31"/>
        <v>8.5999999999999979</v>
      </c>
      <c r="P141" s="375">
        <f t="shared" si="31"/>
        <v>4.2500000000000036</v>
      </c>
      <c r="Q141" s="375">
        <f t="shared" si="31"/>
        <v>4.1499999999999995</v>
      </c>
      <c r="R141" s="375">
        <f t="shared" si="31"/>
        <v>4.0499999999999989</v>
      </c>
      <c r="S141" s="375">
        <f t="shared" si="31"/>
        <v>3.9000000000000035</v>
      </c>
      <c r="T141" s="375">
        <f t="shared" si="31"/>
        <v>5.2499999999999964</v>
      </c>
      <c r="U141" s="375">
        <f t="shared" si="31"/>
        <v>1.4700000000000013</v>
      </c>
      <c r="V141" s="375">
        <f t="shared" si="31"/>
        <v>1.1999999999999997</v>
      </c>
      <c r="W141" s="375">
        <f t="shared" si="31"/>
        <v>0</v>
      </c>
      <c r="X141" s="375">
        <f t="shared" si="31"/>
        <v>0</v>
      </c>
      <c r="Y141" s="369"/>
    </row>
    <row r="142" spans="1:26" ht="13.5" thickBot="1" x14ac:dyDescent="0.2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6" ht="13.5" thickBot="1" x14ac:dyDescent="0.25">
      <c r="A143" s="361" t="s">
        <v>383</v>
      </c>
      <c r="B143" s="359">
        <f>ROW(A143)</f>
        <v>143</v>
      </c>
      <c r="C143" s="363" t="s">
        <v>116</v>
      </c>
      <c r="D143" s="353">
        <f>SUM(B146:Y146)</f>
        <v>54.110016122119539</v>
      </c>
      <c r="E143" s="363" t="s">
        <v>115</v>
      </c>
      <c r="F143" s="354">
        <f>D143/g/J143</f>
        <v>146.69685764124625</v>
      </c>
      <c r="G143" s="363" t="s">
        <v>57</v>
      </c>
      <c r="H143" s="64">
        <v>0.10580000000000001</v>
      </c>
      <c r="I143" s="363" t="s">
        <v>270</v>
      </c>
      <c r="J143" s="355">
        <f>H143-L143</f>
        <v>3.7600000000000008E-2</v>
      </c>
      <c r="K143" s="363" t="s">
        <v>271</v>
      </c>
      <c r="L143" s="64">
        <v>6.8199999999999997E-2</v>
      </c>
      <c r="M143" s="363" t="s">
        <v>58</v>
      </c>
      <c r="N143" s="65">
        <v>49</v>
      </c>
      <c r="O143" s="363" t="s">
        <v>60</v>
      </c>
      <c r="P143" s="65">
        <v>49</v>
      </c>
      <c r="Q143" s="363" t="s">
        <v>61</v>
      </c>
      <c r="R143" s="65">
        <v>98</v>
      </c>
      <c r="S143" s="363" t="s">
        <v>62</v>
      </c>
      <c r="T143" s="65">
        <v>29</v>
      </c>
      <c r="U143" s="363" t="s">
        <v>55</v>
      </c>
      <c r="V143" s="66" t="s">
        <v>399</v>
      </c>
      <c r="W143" s="463" t="s">
        <v>394</v>
      </c>
      <c r="X143" s="465">
        <v>1.9</v>
      </c>
      <c r="Y143" s="463" t="s">
        <v>393</v>
      </c>
      <c r="Z143" s="358">
        <v>12</v>
      </c>
    </row>
    <row r="144" spans="1:26" x14ac:dyDescent="0.2">
      <c r="A144" s="362" t="s">
        <v>33</v>
      </c>
      <c r="B144" s="370">
        <v>0</v>
      </c>
      <c r="C144" s="371">
        <v>2.5000000000000001E-2</v>
      </c>
      <c r="D144" s="371">
        <v>0.05</v>
      </c>
      <c r="E144" s="371">
        <v>7.4999999999999997E-2</v>
      </c>
      <c r="F144" s="371">
        <v>0.1</v>
      </c>
      <c r="G144" s="371">
        <v>0.15</v>
      </c>
      <c r="H144" s="371">
        <v>0.17499999999999999</v>
      </c>
      <c r="I144" s="371">
        <v>0.2</v>
      </c>
      <c r="J144" s="371">
        <v>0.3</v>
      </c>
      <c r="K144" s="371">
        <v>0.4</v>
      </c>
      <c r="L144" s="371">
        <v>0.5</v>
      </c>
      <c r="M144" s="371">
        <v>0.6</v>
      </c>
      <c r="N144" s="371">
        <v>0.7</v>
      </c>
      <c r="O144" s="371">
        <v>0.8</v>
      </c>
      <c r="P144" s="371">
        <v>0.9</v>
      </c>
      <c r="Q144" s="371">
        <v>1.1000000000000001</v>
      </c>
      <c r="R144" s="371">
        <v>1.2</v>
      </c>
      <c r="S144" s="371">
        <v>1.6</v>
      </c>
      <c r="T144" s="371">
        <v>1.7</v>
      </c>
      <c r="U144" s="371">
        <v>1.8</v>
      </c>
      <c r="V144" s="371">
        <v>1.9</v>
      </c>
      <c r="W144" s="371">
        <v>1.9999</v>
      </c>
      <c r="X144" s="371">
        <v>2</v>
      </c>
      <c r="Y144" s="381">
        <v>1000</v>
      </c>
    </row>
    <row r="145" spans="1:26" x14ac:dyDescent="0.2">
      <c r="A145" s="378" t="s">
        <v>34</v>
      </c>
      <c r="B145" s="372">
        <v>0</v>
      </c>
      <c r="C145" s="376">
        <v>15.2574001848975</v>
      </c>
      <c r="D145" s="376">
        <v>26.377954255522496</v>
      </c>
      <c r="E145" s="376">
        <v>21.484910464447498</v>
      </c>
      <c r="F145" s="376">
        <v>24.020396792549999</v>
      </c>
      <c r="G145" s="376">
        <v>28.11276069054</v>
      </c>
      <c r="H145" s="376">
        <v>28.691029502212498</v>
      </c>
      <c r="I145" s="376">
        <v>29.180333881319996</v>
      </c>
      <c r="J145" s="376">
        <v>31.493409128009997</v>
      </c>
      <c r="K145" s="376">
        <v>32.560982318789996</v>
      </c>
      <c r="L145" s="376">
        <v>32.827875616484995</v>
      </c>
      <c r="M145" s="376">
        <v>32.649946751354996</v>
      </c>
      <c r="N145" s="376">
        <v>32.383053453659997</v>
      </c>
      <c r="O145" s="376">
        <v>32.249606804812501</v>
      </c>
      <c r="P145" s="376">
        <v>31.804784641987499</v>
      </c>
      <c r="Q145" s="376">
        <v>30.559282586077497</v>
      </c>
      <c r="R145" s="376">
        <v>30.069978206969999</v>
      </c>
      <c r="S145" s="376">
        <v>26.377954255522496</v>
      </c>
      <c r="T145" s="376">
        <v>24.865558901917499</v>
      </c>
      <c r="U145" s="376">
        <v>18.4601197572375</v>
      </c>
      <c r="V145" s="376">
        <v>7.5174945517424998</v>
      </c>
      <c r="W145" s="376">
        <v>1.3789487047575</v>
      </c>
      <c r="X145" s="373">
        <v>0</v>
      </c>
      <c r="Y145" s="382">
        <v>0</v>
      </c>
    </row>
    <row r="146" spans="1:26" ht="13.5" thickBot="1" x14ac:dyDescent="0.25">
      <c r="A146" s="379" t="s">
        <v>117</v>
      </c>
      <c r="B146" s="374">
        <f t="shared" ref="B146:V146" si="32">(C145+B145)*(C144-B144)/2</f>
        <v>0.19071750231121876</v>
      </c>
      <c r="C146" s="375">
        <f t="shared" si="32"/>
        <v>0.52044193050525001</v>
      </c>
      <c r="D146" s="375">
        <f t="shared" si="32"/>
        <v>0.5982858089996248</v>
      </c>
      <c r="E146" s="375">
        <f t="shared" si="32"/>
        <v>0.56881634071246889</v>
      </c>
      <c r="F146" s="375">
        <f t="shared" si="32"/>
        <v>1.3033289370772498</v>
      </c>
      <c r="G146" s="375">
        <f t="shared" si="32"/>
        <v>0.71004737740940616</v>
      </c>
      <c r="H146" s="375">
        <f t="shared" si="32"/>
        <v>0.72339204229415688</v>
      </c>
      <c r="I146" s="375">
        <f t="shared" si="32"/>
        <v>3.0336871504664993</v>
      </c>
      <c r="J146" s="375">
        <f>(K145+J145)*(K144-J144)/2</f>
        <v>3.2027195723400008</v>
      </c>
      <c r="K146" s="375">
        <f t="shared" si="32"/>
        <v>3.2694428967637483</v>
      </c>
      <c r="L146" s="375">
        <f t="shared" si="32"/>
        <v>3.2738911183919988</v>
      </c>
      <c r="M146" s="375">
        <f t="shared" si="32"/>
        <v>3.2516500102507484</v>
      </c>
      <c r="N146" s="375">
        <f t="shared" si="32"/>
        <v>3.2316330129236279</v>
      </c>
      <c r="O146" s="375">
        <f t="shared" si="32"/>
        <v>3.202719572339999</v>
      </c>
      <c r="P146" s="375">
        <f t="shared" si="32"/>
        <v>6.2364067228065014</v>
      </c>
      <c r="Q146" s="375">
        <f t="shared" si="32"/>
        <v>3.0314630396523707</v>
      </c>
      <c r="R146" s="375">
        <f t="shared" si="32"/>
        <v>11.289586492498502</v>
      </c>
      <c r="S146" s="375">
        <f>(T145+S145)*(T144-S144)/2</f>
        <v>2.5621756578719963</v>
      </c>
      <c r="T146" s="375">
        <f t="shared" si="32"/>
        <v>2.1662839329577519</v>
      </c>
      <c r="U146" s="375">
        <f t="shared" si="32"/>
        <v>1.2988807154489983</v>
      </c>
      <c r="V146" s="375">
        <f t="shared" si="32"/>
        <v>0.44437734066217544</v>
      </c>
      <c r="W146" s="375">
        <f>(X145+W145)*(X144-W144)/2</f>
        <v>6.894743523786741E-5</v>
      </c>
      <c r="X146" s="375">
        <f>(Y145+X145)*(Y144-X144)/2</f>
        <v>0</v>
      </c>
      <c r="Y146" s="369"/>
    </row>
    <row r="147" spans="1:26" ht="13.5" thickBot="1" x14ac:dyDescent="0.2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6" ht="13.5" thickBot="1" x14ac:dyDescent="0.25">
      <c r="A148" s="361" t="s">
        <v>545</v>
      </c>
      <c r="B148" s="359">
        <f>ROW(A148)</f>
        <v>148</v>
      </c>
      <c r="C148" s="363" t="s">
        <v>116</v>
      </c>
      <c r="D148" s="353">
        <f>SUM(B151:Y151)</f>
        <v>55.589492</v>
      </c>
      <c r="E148" s="363" t="s">
        <v>115</v>
      </c>
      <c r="F148" s="354">
        <f>D148/g/J148</f>
        <v>177.08171508664634</v>
      </c>
      <c r="G148" s="363" t="s">
        <v>57</v>
      </c>
      <c r="H148" s="64">
        <v>0.10199999999999999</v>
      </c>
      <c r="I148" s="363" t="s">
        <v>270</v>
      </c>
      <c r="J148" s="355">
        <f>H148-L148</f>
        <v>3.1999999999999987E-2</v>
      </c>
      <c r="K148" s="363" t="s">
        <v>271</v>
      </c>
      <c r="L148" s="64">
        <v>7.0000000000000007E-2</v>
      </c>
      <c r="M148" s="363" t="s">
        <v>58</v>
      </c>
      <c r="N148" s="65">
        <v>49</v>
      </c>
      <c r="O148" s="363" t="s">
        <v>60</v>
      </c>
      <c r="P148" s="65">
        <v>49</v>
      </c>
      <c r="Q148" s="363" t="s">
        <v>61</v>
      </c>
      <c r="R148" s="65">
        <v>98</v>
      </c>
      <c r="S148" s="363" t="s">
        <v>62</v>
      </c>
      <c r="T148" s="65">
        <v>29</v>
      </c>
      <c r="U148" s="363" t="s">
        <v>55</v>
      </c>
      <c r="V148" s="66" t="s">
        <v>400</v>
      </c>
      <c r="W148" s="463" t="s">
        <v>394</v>
      </c>
      <c r="X148" s="465">
        <v>0.45</v>
      </c>
      <c r="Y148" s="463" t="s">
        <v>393</v>
      </c>
      <c r="Z148" s="358">
        <v>12</v>
      </c>
    </row>
    <row r="149" spans="1:26" x14ac:dyDescent="0.2">
      <c r="A149" s="362" t="s">
        <v>33</v>
      </c>
      <c r="B149" s="370">
        <v>0</v>
      </c>
      <c r="C149" s="371">
        <v>1E-3</v>
      </c>
      <c r="D149" s="371">
        <v>2.3E-2</v>
      </c>
      <c r="E149" s="371">
        <v>0.05</v>
      </c>
      <c r="F149" s="371">
        <v>5.8999999999999997E-2</v>
      </c>
      <c r="G149" s="371">
        <v>9.5000000000000001E-2</v>
      </c>
      <c r="H149" s="371">
        <v>0.21199999999999999</v>
      </c>
      <c r="I149" s="371">
        <v>0.34399999999999997</v>
      </c>
      <c r="J149" s="371">
        <v>1.5669999999999999</v>
      </c>
      <c r="K149" s="371">
        <v>1.631</v>
      </c>
      <c r="L149" s="371">
        <v>1.663</v>
      </c>
      <c r="M149" s="371">
        <v>1.7849999999999999</v>
      </c>
      <c r="N149" s="371">
        <v>1.8280000000000001</v>
      </c>
      <c r="O149" s="371">
        <v>2</v>
      </c>
      <c r="P149" s="371">
        <v>2</v>
      </c>
      <c r="Q149" s="371">
        <v>2</v>
      </c>
      <c r="R149" s="371">
        <v>2</v>
      </c>
      <c r="S149" s="371">
        <v>2</v>
      </c>
      <c r="T149" s="371">
        <v>2</v>
      </c>
      <c r="U149" s="371">
        <v>2</v>
      </c>
      <c r="V149" s="371">
        <v>2</v>
      </c>
      <c r="W149" s="371">
        <v>2</v>
      </c>
      <c r="X149" s="371">
        <v>2</v>
      </c>
      <c r="Y149" s="381">
        <v>1000</v>
      </c>
    </row>
    <row r="150" spans="1:26" x14ac:dyDescent="0.2">
      <c r="A150" s="378" t="s">
        <v>34</v>
      </c>
      <c r="B150" s="372">
        <v>0</v>
      </c>
      <c r="C150" s="373">
        <v>3.4830000000000001</v>
      </c>
      <c r="D150" s="373">
        <v>64.052999999999997</v>
      </c>
      <c r="E150" s="373">
        <v>31.347000000000001</v>
      </c>
      <c r="F150" s="373">
        <v>28.459</v>
      </c>
      <c r="G150" s="373">
        <v>32.027000000000001</v>
      </c>
      <c r="H150" s="373">
        <v>36.189</v>
      </c>
      <c r="I150" s="373">
        <v>37.548999999999999</v>
      </c>
      <c r="J150" s="373">
        <v>26.164999999999999</v>
      </c>
      <c r="K150" s="373">
        <v>26.93</v>
      </c>
      <c r="L150" s="373">
        <v>25.315999999999999</v>
      </c>
      <c r="M150" s="373">
        <v>3.653</v>
      </c>
      <c r="N150" s="373">
        <v>0</v>
      </c>
      <c r="O150" s="373">
        <v>0</v>
      </c>
      <c r="P150" s="373">
        <v>0</v>
      </c>
      <c r="Q150" s="373">
        <v>0</v>
      </c>
      <c r="R150" s="373">
        <v>0</v>
      </c>
      <c r="S150" s="373">
        <v>0</v>
      </c>
      <c r="T150" s="373">
        <v>0</v>
      </c>
      <c r="U150" s="373">
        <v>0</v>
      </c>
      <c r="V150" s="373">
        <v>0</v>
      </c>
      <c r="W150" s="373">
        <v>0</v>
      </c>
      <c r="X150" s="373">
        <v>0</v>
      </c>
      <c r="Y150" s="382">
        <v>0</v>
      </c>
    </row>
    <row r="151" spans="1:26" ht="13.5" thickBot="1" x14ac:dyDescent="0.25">
      <c r="A151" s="379" t="s">
        <v>117</v>
      </c>
      <c r="B151" s="374">
        <f t="shared" ref="B151" si="33">(C150+B150)*(C149-B149)/2</f>
        <v>1.7415E-3</v>
      </c>
      <c r="C151" s="375">
        <f t="shared" ref="C151" si="34">(D150+C150)*(D149-C149)/2</f>
        <v>0.742896</v>
      </c>
      <c r="D151" s="375">
        <f t="shared" ref="D151" si="35">(E150+D150)*(E149-D149)/2</f>
        <v>1.2879000000000003</v>
      </c>
      <c r="E151" s="375">
        <f t="shared" ref="E151" si="36">(F150+E150)*(F149-E149)/2</f>
        <v>0.26912699999999984</v>
      </c>
      <c r="F151" s="375">
        <f t="shared" ref="F151" si="37">(G150+F150)*(G149-F149)/2</f>
        <v>1.0887480000000003</v>
      </c>
      <c r="G151" s="375">
        <f t="shared" ref="G151" si="38">(H150+G150)*(H149-G149)/2</f>
        <v>3.9906360000000003</v>
      </c>
      <c r="H151" s="375">
        <f t="shared" ref="H151" si="39">(I150+H150)*(I149-H149)/2</f>
        <v>4.8667079999999991</v>
      </c>
      <c r="I151" s="375">
        <f t="shared" ref="I151" si="40">(J150+I150)*(J149-I149)/2</f>
        <v>38.961110999999995</v>
      </c>
      <c r="J151" s="375">
        <f t="shared" ref="J151" si="41">(K150+J150)*(K149-J149)/2</f>
        <v>1.6990400000000014</v>
      </c>
      <c r="K151" s="375">
        <f t="shared" ref="K151" si="42">(L150+K150)*(L149-K149)/2</f>
        <v>0.83593600000000068</v>
      </c>
      <c r="L151" s="375">
        <f t="shared" ref="L151" si="43">(M150+L150)*(M149-L149)/2</f>
        <v>1.7671089999999983</v>
      </c>
      <c r="M151" s="375">
        <f t="shared" ref="M151" si="44">(N150+M150)*(N149-M149)/2</f>
        <v>7.8539500000000276E-2</v>
      </c>
      <c r="N151" s="375">
        <f t="shared" ref="N151" si="45">(O150+N150)*(O149-N149)/2</f>
        <v>0</v>
      </c>
      <c r="O151" s="375">
        <f t="shared" ref="O151" si="46">(P150+O150)*(P149-O149)/2</f>
        <v>0</v>
      </c>
      <c r="P151" s="375">
        <f t="shared" ref="P151" si="47">(Q150+P150)*(Q149-P149)/2</f>
        <v>0</v>
      </c>
      <c r="Q151" s="375">
        <f t="shared" ref="Q151" si="48">(R150+Q150)*(R149-Q149)/2</f>
        <v>0</v>
      </c>
      <c r="R151" s="375">
        <f t="shared" ref="R151" si="49">(S150+R150)*(S149-R149)/2</f>
        <v>0</v>
      </c>
      <c r="S151" s="375">
        <f t="shared" ref="S151" si="50">(T150+S150)*(T149-S149)/2</f>
        <v>0</v>
      </c>
      <c r="T151" s="375">
        <f t="shared" ref="T151" si="51">(U150+T150)*(U149-T149)/2</f>
        <v>0</v>
      </c>
      <c r="U151" s="375">
        <f t="shared" ref="U151" si="52">(V150+U150)*(V149-U149)/2</f>
        <v>0</v>
      </c>
      <c r="V151" s="375">
        <f t="shared" ref="V151" si="53">(W150+V150)*(W149-V149)/2</f>
        <v>0</v>
      </c>
      <c r="W151" s="375">
        <f t="shared" ref="W151" si="54">(X150+W150)*(X149-W149)/2</f>
        <v>0</v>
      </c>
      <c r="X151" s="375">
        <f t="shared" ref="X151" si="55">(Y150+X150)*(Y149-X149)/2</f>
        <v>0</v>
      </c>
      <c r="Y151" s="369"/>
    </row>
    <row r="152" spans="1:26" ht="13.5" thickBot="1" x14ac:dyDescent="0.2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6" ht="13.5" thickBot="1" x14ac:dyDescent="0.25">
      <c r="A153" s="361" t="s">
        <v>384</v>
      </c>
      <c r="B153" s="359">
        <f>ROW(A153)</f>
        <v>153</v>
      </c>
      <c r="C153" s="363" t="s">
        <v>116</v>
      </c>
      <c r="D153" s="353">
        <f>SUM(B156:Y156)</f>
        <v>55.705884500000003</v>
      </c>
      <c r="E153" s="363" t="s">
        <v>115</v>
      </c>
      <c r="F153" s="354">
        <f>D153/g/J153</f>
        <v>180.84329814241278</v>
      </c>
      <c r="G153" s="363" t="s">
        <v>57</v>
      </c>
      <c r="H153" s="64">
        <v>0.1062</v>
      </c>
      <c r="I153" s="363" t="s">
        <v>270</v>
      </c>
      <c r="J153" s="355">
        <f>H153-L153</f>
        <v>3.1400000000000011E-2</v>
      </c>
      <c r="K153" s="363" t="s">
        <v>271</v>
      </c>
      <c r="L153" s="64">
        <v>7.4799999999999991E-2</v>
      </c>
      <c r="M153" s="363" t="s">
        <v>58</v>
      </c>
      <c r="N153" s="65">
        <v>49</v>
      </c>
      <c r="O153" s="363" t="s">
        <v>60</v>
      </c>
      <c r="P153" s="65">
        <v>49</v>
      </c>
      <c r="Q153" s="363" t="s">
        <v>61</v>
      </c>
      <c r="R153" s="65">
        <v>98</v>
      </c>
      <c r="S153" s="363" t="s">
        <v>62</v>
      </c>
      <c r="T153" s="65">
        <v>29</v>
      </c>
      <c r="U153" s="363" t="s">
        <v>55</v>
      </c>
      <c r="V153" s="66" t="s">
        <v>400</v>
      </c>
      <c r="W153" s="463" t="s">
        <v>394</v>
      </c>
      <c r="X153" s="465">
        <v>0.45</v>
      </c>
      <c r="Y153" s="463" t="s">
        <v>393</v>
      </c>
      <c r="Z153" s="358">
        <v>14</v>
      </c>
    </row>
    <row r="154" spans="1:26" x14ac:dyDescent="0.2">
      <c r="A154" s="362" t="s">
        <v>33</v>
      </c>
      <c r="B154" s="370">
        <v>0</v>
      </c>
      <c r="C154" s="371">
        <v>1.2999999999999999E-2</v>
      </c>
      <c r="D154" s="371">
        <v>1.7000000000000001E-2</v>
      </c>
      <c r="E154" s="371">
        <v>0.04</v>
      </c>
      <c r="F154" s="371">
        <v>0.125</v>
      </c>
      <c r="G154" s="371">
        <v>0.17899999999999999</v>
      </c>
      <c r="H154" s="371">
        <v>0.222</v>
      </c>
      <c r="I154" s="371">
        <v>0.28899999999999998</v>
      </c>
      <c r="J154" s="371">
        <v>0.35399999999999998</v>
      </c>
      <c r="K154" s="371">
        <v>0.39400000000000002</v>
      </c>
      <c r="L154" s="371">
        <v>0.40600000000000003</v>
      </c>
      <c r="M154" s="371">
        <v>0.41599999999999998</v>
      </c>
      <c r="N154" s="371">
        <v>0.42299999999999999</v>
      </c>
      <c r="O154" s="371">
        <v>0.43099999999999999</v>
      </c>
      <c r="P154" s="371">
        <v>0.44700000000000001</v>
      </c>
      <c r="Q154" s="371">
        <v>0.45300000000000001</v>
      </c>
      <c r="R154" s="371">
        <v>0.45500000000000002</v>
      </c>
      <c r="S154" s="371">
        <v>0.45500000000000002</v>
      </c>
      <c r="T154" s="371">
        <v>0.45500000000000002</v>
      </c>
      <c r="U154" s="371">
        <v>0.45500000000000002</v>
      </c>
      <c r="V154" s="371">
        <v>0.45500000000000002</v>
      </c>
      <c r="W154" s="371">
        <v>0.45500000000000002</v>
      </c>
      <c r="X154" s="371">
        <v>2</v>
      </c>
      <c r="Y154" s="381">
        <v>1000</v>
      </c>
    </row>
    <row r="155" spans="1:26" x14ac:dyDescent="0.2">
      <c r="A155" s="378" t="s">
        <v>34</v>
      </c>
      <c r="B155" s="372">
        <v>0</v>
      </c>
      <c r="C155" s="373">
        <v>79.242000000000004</v>
      </c>
      <c r="D155" s="373">
        <v>90.427000000000007</v>
      </c>
      <c r="E155" s="373">
        <v>101.422</v>
      </c>
      <c r="F155" s="373">
        <v>127.583</v>
      </c>
      <c r="G155" s="373">
        <v>136.114</v>
      </c>
      <c r="H155" s="373">
        <v>139.905</v>
      </c>
      <c r="I155" s="373">
        <v>143.50700000000001</v>
      </c>
      <c r="J155" s="373">
        <v>138.578</v>
      </c>
      <c r="K155" s="373">
        <v>125.498</v>
      </c>
      <c r="L155" s="373">
        <v>123.602</v>
      </c>
      <c r="M155" s="373">
        <v>125.11799999999999</v>
      </c>
      <c r="N155" s="373">
        <v>130.047</v>
      </c>
      <c r="O155" s="373">
        <v>120.569</v>
      </c>
      <c r="P155" s="373">
        <v>25.591999999999999</v>
      </c>
      <c r="Q155" s="373">
        <v>8.7200000000000006</v>
      </c>
      <c r="R155" s="373">
        <v>0</v>
      </c>
      <c r="S155" s="373">
        <v>0</v>
      </c>
      <c r="T155" s="373">
        <v>0</v>
      </c>
      <c r="U155" s="373">
        <v>0</v>
      </c>
      <c r="V155" s="373">
        <v>0</v>
      </c>
      <c r="W155" s="373">
        <v>0</v>
      </c>
      <c r="X155" s="373">
        <v>0</v>
      </c>
      <c r="Y155" s="382">
        <v>0</v>
      </c>
    </row>
    <row r="156" spans="1:26" ht="13.5" thickBot="1" x14ac:dyDescent="0.25">
      <c r="A156" s="379" t="s">
        <v>117</v>
      </c>
      <c r="B156" s="374">
        <f t="shared" ref="B156:X156" si="56">(C155+B155)*(C154-B154)/2</f>
        <v>0.515073</v>
      </c>
      <c r="C156" s="375">
        <f t="shared" si="56"/>
        <v>0.3393380000000002</v>
      </c>
      <c r="D156" s="375">
        <f t="shared" si="56"/>
        <v>2.2062634999999999</v>
      </c>
      <c r="E156" s="375">
        <f t="shared" si="56"/>
        <v>9.7327124999999981</v>
      </c>
      <c r="F156" s="375">
        <f t="shared" si="56"/>
        <v>7.1198189999999988</v>
      </c>
      <c r="G156" s="375">
        <f t="shared" si="56"/>
        <v>5.9344085000000018</v>
      </c>
      <c r="H156" s="375">
        <f t="shared" si="56"/>
        <v>9.4943019999999976</v>
      </c>
      <c r="I156" s="375">
        <f t="shared" si="56"/>
        <v>9.167762500000002</v>
      </c>
      <c r="J156" s="375">
        <f t="shared" si="56"/>
        <v>5.2815200000000049</v>
      </c>
      <c r="K156" s="375">
        <f t="shared" si="56"/>
        <v>1.4946000000000015</v>
      </c>
      <c r="L156" s="375">
        <f t="shared" si="56"/>
        <v>1.2435999999999943</v>
      </c>
      <c r="M156" s="375">
        <f t="shared" si="56"/>
        <v>0.89307750000000075</v>
      </c>
      <c r="N156" s="375">
        <f t="shared" si="56"/>
        <v>1.0024640000000009</v>
      </c>
      <c r="O156" s="375">
        <f t="shared" si="56"/>
        <v>1.169288000000001</v>
      </c>
      <c r="P156" s="375">
        <f t="shared" si="56"/>
        <v>0.10293600000000008</v>
      </c>
      <c r="Q156" s="375">
        <f t="shared" si="56"/>
        <v>8.720000000000009E-3</v>
      </c>
      <c r="R156" s="375">
        <f t="shared" si="56"/>
        <v>0</v>
      </c>
      <c r="S156" s="375">
        <f t="shared" si="56"/>
        <v>0</v>
      </c>
      <c r="T156" s="375">
        <f t="shared" si="56"/>
        <v>0</v>
      </c>
      <c r="U156" s="375">
        <f t="shared" si="56"/>
        <v>0</v>
      </c>
      <c r="V156" s="375">
        <f t="shared" si="56"/>
        <v>0</v>
      </c>
      <c r="W156" s="375">
        <f t="shared" si="56"/>
        <v>0</v>
      </c>
      <c r="X156" s="375">
        <f t="shared" si="56"/>
        <v>0</v>
      </c>
      <c r="Y156" s="369"/>
    </row>
    <row r="157" spans="1:26" ht="13.5" thickBot="1" x14ac:dyDescent="0.25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6" ht="13.5" thickBot="1" x14ac:dyDescent="0.25">
      <c r="A158" s="361" t="s">
        <v>385</v>
      </c>
      <c r="B158" s="359">
        <f>ROW(A158)</f>
        <v>158</v>
      </c>
      <c r="C158" s="363" t="s">
        <v>116</v>
      </c>
      <c r="D158" s="353">
        <f>SUM(B161:Y161)</f>
        <v>57.190000000000005</v>
      </c>
      <c r="E158" s="363" t="s">
        <v>115</v>
      </c>
      <c r="F158" s="354">
        <f>D158/g/J158</f>
        <v>188.05695307618953</v>
      </c>
      <c r="G158" s="363" t="s">
        <v>57</v>
      </c>
      <c r="H158" s="64">
        <v>9.9000000000000005E-2</v>
      </c>
      <c r="I158" s="363" t="s">
        <v>270</v>
      </c>
      <c r="J158" s="355">
        <f>H158-L158</f>
        <v>3.1E-2</v>
      </c>
      <c r="K158" s="363" t="s">
        <v>271</v>
      </c>
      <c r="L158" s="64">
        <v>6.8000000000000005E-2</v>
      </c>
      <c r="M158" s="363" t="s">
        <v>58</v>
      </c>
      <c r="N158" s="65">
        <v>49</v>
      </c>
      <c r="O158" s="363" t="s">
        <v>60</v>
      </c>
      <c r="P158" s="65">
        <v>49</v>
      </c>
      <c r="Q158" s="363" t="s">
        <v>61</v>
      </c>
      <c r="R158" s="65">
        <v>98</v>
      </c>
      <c r="S158" s="363" t="s">
        <v>62</v>
      </c>
      <c r="T158" s="65">
        <v>29</v>
      </c>
      <c r="U158" s="363" t="s">
        <v>55</v>
      </c>
      <c r="V158" s="66" t="s">
        <v>400</v>
      </c>
      <c r="W158" s="463" t="s">
        <v>394</v>
      </c>
      <c r="X158" s="465">
        <v>0.96</v>
      </c>
      <c r="Y158" s="463" t="s">
        <v>393</v>
      </c>
      <c r="Z158" s="358">
        <v>12</v>
      </c>
    </row>
    <row r="159" spans="1:26" x14ac:dyDescent="0.2">
      <c r="A159" s="362" t="s">
        <v>33</v>
      </c>
      <c r="B159" s="370">
        <v>0</v>
      </c>
      <c r="C159" s="371">
        <v>0.01</v>
      </c>
      <c r="D159" s="371">
        <v>0.02</v>
      </c>
      <c r="E159" s="371">
        <v>0.03</v>
      </c>
      <c r="F159" s="371">
        <v>0.04</v>
      </c>
      <c r="G159" s="371">
        <v>7.0000000000000007E-2</v>
      </c>
      <c r="H159" s="371">
        <v>0.1</v>
      </c>
      <c r="I159" s="371">
        <v>0.2</v>
      </c>
      <c r="J159" s="371">
        <v>0.3</v>
      </c>
      <c r="K159" s="371">
        <v>0.4</v>
      </c>
      <c r="L159" s="371">
        <v>0.5</v>
      </c>
      <c r="M159" s="371">
        <v>0.6</v>
      </c>
      <c r="N159" s="371">
        <v>0.7</v>
      </c>
      <c r="O159" s="371">
        <v>0.87</v>
      </c>
      <c r="P159" s="371">
        <v>0.9</v>
      </c>
      <c r="Q159" s="371">
        <v>0.97</v>
      </c>
      <c r="R159" s="371">
        <v>0.97</v>
      </c>
      <c r="S159" s="371">
        <v>0.97</v>
      </c>
      <c r="T159" s="371">
        <v>0.97</v>
      </c>
      <c r="U159" s="371">
        <v>0.97</v>
      </c>
      <c r="V159" s="371">
        <v>0.97</v>
      </c>
      <c r="W159" s="371">
        <v>0.97</v>
      </c>
      <c r="X159" s="371">
        <v>2</v>
      </c>
      <c r="Y159" s="381">
        <v>1000</v>
      </c>
    </row>
    <row r="160" spans="1:26" x14ac:dyDescent="0.2">
      <c r="A160" s="378" t="s">
        <v>34</v>
      </c>
      <c r="B160" s="372">
        <v>0</v>
      </c>
      <c r="C160" s="373">
        <v>16</v>
      </c>
      <c r="D160" s="373">
        <v>62</v>
      </c>
      <c r="E160" s="373">
        <v>67</v>
      </c>
      <c r="F160" s="373">
        <v>71</v>
      </c>
      <c r="G160" s="373">
        <v>58</v>
      </c>
      <c r="H160" s="373">
        <v>63</v>
      </c>
      <c r="I160" s="373">
        <v>67</v>
      </c>
      <c r="J160" s="373">
        <v>69</v>
      </c>
      <c r="K160" s="373">
        <v>67</v>
      </c>
      <c r="L160" s="373">
        <v>65</v>
      </c>
      <c r="M160" s="373">
        <v>63</v>
      </c>
      <c r="N160" s="373">
        <v>61</v>
      </c>
      <c r="O160" s="373">
        <v>60</v>
      </c>
      <c r="P160" s="373">
        <v>23</v>
      </c>
      <c r="Q160" s="373">
        <v>0</v>
      </c>
      <c r="R160" s="373">
        <v>0</v>
      </c>
      <c r="S160" s="373">
        <v>0</v>
      </c>
      <c r="T160" s="373">
        <v>0</v>
      </c>
      <c r="U160" s="373">
        <v>0</v>
      </c>
      <c r="V160" s="373">
        <v>0</v>
      </c>
      <c r="W160" s="373">
        <v>0</v>
      </c>
      <c r="X160" s="373">
        <v>0</v>
      </c>
      <c r="Y160" s="382">
        <v>0</v>
      </c>
    </row>
    <row r="161" spans="1:26" ht="13.5" thickBot="1" x14ac:dyDescent="0.25">
      <c r="A161" s="379" t="s">
        <v>117</v>
      </c>
      <c r="B161" s="374">
        <f t="shared" ref="B161:X161" si="57">(C160+B160)*(C159-B159)/2</f>
        <v>0.08</v>
      </c>
      <c r="C161" s="375">
        <f t="shared" si="57"/>
        <v>0.39</v>
      </c>
      <c r="D161" s="375">
        <f t="shared" si="57"/>
        <v>0.64499999999999991</v>
      </c>
      <c r="E161" s="375">
        <f t="shared" si="57"/>
        <v>0.69000000000000017</v>
      </c>
      <c r="F161" s="375">
        <f t="shared" si="57"/>
        <v>1.9350000000000003</v>
      </c>
      <c r="G161" s="375">
        <f t="shared" si="57"/>
        <v>1.8149999999999999</v>
      </c>
      <c r="H161" s="375">
        <f t="shared" si="57"/>
        <v>6.5</v>
      </c>
      <c r="I161" s="375">
        <f t="shared" si="57"/>
        <v>6.7999999999999989</v>
      </c>
      <c r="J161" s="375">
        <f t="shared" si="57"/>
        <v>6.8000000000000025</v>
      </c>
      <c r="K161" s="375">
        <f t="shared" si="57"/>
        <v>6.5999999999999988</v>
      </c>
      <c r="L161" s="375">
        <f t="shared" si="57"/>
        <v>6.3999999999999986</v>
      </c>
      <c r="M161" s="375">
        <f t="shared" si="57"/>
        <v>6.1999999999999984</v>
      </c>
      <c r="N161" s="375">
        <f t="shared" si="57"/>
        <v>10.285000000000002</v>
      </c>
      <c r="O161" s="375">
        <f t="shared" si="57"/>
        <v>1.245000000000001</v>
      </c>
      <c r="P161" s="375">
        <f t="shared" si="57"/>
        <v>0.80499999999999949</v>
      </c>
      <c r="Q161" s="375">
        <f t="shared" si="57"/>
        <v>0</v>
      </c>
      <c r="R161" s="375">
        <f t="shared" si="57"/>
        <v>0</v>
      </c>
      <c r="S161" s="375">
        <f t="shared" si="57"/>
        <v>0</v>
      </c>
      <c r="T161" s="375">
        <f t="shared" si="57"/>
        <v>0</v>
      </c>
      <c r="U161" s="375">
        <f t="shared" si="57"/>
        <v>0</v>
      </c>
      <c r="V161" s="375">
        <f t="shared" si="57"/>
        <v>0</v>
      </c>
      <c r="W161" s="375">
        <f t="shared" si="57"/>
        <v>0</v>
      </c>
      <c r="X161" s="375">
        <f t="shared" si="57"/>
        <v>0</v>
      </c>
      <c r="Y161" s="369"/>
    </row>
    <row r="162" spans="1:26" ht="13.5" thickBot="1" x14ac:dyDescent="0.25">
      <c r="A162" s="6" t="s">
        <v>314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6" ht="13.5" thickBot="1" x14ac:dyDescent="0.25">
      <c r="A163" s="361" t="s">
        <v>321</v>
      </c>
      <c r="B163" s="359">
        <f>ROW(A163)</f>
        <v>163</v>
      </c>
      <c r="C163" s="363" t="s">
        <v>116</v>
      </c>
      <c r="D163" s="353">
        <f>SUM(B166:Y166)</f>
        <v>59.702267000000006</v>
      </c>
      <c r="E163" s="363" t="s">
        <v>115</v>
      </c>
      <c r="F163" s="354">
        <f>D163/g/J163</f>
        <v>190.77924771281306</v>
      </c>
      <c r="G163" s="363" t="s">
        <v>57</v>
      </c>
      <c r="H163" s="64">
        <v>9.3899999999999997E-2</v>
      </c>
      <c r="I163" s="363" t="s">
        <v>270</v>
      </c>
      <c r="J163" s="355">
        <f>H163-L163</f>
        <v>3.1899999999999998E-2</v>
      </c>
      <c r="K163" s="363" t="s">
        <v>271</v>
      </c>
      <c r="L163" s="64">
        <f>0.095-0.033</f>
        <v>6.2E-2</v>
      </c>
      <c r="M163" s="363" t="s">
        <v>58</v>
      </c>
      <c r="N163" s="396">
        <v>66.5</v>
      </c>
      <c r="O163" s="363" t="s">
        <v>60</v>
      </c>
      <c r="P163" s="396">
        <v>66.5</v>
      </c>
      <c r="Q163" s="363" t="s">
        <v>61</v>
      </c>
      <c r="R163" s="65">
        <v>133</v>
      </c>
      <c r="S163" s="363" t="s">
        <v>62</v>
      </c>
      <c r="T163" s="65">
        <v>24</v>
      </c>
      <c r="U163" s="363" t="s">
        <v>55</v>
      </c>
      <c r="V163" s="66" t="s">
        <v>399</v>
      </c>
      <c r="W163" s="463" t="s">
        <v>394</v>
      </c>
      <c r="X163" s="465">
        <v>1.2</v>
      </c>
      <c r="Y163" s="463" t="s">
        <v>393</v>
      </c>
      <c r="Z163" s="358">
        <v>13</v>
      </c>
    </row>
    <row r="164" spans="1:26" x14ac:dyDescent="0.2">
      <c r="A164" s="362" t="s">
        <v>33</v>
      </c>
      <c r="B164" s="370">
        <v>0</v>
      </c>
      <c r="C164" s="371">
        <v>1.4999999999999999E-2</v>
      </c>
      <c r="D164" s="371">
        <v>2.1999999999999999E-2</v>
      </c>
      <c r="E164" s="371">
        <v>6.4000000000000001E-2</v>
      </c>
      <c r="F164" s="371">
        <v>0.11799999999999999</v>
      </c>
      <c r="G164" s="371">
        <v>0.34200000000000003</v>
      </c>
      <c r="H164" s="371">
        <v>0.53600000000000003</v>
      </c>
      <c r="I164" s="371">
        <v>0.74299999999999999</v>
      </c>
      <c r="J164" s="371">
        <v>0.88400000000000001</v>
      </c>
      <c r="K164" s="371">
        <v>0.97599999999999998</v>
      </c>
      <c r="L164" s="371">
        <v>1.0960000000000001</v>
      </c>
      <c r="M164" s="371">
        <v>1.246</v>
      </c>
      <c r="N164" s="371">
        <v>1.298</v>
      </c>
      <c r="O164" s="371">
        <v>2</v>
      </c>
      <c r="P164" s="371">
        <v>2</v>
      </c>
      <c r="Q164" s="371">
        <v>2</v>
      </c>
      <c r="R164" s="371">
        <v>2</v>
      </c>
      <c r="S164" s="371">
        <v>2</v>
      </c>
      <c r="T164" s="371">
        <v>2</v>
      </c>
      <c r="U164" s="371">
        <v>2</v>
      </c>
      <c r="V164" s="371">
        <v>2</v>
      </c>
      <c r="W164" s="371">
        <v>2</v>
      </c>
      <c r="X164" s="371">
        <f t="shared" ref="T164:X165" si="58">W164</f>
        <v>2</v>
      </c>
      <c r="Y164" s="381">
        <v>1000</v>
      </c>
    </row>
    <row r="165" spans="1:26" x14ac:dyDescent="0.2">
      <c r="A165" s="378" t="s">
        <v>34</v>
      </c>
      <c r="B165" s="372">
        <v>0</v>
      </c>
      <c r="C165" s="373">
        <v>64.981999999999999</v>
      </c>
      <c r="D165" s="373">
        <v>69.516000000000005</v>
      </c>
      <c r="E165" s="373">
        <v>55.536999999999999</v>
      </c>
      <c r="F165" s="373">
        <v>62.81</v>
      </c>
      <c r="G165" s="373">
        <v>62.149000000000001</v>
      </c>
      <c r="H165" s="373">
        <v>59.41</v>
      </c>
      <c r="I165" s="373">
        <v>53.837000000000003</v>
      </c>
      <c r="J165" s="373">
        <v>46.942</v>
      </c>
      <c r="K165" s="373">
        <v>40.046999999999997</v>
      </c>
      <c r="L165" s="373">
        <v>12.561999999999999</v>
      </c>
      <c r="M165" s="373">
        <v>2.0779999999999998</v>
      </c>
      <c r="N165" s="373">
        <v>0</v>
      </c>
      <c r="O165" s="373">
        <v>0</v>
      </c>
      <c r="P165" s="373">
        <v>0</v>
      </c>
      <c r="Q165" s="373">
        <v>0</v>
      </c>
      <c r="R165" s="373">
        <v>0</v>
      </c>
      <c r="S165" s="373">
        <v>0</v>
      </c>
      <c r="T165" s="373">
        <f t="shared" si="58"/>
        <v>0</v>
      </c>
      <c r="U165" s="373">
        <f t="shared" si="58"/>
        <v>0</v>
      </c>
      <c r="V165" s="373">
        <f t="shared" si="58"/>
        <v>0</v>
      </c>
      <c r="W165" s="373">
        <f t="shared" si="58"/>
        <v>0</v>
      </c>
      <c r="X165" s="373">
        <f t="shared" si="58"/>
        <v>0</v>
      </c>
      <c r="Y165" s="382">
        <v>0</v>
      </c>
    </row>
    <row r="166" spans="1:26" ht="13.5" thickBot="1" x14ac:dyDescent="0.25">
      <c r="A166" s="379" t="s">
        <v>117</v>
      </c>
      <c r="B166" s="374">
        <f t="shared" ref="B166:V166" si="59">(C165+B165)*(C164-B164)/2</f>
        <v>0.48736499999999999</v>
      </c>
      <c r="C166" s="375">
        <f t="shared" si="59"/>
        <v>0.47074299999999991</v>
      </c>
      <c r="D166" s="375">
        <f t="shared" si="59"/>
        <v>2.6261130000000001</v>
      </c>
      <c r="E166" s="375">
        <f t="shared" si="59"/>
        <v>3.1953689999999999</v>
      </c>
      <c r="F166" s="375">
        <f t="shared" si="59"/>
        <v>13.995408000000003</v>
      </c>
      <c r="G166" s="375">
        <f t="shared" si="59"/>
        <v>11.791223</v>
      </c>
      <c r="H166" s="375">
        <f t="shared" si="59"/>
        <v>11.721064499999997</v>
      </c>
      <c r="I166" s="375">
        <f t="shared" si="59"/>
        <v>7.1049195000000003</v>
      </c>
      <c r="J166" s="375">
        <f>(K165+J165)*(K164-J164)/2</f>
        <v>4.0014939999999992</v>
      </c>
      <c r="K166" s="375">
        <f t="shared" si="59"/>
        <v>3.1565400000000023</v>
      </c>
      <c r="L166" s="375">
        <f t="shared" si="59"/>
        <v>1.0979999999999992</v>
      </c>
      <c r="M166" s="375">
        <f t="shared" si="59"/>
        <v>5.4028000000000041E-2</v>
      </c>
      <c r="N166" s="375">
        <f t="shared" si="59"/>
        <v>0</v>
      </c>
      <c r="O166" s="375">
        <f t="shared" si="59"/>
        <v>0</v>
      </c>
      <c r="P166" s="375">
        <f t="shared" si="59"/>
        <v>0</v>
      </c>
      <c r="Q166" s="375">
        <f t="shared" si="59"/>
        <v>0</v>
      </c>
      <c r="R166" s="375">
        <f t="shared" si="59"/>
        <v>0</v>
      </c>
      <c r="S166" s="375">
        <f>(T165+S165)*(T164-S164)/2</f>
        <v>0</v>
      </c>
      <c r="T166" s="375">
        <f t="shared" si="59"/>
        <v>0</v>
      </c>
      <c r="U166" s="375">
        <f t="shared" si="59"/>
        <v>0</v>
      </c>
      <c r="V166" s="375">
        <f t="shared" si="59"/>
        <v>0</v>
      </c>
      <c r="W166" s="375">
        <f>(X165+W165)*(X164-W164)/2</f>
        <v>0</v>
      </c>
      <c r="X166" s="375">
        <f>(Y165+X165)*(Y164-X164)/2</f>
        <v>0</v>
      </c>
      <c r="Y166" s="369"/>
    </row>
    <row r="167" spans="1:26" ht="13.5" thickBot="1" x14ac:dyDescent="0.25"/>
    <row r="168" spans="1:26" ht="13.5" thickBot="1" x14ac:dyDescent="0.25">
      <c r="A168" s="361" t="s">
        <v>322</v>
      </c>
      <c r="B168" s="359">
        <f>ROW(A168)</f>
        <v>168</v>
      </c>
      <c r="C168" s="363" t="s">
        <v>116</v>
      </c>
      <c r="D168" s="353">
        <f>SUM(B171:Y171)</f>
        <v>68.380602999999994</v>
      </c>
      <c r="E168" s="363" t="s">
        <v>115</v>
      </c>
      <c r="F168" s="354">
        <f>D168/g/J168</f>
        <v>134.04807300243078</v>
      </c>
      <c r="G168" s="363" t="s">
        <v>57</v>
      </c>
      <c r="H168" s="64">
        <v>0.1075</v>
      </c>
      <c r="I168" s="363" t="s">
        <v>270</v>
      </c>
      <c r="J168" s="355">
        <f>H168-L168</f>
        <v>5.1999999999999998E-2</v>
      </c>
      <c r="K168" s="363" t="s">
        <v>271</v>
      </c>
      <c r="L168" s="64">
        <v>5.5500000000000001E-2</v>
      </c>
      <c r="M168" s="363" t="s">
        <v>58</v>
      </c>
      <c r="N168" s="396">
        <v>66.5</v>
      </c>
      <c r="O168" s="363" t="s">
        <v>60</v>
      </c>
      <c r="P168" s="396">
        <v>66.5</v>
      </c>
      <c r="Q168" s="363" t="s">
        <v>61</v>
      </c>
      <c r="R168" s="65">
        <v>133</v>
      </c>
      <c r="S168" s="363" t="s">
        <v>62</v>
      </c>
      <c r="T168" s="65">
        <v>24</v>
      </c>
      <c r="U168" s="363" t="s">
        <v>55</v>
      </c>
      <c r="V168" s="66" t="s">
        <v>399</v>
      </c>
      <c r="W168" s="463" t="s">
        <v>394</v>
      </c>
      <c r="X168" s="465">
        <v>0.86</v>
      </c>
      <c r="Y168" s="463" t="s">
        <v>393</v>
      </c>
      <c r="Z168" s="358">
        <v>13</v>
      </c>
    </row>
    <row r="169" spans="1:26" x14ac:dyDescent="0.2">
      <c r="A169" s="362" t="s">
        <v>33</v>
      </c>
      <c r="B169" s="370">
        <v>0</v>
      </c>
      <c r="C169" s="371">
        <v>5.0000000000000001E-3</v>
      </c>
      <c r="D169" s="371">
        <v>1.2999999999999999E-2</v>
      </c>
      <c r="E169" s="371">
        <v>2.1999999999999999E-2</v>
      </c>
      <c r="F169" s="371">
        <v>4.2999999999999997E-2</v>
      </c>
      <c r="G169" s="371">
        <v>0.11899999999999999</v>
      </c>
      <c r="H169" s="371">
        <v>0.19800000000000001</v>
      </c>
      <c r="I169" s="371">
        <v>0.26700000000000002</v>
      </c>
      <c r="J169" s="371">
        <v>0.34300000000000003</v>
      </c>
      <c r="K169" s="371">
        <v>0.40400000000000003</v>
      </c>
      <c r="L169" s="371">
        <v>0.498</v>
      </c>
      <c r="M169" s="371">
        <v>0.55500000000000005</v>
      </c>
      <c r="N169" s="371">
        <v>0.622</v>
      </c>
      <c r="O169" s="371">
        <v>0.66300000000000003</v>
      </c>
      <c r="P169" s="371">
        <v>0.70399999999999996</v>
      </c>
      <c r="Q169" s="371">
        <v>0.72899999999999998</v>
      </c>
      <c r="R169" s="371">
        <v>0.747</v>
      </c>
      <c r="S169" s="371">
        <v>0.76800000000000002</v>
      </c>
      <c r="T169" s="371">
        <v>0.82099999999999995</v>
      </c>
      <c r="U169" s="371">
        <v>0.85199999999999998</v>
      </c>
      <c r="V169" s="371">
        <v>0.89200000000000002</v>
      </c>
      <c r="W169" s="371">
        <v>1</v>
      </c>
      <c r="X169" s="371">
        <v>2</v>
      </c>
      <c r="Y169" s="381">
        <v>1000</v>
      </c>
    </row>
    <row r="170" spans="1:26" x14ac:dyDescent="0.2">
      <c r="A170" s="378" t="s">
        <v>34</v>
      </c>
      <c r="B170" s="372">
        <v>0</v>
      </c>
      <c r="C170" s="373">
        <v>60</v>
      </c>
      <c r="D170" s="373">
        <v>89.007000000000005</v>
      </c>
      <c r="E170" s="373">
        <v>96.290999999999997</v>
      </c>
      <c r="F170" s="373">
        <v>81.721999999999994</v>
      </c>
      <c r="G170" s="373">
        <v>85.563000000000002</v>
      </c>
      <c r="H170" s="373">
        <v>87.947000000000003</v>
      </c>
      <c r="I170" s="373">
        <v>89.272000000000006</v>
      </c>
      <c r="J170" s="373">
        <v>89.933999999999997</v>
      </c>
      <c r="K170" s="373">
        <v>90.861000000000004</v>
      </c>
      <c r="L170" s="373">
        <v>91.522999999999996</v>
      </c>
      <c r="M170" s="373">
        <v>89.668999999999997</v>
      </c>
      <c r="N170" s="373">
        <v>83.974000000000004</v>
      </c>
      <c r="O170" s="373">
        <v>80.53</v>
      </c>
      <c r="P170" s="373">
        <v>78.94</v>
      </c>
      <c r="Q170" s="373">
        <v>74.171999999999997</v>
      </c>
      <c r="R170" s="373">
        <v>66.887</v>
      </c>
      <c r="S170" s="373">
        <v>53.774999999999999</v>
      </c>
      <c r="T170" s="373">
        <v>18.542999999999999</v>
      </c>
      <c r="U170" s="373">
        <v>7.8150000000000004</v>
      </c>
      <c r="V170" s="373">
        <v>2.1190000000000002</v>
      </c>
      <c r="W170" s="373">
        <v>0</v>
      </c>
      <c r="X170" s="373">
        <v>0</v>
      </c>
      <c r="Y170" s="382">
        <v>0</v>
      </c>
    </row>
    <row r="171" spans="1:26" ht="13.5" thickBot="1" x14ac:dyDescent="0.25">
      <c r="A171" s="379" t="s">
        <v>117</v>
      </c>
      <c r="B171" s="374">
        <f t="shared" ref="B171:X171" si="60">(C170+B170)*(C169-B169)/2</f>
        <v>0.15</v>
      </c>
      <c r="C171" s="375">
        <f t="shared" si="60"/>
        <v>0.596028</v>
      </c>
      <c r="D171" s="375">
        <f t="shared" si="60"/>
        <v>0.83384099999999994</v>
      </c>
      <c r="E171" s="375">
        <f t="shared" si="60"/>
        <v>1.8691364999999995</v>
      </c>
      <c r="F171" s="375">
        <f t="shared" si="60"/>
        <v>6.3568299999999995</v>
      </c>
      <c r="G171" s="375">
        <f t="shared" si="60"/>
        <v>6.8536450000000011</v>
      </c>
      <c r="H171" s="375">
        <f t="shared" si="60"/>
        <v>6.1140555000000001</v>
      </c>
      <c r="I171" s="375">
        <f t="shared" si="60"/>
        <v>6.8098280000000013</v>
      </c>
      <c r="J171" s="375">
        <f t="shared" si="60"/>
        <v>5.5142475000000006</v>
      </c>
      <c r="K171" s="375">
        <f t="shared" si="60"/>
        <v>8.5720479999999988</v>
      </c>
      <c r="L171" s="375">
        <f t="shared" si="60"/>
        <v>5.1639720000000047</v>
      </c>
      <c r="M171" s="375">
        <f t="shared" si="60"/>
        <v>5.8170404999999956</v>
      </c>
      <c r="N171" s="375">
        <f t="shared" si="60"/>
        <v>3.3723320000000032</v>
      </c>
      <c r="O171" s="375">
        <f t="shared" si="60"/>
        <v>3.2691349999999941</v>
      </c>
      <c r="P171" s="375">
        <f t="shared" si="60"/>
        <v>1.9139000000000017</v>
      </c>
      <c r="Q171" s="375">
        <f t="shared" si="60"/>
        <v>1.2695310000000011</v>
      </c>
      <c r="R171" s="375">
        <f t="shared" si="60"/>
        <v>1.2669510000000013</v>
      </c>
      <c r="S171" s="375">
        <f t="shared" si="60"/>
        <v>1.9164269999999977</v>
      </c>
      <c r="T171" s="375">
        <f t="shared" si="60"/>
        <v>0.40854900000000038</v>
      </c>
      <c r="U171" s="375">
        <f t="shared" si="60"/>
        <v>0.19868000000000019</v>
      </c>
      <c r="V171" s="375">
        <f t="shared" si="60"/>
        <v>0.114426</v>
      </c>
      <c r="W171" s="375">
        <f t="shared" si="60"/>
        <v>0</v>
      </c>
      <c r="X171" s="375">
        <f t="shared" si="60"/>
        <v>0</v>
      </c>
      <c r="Y171" s="369"/>
    </row>
    <row r="172" spans="1:26" ht="13.5" thickBot="1" x14ac:dyDescent="0.2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6" ht="13.5" thickBot="1" x14ac:dyDescent="0.25">
      <c r="A173" s="361" t="s">
        <v>323</v>
      </c>
      <c r="B173" s="359">
        <f>ROW(A173)</f>
        <v>173</v>
      </c>
      <c r="C173" s="363" t="s">
        <v>116</v>
      </c>
      <c r="D173" s="353">
        <f>SUM(B176:Y176)</f>
        <v>67.985428500000012</v>
      </c>
      <c r="E173" s="363" t="s">
        <v>115</v>
      </c>
      <c r="F173" s="354">
        <f>D173/g/J173</f>
        <v>181.89545859519862</v>
      </c>
      <c r="G173" s="363" t="s">
        <v>57</v>
      </c>
      <c r="H173" s="64">
        <v>9.1799999999999993E-2</v>
      </c>
      <c r="I173" s="363" t="s">
        <v>270</v>
      </c>
      <c r="J173" s="355">
        <f>H173-L173</f>
        <v>3.8099999999999988E-2</v>
      </c>
      <c r="K173" s="363" t="s">
        <v>271</v>
      </c>
      <c r="L173" s="64">
        <v>5.3700000000000005E-2</v>
      </c>
      <c r="M173" s="363" t="s">
        <v>58</v>
      </c>
      <c r="N173" s="396">
        <v>66.5</v>
      </c>
      <c r="O173" s="363" t="s">
        <v>60</v>
      </c>
      <c r="P173" s="396">
        <v>66.5</v>
      </c>
      <c r="Q173" s="363" t="s">
        <v>61</v>
      </c>
      <c r="R173" s="65">
        <v>133</v>
      </c>
      <c r="S173" s="363" t="s">
        <v>62</v>
      </c>
      <c r="T173" s="65">
        <v>24</v>
      </c>
      <c r="U173" s="363" t="s">
        <v>55</v>
      </c>
      <c r="V173" s="66" t="s">
        <v>399</v>
      </c>
      <c r="W173" s="463" t="s">
        <v>394</v>
      </c>
      <c r="X173" s="465">
        <v>0.33</v>
      </c>
      <c r="Y173" s="463" t="s">
        <v>393</v>
      </c>
      <c r="Z173" s="358">
        <v>15</v>
      </c>
    </row>
    <row r="174" spans="1:26" x14ac:dyDescent="0.2">
      <c r="A174" s="362" t="s">
        <v>33</v>
      </c>
      <c r="B174" s="370">
        <v>0</v>
      </c>
      <c r="C174" s="371">
        <v>4.0000000000000001E-3</v>
      </c>
      <c r="D174" s="371">
        <v>7.0000000000000001E-3</v>
      </c>
      <c r="E174" s="371">
        <v>0.01</v>
      </c>
      <c r="F174" s="371">
        <v>2.1999999999999999E-2</v>
      </c>
      <c r="G174" s="371">
        <v>2.8000000000000001E-2</v>
      </c>
      <c r="H174" s="371">
        <v>4.1000000000000002E-2</v>
      </c>
      <c r="I174" s="371">
        <v>5.8000000000000003E-2</v>
      </c>
      <c r="J174" s="371">
        <v>7.6999999999999999E-2</v>
      </c>
      <c r="K174" s="371">
        <v>8.8999999999999996E-2</v>
      </c>
      <c r="L174" s="371">
        <v>9.7000000000000003E-2</v>
      </c>
      <c r="M174" s="371">
        <v>0.11899999999999999</v>
      </c>
      <c r="N174" s="371">
        <v>0.14699999999999999</v>
      </c>
      <c r="O174" s="371">
        <v>0.17699999999999999</v>
      </c>
      <c r="P174" s="371">
        <v>0.20699999999999999</v>
      </c>
      <c r="Q174" s="371">
        <v>0.253</v>
      </c>
      <c r="R174" s="371">
        <v>0.25900000000000001</v>
      </c>
      <c r="S174" s="371">
        <v>0.27200000000000002</v>
      </c>
      <c r="T174" s="371">
        <v>0.28000000000000003</v>
      </c>
      <c r="U174" s="371">
        <v>0.28599999999999998</v>
      </c>
      <c r="V174" s="371">
        <v>0.29399999999999998</v>
      </c>
      <c r="W174" s="371">
        <v>0.32800000000000001</v>
      </c>
      <c r="X174" s="371">
        <v>2</v>
      </c>
      <c r="Y174" s="381">
        <v>1000</v>
      </c>
    </row>
    <row r="175" spans="1:26" x14ac:dyDescent="0.2">
      <c r="A175" s="378" t="s">
        <v>34</v>
      </c>
      <c r="B175" s="372">
        <v>0</v>
      </c>
      <c r="C175" s="376">
        <v>100.52800000000001</v>
      </c>
      <c r="D175" s="376">
        <v>197.49299999999999</v>
      </c>
      <c r="E175" s="376">
        <v>222.03200000000001</v>
      </c>
      <c r="F175" s="376">
        <v>241.42500000000001</v>
      </c>
      <c r="G175" s="376">
        <v>237.863</v>
      </c>
      <c r="H175" s="376">
        <v>239.446</v>
      </c>
      <c r="I175" s="376">
        <v>252.50700000000001</v>
      </c>
      <c r="J175" s="376">
        <v>263.98399999999998</v>
      </c>
      <c r="K175" s="376">
        <v>275.46199999999999</v>
      </c>
      <c r="L175" s="376">
        <v>271.50400000000002</v>
      </c>
      <c r="M175" s="376">
        <v>278.62799999999999</v>
      </c>
      <c r="N175" s="376">
        <v>281.39800000000002</v>
      </c>
      <c r="O175" s="376">
        <v>272.29599999999999</v>
      </c>
      <c r="P175" s="376">
        <v>258.44299999999998</v>
      </c>
      <c r="Q175" s="376">
        <v>218.47</v>
      </c>
      <c r="R175" s="376">
        <v>188.786</v>
      </c>
      <c r="S175" s="376">
        <v>74.802000000000007</v>
      </c>
      <c r="T175" s="376">
        <v>31.265999999999998</v>
      </c>
      <c r="U175" s="376">
        <v>15.831</v>
      </c>
      <c r="V175" s="376">
        <v>8.7070000000000007</v>
      </c>
      <c r="W175" s="376">
        <v>0</v>
      </c>
      <c r="X175" s="373">
        <v>0</v>
      </c>
      <c r="Y175" s="382">
        <v>0</v>
      </c>
    </row>
    <row r="176" spans="1:26" ht="13.5" thickBot="1" x14ac:dyDescent="0.25">
      <c r="A176" s="379" t="s">
        <v>117</v>
      </c>
      <c r="B176" s="374">
        <f t="shared" ref="B176:X176" si="61">(C175+B175)*(C174-B174)/2</f>
        <v>0.20105600000000001</v>
      </c>
      <c r="C176" s="375">
        <f t="shared" si="61"/>
        <v>0.44703150000000003</v>
      </c>
      <c r="D176" s="375">
        <f t="shared" si="61"/>
        <v>0.6292875</v>
      </c>
      <c r="E176" s="375">
        <f t="shared" si="61"/>
        <v>2.7807419999999996</v>
      </c>
      <c r="F176" s="375">
        <f t="shared" si="61"/>
        <v>1.4378640000000005</v>
      </c>
      <c r="G176" s="375">
        <f t="shared" si="61"/>
        <v>3.1025084999999999</v>
      </c>
      <c r="H176" s="375">
        <f t="shared" si="61"/>
        <v>4.1816005000000001</v>
      </c>
      <c r="I176" s="375">
        <f t="shared" si="61"/>
        <v>4.9066644999999989</v>
      </c>
      <c r="J176" s="375">
        <f t="shared" si="61"/>
        <v>3.2366759999999988</v>
      </c>
      <c r="K176" s="375">
        <f t="shared" si="61"/>
        <v>2.187864000000002</v>
      </c>
      <c r="L176" s="375">
        <f t="shared" si="61"/>
        <v>6.0514519999999985</v>
      </c>
      <c r="M176" s="375">
        <f t="shared" si="61"/>
        <v>7.8403640000000001</v>
      </c>
      <c r="N176" s="375">
        <f t="shared" si="61"/>
        <v>8.3054099999999984</v>
      </c>
      <c r="O176" s="375">
        <f t="shared" si="61"/>
        <v>7.9610850000000006</v>
      </c>
      <c r="P176" s="375">
        <f t="shared" si="61"/>
        <v>10.968999000000004</v>
      </c>
      <c r="Q176" s="375">
        <f t="shared" si="61"/>
        <v>1.2217680000000011</v>
      </c>
      <c r="R176" s="375">
        <f t="shared" si="61"/>
        <v>1.7133220000000016</v>
      </c>
      <c r="S176" s="375">
        <f t="shared" si="61"/>
        <v>0.42427200000000043</v>
      </c>
      <c r="T176" s="375">
        <f t="shared" si="61"/>
        <v>0.14129099999999881</v>
      </c>
      <c r="U176" s="375">
        <f t="shared" si="61"/>
        <v>9.8152000000000086E-2</v>
      </c>
      <c r="V176" s="375">
        <f t="shared" si="61"/>
        <v>0.14801900000000015</v>
      </c>
      <c r="W176" s="375">
        <f t="shared" si="61"/>
        <v>0</v>
      </c>
      <c r="X176" s="375">
        <f t="shared" si="61"/>
        <v>0</v>
      </c>
      <c r="Y176" s="369"/>
    </row>
    <row r="177" spans="1:26" ht="13.5" thickBot="1" x14ac:dyDescent="0.2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6" ht="13.5" thickBot="1" x14ac:dyDescent="0.25">
      <c r="A178" s="361" t="s">
        <v>324</v>
      </c>
      <c r="B178" s="359">
        <f>ROW(A178)</f>
        <v>178</v>
      </c>
      <c r="C178" s="363" t="s">
        <v>116</v>
      </c>
      <c r="D178" s="353">
        <f>SUM(B181:Y181)</f>
        <v>73.557381500000005</v>
      </c>
      <c r="E178" s="363" t="s">
        <v>115</v>
      </c>
      <c r="F178" s="354">
        <f>D178/g/J178</f>
        <v>156.86619302308719</v>
      </c>
      <c r="G178" s="363" t="s">
        <v>57</v>
      </c>
      <c r="H178" s="64">
        <v>0.1022</v>
      </c>
      <c r="I178" s="363" t="s">
        <v>270</v>
      </c>
      <c r="J178" s="355">
        <f>H178-L178</f>
        <v>4.7800000000000002E-2</v>
      </c>
      <c r="K178" s="363" t="s">
        <v>271</v>
      </c>
      <c r="L178" s="64">
        <v>5.4399999999999997E-2</v>
      </c>
      <c r="M178" s="363" t="s">
        <v>58</v>
      </c>
      <c r="N178" s="396">
        <v>66.5</v>
      </c>
      <c r="O178" s="363" t="s">
        <v>60</v>
      </c>
      <c r="P178" s="396">
        <v>66.5</v>
      </c>
      <c r="Q178" s="363" t="s">
        <v>61</v>
      </c>
      <c r="R178" s="65">
        <v>133</v>
      </c>
      <c r="S178" s="363" t="s">
        <v>62</v>
      </c>
      <c r="T178" s="65">
        <v>24</v>
      </c>
      <c r="U178" s="363" t="s">
        <v>55</v>
      </c>
      <c r="V178" s="66" t="s">
        <v>399</v>
      </c>
      <c r="W178" s="463" t="s">
        <v>394</v>
      </c>
      <c r="X178" s="465">
        <v>2.36</v>
      </c>
      <c r="Y178" s="463" t="s">
        <v>393</v>
      </c>
      <c r="Z178" s="358">
        <v>6</v>
      </c>
    </row>
    <row r="179" spans="1:26" x14ac:dyDescent="0.2">
      <c r="A179" s="362" t="s">
        <v>33</v>
      </c>
      <c r="B179" s="370">
        <v>0</v>
      </c>
      <c r="C179" s="371">
        <v>1.4E-2</v>
      </c>
      <c r="D179" s="371">
        <v>5.6000000000000001E-2</v>
      </c>
      <c r="E179" s="371">
        <v>9.1999999999999998E-2</v>
      </c>
      <c r="F179" s="371">
        <v>0.16</v>
      </c>
      <c r="G179" s="371">
        <v>0.23200000000000001</v>
      </c>
      <c r="H179" s="371">
        <v>0.36299999999999999</v>
      </c>
      <c r="I179" s="371">
        <v>0.499</v>
      </c>
      <c r="J179" s="371">
        <v>0.65500000000000003</v>
      </c>
      <c r="K179" s="371">
        <v>0.84299999999999997</v>
      </c>
      <c r="L179" s="371">
        <v>1.216</v>
      </c>
      <c r="M179" s="371">
        <v>1.3680000000000001</v>
      </c>
      <c r="N179" s="371">
        <v>1.54</v>
      </c>
      <c r="O179" s="371">
        <v>1.675</v>
      </c>
      <c r="P179" s="371">
        <v>1.861</v>
      </c>
      <c r="Q179" s="371">
        <v>2.0129999999999999</v>
      </c>
      <c r="R179" s="371">
        <v>2.1589999999999998</v>
      </c>
      <c r="S179" s="371">
        <v>2.302</v>
      </c>
      <c r="T179" s="371">
        <v>2.4620000000000002</v>
      </c>
      <c r="U179" s="371">
        <v>2.5979999999999999</v>
      </c>
      <c r="V179" s="371">
        <v>2.5979999999999999</v>
      </c>
      <c r="W179" s="371">
        <v>2.5979999999999999</v>
      </c>
      <c r="X179" s="371">
        <v>2.5979999999999999</v>
      </c>
      <c r="Y179" s="381">
        <v>1000</v>
      </c>
    </row>
    <row r="180" spans="1:26" x14ac:dyDescent="0.2">
      <c r="A180" s="378" t="s">
        <v>34</v>
      </c>
      <c r="B180" s="372">
        <v>0</v>
      </c>
      <c r="C180" s="376">
        <v>54.222000000000001</v>
      </c>
      <c r="D180" s="376">
        <v>43.456000000000003</v>
      </c>
      <c r="E180" s="376">
        <v>50.185000000000002</v>
      </c>
      <c r="F180" s="376">
        <v>54.063000000000002</v>
      </c>
      <c r="G180" s="376">
        <v>48.363999999999997</v>
      </c>
      <c r="H180" s="376">
        <v>45.752000000000002</v>
      </c>
      <c r="I180" s="376">
        <v>43.14</v>
      </c>
      <c r="J180" s="376">
        <v>40.29</v>
      </c>
      <c r="K180" s="376">
        <v>37.835999999999999</v>
      </c>
      <c r="L180" s="376">
        <v>32.612000000000002</v>
      </c>
      <c r="M180" s="376">
        <v>30.317</v>
      </c>
      <c r="N180" s="376">
        <v>26.359000000000002</v>
      </c>
      <c r="O180" s="376">
        <v>23.509</v>
      </c>
      <c r="P180" s="376">
        <v>19.077000000000002</v>
      </c>
      <c r="Q180" s="376">
        <v>14.565</v>
      </c>
      <c r="R180" s="376">
        <v>10.053000000000001</v>
      </c>
      <c r="S180" s="376">
        <v>4.8280000000000003</v>
      </c>
      <c r="T180" s="376">
        <v>1.504</v>
      </c>
      <c r="U180" s="373">
        <v>0</v>
      </c>
      <c r="V180" s="373">
        <v>0</v>
      </c>
      <c r="W180" s="373">
        <v>0</v>
      </c>
      <c r="X180" s="373">
        <v>0</v>
      </c>
      <c r="Y180" s="382">
        <v>0</v>
      </c>
    </row>
    <row r="181" spans="1:26" ht="13.5" thickBot="1" x14ac:dyDescent="0.25">
      <c r="A181" s="379" t="s">
        <v>117</v>
      </c>
      <c r="B181" s="374">
        <f t="shared" ref="B181:X181" si="62">(C180+B180)*(C179-B179)/2</f>
        <v>0.379554</v>
      </c>
      <c r="C181" s="375">
        <f t="shared" si="62"/>
        <v>2.0512380000000001</v>
      </c>
      <c r="D181" s="375">
        <f t="shared" si="62"/>
        <v>1.685538</v>
      </c>
      <c r="E181" s="375">
        <f t="shared" si="62"/>
        <v>3.5444320000000005</v>
      </c>
      <c r="F181" s="375">
        <f t="shared" si="62"/>
        <v>3.6873720000000003</v>
      </c>
      <c r="G181" s="375">
        <f t="shared" si="62"/>
        <v>6.1645979999999989</v>
      </c>
      <c r="H181" s="375">
        <f t="shared" si="62"/>
        <v>6.0446559999999998</v>
      </c>
      <c r="I181" s="375">
        <f t="shared" si="62"/>
        <v>6.5075400000000014</v>
      </c>
      <c r="J181" s="375">
        <f t="shared" si="62"/>
        <v>7.343843999999998</v>
      </c>
      <c r="K181" s="375">
        <f t="shared" si="62"/>
        <v>13.138552000000001</v>
      </c>
      <c r="L181" s="375">
        <f t="shared" si="62"/>
        <v>4.7826040000000045</v>
      </c>
      <c r="M181" s="375">
        <f t="shared" si="62"/>
        <v>4.8741359999999982</v>
      </c>
      <c r="N181" s="375">
        <f t="shared" si="62"/>
        <v>3.3660900000000002</v>
      </c>
      <c r="O181" s="375">
        <f t="shared" si="62"/>
        <v>3.9604979999999985</v>
      </c>
      <c r="P181" s="375">
        <f t="shared" si="62"/>
        <v>2.5567919999999988</v>
      </c>
      <c r="Q181" s="375">
        <f t="shared" si="62"/>
        <v>1.797113999999999</v>
      </c>
      <c r="R181" s="375">
        <f t="shared" si="62"/>
        <v>1.0639915000000018</v>
      </c>
      <c r="S181" s="375">
        <f t="shared" si="62"/>
        <v>0.50656000000000045</v>
      </c>
      <c r="T181" s="375">
        <f t="shared" si="62"/>
        <v>0.10227199999999975</v>
      </c>
      <c r="U181" s="375">
        <f t="shared" si="62"/>
        <v>0</v>
      </c>
      <c r="V181" s="375">
        <f t="shared" si="62"/>
        <v>0</v>
      </c>
      <c r="W181" s="375">
        <f t="shared" si="62"/>
        <v>0</v>
      </c>
      <c r="X181" s="375">
        <f t="shared" si="62"/>
        <v>0</v>
      </c>
      <c r="Y181" s="369"/>
    </row>
    <row r="182" spans="1:26" ht="13.5" thickBot="1" x14ac:dyDescent="0.2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6" ht="13.5" thickBot="1" x14ac:dyDescent="0.25">
      <c r="A183" s="361" t="s">
        <v>325</v>
      </c>
      <c r="B183" s="359">
        <f>ROW(A183)</f>
        <v>183</v>
      </c>
      <c r="C183" s="363" t="s">
        <v>116</v>
      </c>
      <c r="D183" s="353">
        <f>SUM(B186:Y186)</f>
        <v>73.169517999999997</v>
      </c>
      <c r="E183" s="363" t="s">
        <v>115</v>
      </c>
      <c r="F183" s="354">
        <f>D183/g/J183</f>
        <v>177.58729673316827</v>
      </c>
      <c r="G183" s="363" t="s">
        <v>57</v>
      </c>
      <c r="H183" s="64">
        <v>9.6000000000000002E-2</v>
      </c>
      <c r="I183" s="363" t="s">
        <v>270</v>
      </c>
      <c r="J183" s="355">
        <f>H183-L183</f>
        <v>4.2000000000000003E-2</v>
      </c>
      <c r="K183" s="363" t="s">
        <v>271</v>
      </c>
      <c r="L183" s="64">
        <v>5.3999999999999999E-2</v>
      </c>
      <c r="M183" s="363" t="s">
        <v>58</v>
      </c>
      <c r="N183" s="396">
        <v>66.5</v>
      </c>
      <c r="O183" s="363" t="s">
        <v>60</v>
      </c>
      <c r="P183" s="396">
        <v>66.5</v>
      </c>
      <c r="Q183" s="363" t="s">
        <v>61</v>
      </c>
      <c r="R183" s="65">
        <v>133</v>
      </c>
      <c r="S183" s="363" t="s">
        <v>62</v>
      </c>
      <c r="T183" s="65">
        <v>24</v>
      </c>
      <c r="U183" s="363" t="s">
        <v>55</v>
      </c>
      <c r="V183" s="66" t="s">
        <v>399</v>
      </c>
      <c r="W183" s="463" t="s">
        <v>394</v>
      </c>
      <c r="X183" s="465">
        <v>0.87</v>
      </c>
      <c r="Y183" s="463" t="s">
        <v>393</v>
      </c>
      <c r="Z183" s="358">
        <v>15</v>
      </c>
    </row>
    <row r="184" spans="1:26" x14ac:dyDescent="0.2">
      <c r="A184" s="362" t="s">
        <v>33</v>
      </c>
      <c r="B184" s="370">
        <v>0</v>
      </c>
      <c r="C184" s="371">
        <v>0.01</v>
      </c>
      <c r="D184" s="371">
        <v>2.3E-2</v>
      </c>
      <c r="E184" s="371">
        <v>0.04</v>
      </c>
      <c r="F184" s="371">
        <v>0.11799999999999999</v>
      </c>
      <c r="G184" s="371">
        <v>0.28299999999999997</v>
      </c>
      <c r="H184" s="371">
        <v>0.51</v>
      </c>
      <c r="I184" s="371">
        <v>0.68799999999999994</v>
      </c>
      <c r="J184" s="371">
        <v>0.78700000000000003</v>
      </c>
      <c r="K184" s="371">
        <v>0.85199999999999998</v>
      </c>
      <c r="L184" s="371">
        <v>0.873</v>
      </c>
      <c r="M184" s="371">
        <v>0.873</v>
      </c>
      <c r="N184" s="371">
        <v>0.873</v>
      </c>
      <c r="O184" s="371">
        <v>0.873</v>
      </c>
      <c r="P184" s="371">
        <v>0.873</v>
      </c>
      <c r="Q184" s="371">
        <v>0.873</v>
      </c>
      <c r="R184" s="371">
        <v>0.873</v>
      </c>
      <c r="S184" s="371">
        <v>0.873</v>
      </c>
      <c r="T184" s="371">
        <v>0.873</v>
      </c>
      <c r="U184" s="371">
        <v>0.873</v>
      </c>
      <c r="V184" s="371">
        <v>0.873</v>
      </c>
      <c r="W184" s="371">
        <v>0.873</v>
      </c>
      <c r="X184" s="371">
        <v>2</v>
      </c>
      <c r="Y184" s="381">
        <v>1000</v>
      </c>
    </row>
    <row r="185" spans="1:26" x14ac:dyDescent="0.2">
      <c r="A185" s="378" t="s">
        <v>34</v>
      </c>
      <c r="B185" s="372">
        <v>0</v>
      </c>
      <c r="C185" s="376">
        <v>76.073999999999998</v>
      </c>
      <c r="D185" s="376">
        <v>100.185</v>
      </c>
      <c r="E185" s="376">
        <v>92.424999999999997</v>
      </c>
      <c r="F185" s="376">
        <v>100.878</v>
      </c>
      <c r="G185" s="376">
        <v>102.402</v>
      </c>
      <c r="H185" s="376">
        <v>96.442999999999998</v>
      </c>
      <c r="I185" s="376">
        <v>87.436000000000007</v>
      </c>
      <c r="J185" s="376">
        <v>25.911999999999999</v>
      </c>
      <c r="K185" s="376">
        <v>7.2060000000000004</v>
      </c>
      <c r="L185" s="373">
        <v>0</v>
      </c>
      <c r="M185" s="373">
        <v>0</v>
      </c>
      <c r="N185" s="373">
        <v>0</v>
      </c>
      <c r="O185" s="373">
        <v>0</v>
      </c>
      <c r="P185" s="373">
        <v>0</v>
      </c>
      <c r="Q185" s="373">
        <v>0</v>
      </c>
      <c r="R185" s="373">
        <v>0</v>
      </c>
      <c r="S185" s="373">
        <v>0</v>
      </c>
      <c r="T185" s="373">
        <v>0</v>
      </c>
      <c r="U185" s="373">
        <v>0</v>
      </c>
      <c r="V185" s="373">
        <v>0</v>
      </c>
      <c r="W185" s="373">
        <v>0</v>
      </c>
      <c r="X185" s="373">
        <v>0</v>
      </c>
      <c r="Y185" s="382">
        <v>0</v>
      </c>
    </row>
    <row r="186" spans="1:26" ht="13.5" thickBot="1" x14ac:dyDescent="0.25">
      <c r="A186" s="379" t="s">
        <v>117</v>
      </c>
      <c r="B186" s="374">
        <f t="shared" ref="B186:X186" si="63">(C185+B185)*(C184-B184)/2</f>
        <v>0.38036999999999999</v>
      </c>
      <c r="C186" s="375">
        <f t="shared" si="63"/>
        <v>1.1456835000000001</v>
      </c>
      <c r="D186" s="375">
        <f t="shared" si="63"/>
        <v>1.6371850000000003</v>
      </c>
      <c r="E186" s="375">
        <f t="shared" si="63"/>
        <v>7.5388169999999981</v>
      </c>
      <c r="F186" s="375">
        <f t="shared" si="63"/>
        <v>16.770599999999998</v>
      </c>
      <c r="G186" s="375">
        <f t="shared" si="63"/>
        <v>22.568907500000002</v>
      </c>
      <c r="H186" s="375">
        <f t="shared" si="63"/>
        <v>16.365230999999994</v>
      </c>
      <c r="I186" s="375">
        <f t="shared" si="63"/>
        <v>5.6107260000000059</v>
      </c>
      <c r="J186" s="375">
        <f t="shared" si="63"/>
        <v>1.0763349999999992</v>
      </c>
      <c r="K186" s="375">
        <f t="shared" si="63"/>
        <v>7.5663000000000077E-2</v>
      </c>
      <c r="L186" s="375">
        <f t="shared" si="63"/>
        <v>0</v>
      </c>
      <c r="M186" s="375">
        <f t="shared" si="63"/>
        <v>0</v>
      </c>
      <c r="N186" s="375">
        <f t="shared" si="63"/>
        <v>0</v>
      </c>
      <c r="O186" s="375">
        <f t="shared" si="63"/>
        <v>0</v>
      </c>
      <c r="P186" s="375">
        <f t="shared" si="63"/>
        <v>0</v>
      </c>
      <c r="Q186" s="375">
        <f t="shared" si="63"/>
        <v>0</v>
      </c>
      <c r="R186" s="375">
        <f t="shared" si="63"/>
        <v>0</v>
      </c>
      <c r="S186" s="375">
        <f t="shared" si="63"/>
        <v>0</v>
      </c>
      <c r="T186" s="375">
        <f t="shared" si="63"/>
        <v>0</v>
      </c>
      <c r="U186" s="375">
        <f t="shared" si="63"/>
        <v>0</v>
      </c>
      <c r="V186" s="375">
        <f t="shared" si="63"/>
        <v>0</v>
      </c>
      <c r="W186" s="375">
        <f t="shared" si="63"/>
        <v>0</v>
      </c>
      <c r="X186" s="375">
        <f t="shared" si="63"/>
        <v>0</v>
      </c>
      <c r="Y186" s="369"/>
    </row>
    <row r="187" spans="1:26" ht="13.5" thickBot="1" x14ac:dyDescent="0.25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6" ht="13.5" thickBot="1" x14ac:dyDescent="0.25">
      <c r="A188" s="361" t="s">
        <v>326</v>
      </c>
      <c r="B188" s="359">
        <f>ROW(A188)</f>
        <v>188</v>
      </c>
      <c r="C188" s="363" t="s">
        <v>116</v>
      </c>
      <c r="D188" s="353">
        <f>SUM(B191:Y191)</f>
        <v>75.254384000000016</v>
      </c>
      <c r="E188" s="363" t="s">
        <v>115</v>
      </c>
      <c r="F188" s="354">
        <f>D188/g/J188</f>
        <v>232.46033422914161</v>
      </c>
      <c r="G188" s="363" t="s">
        <v>57</v>
      </c>
      <c r="H188" s="64">
        <v>9.5000000000000001E-2</v>
      </c>
      <c r="I188" s="363" t="s">
        <v>270</v>
      </c>
      <c r="J188" s="355">
        <f>H188-L188</f>
        <v>3.3000000000000002E-2</v>
      </c>
      <c r="K188" s="363" t="s">
        <v>271</v>
      </c>
      <c r="L188" s="64">
        <f>0.095-0.033</f>
        <v>6.2E-2</v>
      </c>
      <c r="M188" s="363" t="s">
        <v>58</v>
      </c>
      <c r="N188" s="396">
        <v>66.5</v>
      </c>
      <c r="O188" s="363" t="s">
        <v>60</v>
      </c>
      <c r="P188" s="396">
        <v>66.5</v>
      </c>
      <c r="Q188" s="363" t="s">
        <v>61</v>
      </c>
      <c r="R188" s="65">
        <v>133</v>
      </c>
      <c r="S188" s="363" t="s">
        <v>62</v>
      </c>
      <c r="T188" s="65">
        <v>24</v>
      </c>
      <c r="U188" s="363" t="s">
        <v>55</v>
      </c>
      <c r="V188" s="66" t="s">
        <v>399</v>
      </c>
      <c r="W188" s="463" t="s">
        <v>394</v>
      </c>
      <c r="X188" s="465">
        <v>1.5</v>
      </c>
      <c r="Y188" s="463" t="s">
        <v>393</v>
      </c>
      <c r="Z188" s="358">
        <v>12</v>
      </c>
    </row>
    <row r="189" spans="1:26" x14ac:dyDescent="0.2">
      <c r="A189" s="362" t="s">
        <v>33</v>
      </c>
      <c r="B189" s="370">
        <v>0</v>
      </c>
      <c r="C189" s="371">
        <v>0.02</v>
      </c>
      <c r="D189" s="371">
        <v>3.1E-2</v>
      </c>
      <c r="E189" s="371">
        <v>6.2E-2</v>
      </c>
      <c r="F189" s="371">
        <v>0.11700000000000001</v>
      </c>
      <c r="G189" s="371">
        <v>1.2110000000000001</v>
      </c>
      <c r="H189" s="371">
        <v>1.3759999999999999</v>
      </c>
      <c r="I189" s="371">
        <v>1.456</v>
      </c>
      <c r="J189" s="371">
        <v>1.532</v>
      </c>
      <c r="K189" s="371">
        <v>1.577</v>
      </c>
      <c r="L189" s="371">
        <v>2</v>
      </c>
      <c r="M189" s="371">
        <v>2</v>
      </c>
      <c r="N189" s="371">
        <v>2</v>
      </c>
      <c r="O189" s="371">
        <v>2</v>
      </c>
      <c r="P189" s="371">
        <v>2</v>
      </c>
      <c r="Q189" s="371">
        <v>2</v>
      </c>
      <c r="R189" s="371">
        <v>2</v>
      </c>
      <c r="S189" s="371">
        <v>2</v>
      </c>
      <c r="T189" s="371">
        <v>2</v>
      </c>
      <c r="U189" s="371">
        <v>2</v>
      </c>
      <c r="V189" s="371">
        <v>2</v>
      </c>
      <c r="W189" s="371">
        <v>2</v>
      </c>
      <c r="X189" s="371">
        <f t="shared" ref="T189:X190" si="64">W189</f>
        <v>2</v>
      </c>
      <c r="Y189" s="381">
        <v>1000</v>
      </c>
    </row>
    <row r="190" spans="1:26" x14ac:dyDescent="0.2">
      <c r="A190" s="378" t="s">
        <v>34</v>
      </c>
      <c r="B190" s="372">
        <v>0</v>
      </c>
      <c r="C190" s="373">
        <v>75.924000000000007</v>
      </c>
      <c r="D190" s="373">
        <v>84.147999999999996</v>
      </c>
      <c r="E190" s="373">
        <v>70.441000000000003</v>
      </c>
      <c r="F190" s="373">
        <v>73.659000000000006</v>
      </c>
      <c r="G190" s="373">
        <v>38.737000000000002</v>
      </c>
      <c r="H190" s="373">
        <v>14.779</v>
      </c>
      <c r="I190" s="373">
        <v>7.2709999999999999</v>
      </c>
      <c r="J190" s="373">
        <v>3.3370000000000002</v>
      </c>
      <c r="K190" s="373">
        <v>0</v>
      </c>
      <c r="L190" s="373">
        <v>0</v>
      </c>
      <c r="M190" s="373">
        <v>0</v>
      </c>
      <c r="N190" s="373">
        <v>0</v>
      </c>
      <c r="O190" s="373">
        <v>0</v>
      </c>
      <c r="P190" s="373">
        <v>0</v>
      </c>
      <c r="Q190" s="373">
        <v>0</v>
      </c>
      <c r="R190" s="373">
        <v>0</v>
      </c>
      <c r="S190" s="373">
        <v>0</v>
      </c>
      <c r="T190" s="373">
        <f t="shared" si="64"/>
        <v>0</v>
      </c>
      <c r="U190" s="373">
        <f t="shared" si="64"/>
        <v>0</v>
      </c>
      <c r="V190" s="373">
        <f t="shared" si="64"/>
        <v>0</v>
      </c>
      <c r="W190" s="373">
        <f t="shared" si="64"/>
        <v>0</v>
      </c>
      <c r="X190" s="373">
        <f t="shared" si="64"/>
        <v>0</v>
      </c>
      <c r="Y190" s="382">
        <v>0</v>
      </c>
    </row>
    <row r="191" spans="1:26" ht="13.5" thickBot="1" x14ac:dyDescent="0.25">
      <c r="A191" s="379" t="s">
        <v>117</v>
      </c>
      <c r="B191" s="374">
        <f t="shared" ref="B191:V191" si="65">(C190+B190)*(C189-B189)/2</f>
        <v>0.75924000000000014</v>
      </c>
      <c r="C191" s="375">
        <f t="shared" si="65"/>
        <v>0.88039599999999996</v>
      </c>
      <c r="D191" s="375">
        <f t="shared" si="65"/>
        <v>2.3961294999999998</v>
      </c>
      <c r="E191" s="375">
        <f t="shared" si="65"/>
        <v>3.9627500000000011</v>
      </c>
      <c r="F191" s="375">
        <f t="shared" si="65"/>
        <v>61.480612000000015</v>
      </c>
      <c r="G191" s="375">
        <f t="shared" si="65"/>
        <v>4.4150699999999956</v>
      </c>
      <c r="H191" s="375">
        <f t="shared" si="65"/>
        <v>0.88200000000000078</v>
      </c>
      <c r="I191" s="375">
        <f t="shared" si="65"/>
        <v>0.40310400000000035</v>
      </c>
      <c r="J191" s="375">
        <f>(K190+J190)*(K189-J189)/2</f>
        <v>7.5082499999999885E-2</v>
      </c>
      <c r="K191" s="375">
        <f t="shared" si="65"/>
        <v>0</v>
      </c>
      <c r="L191" s="375">
        <f t="shared" si="65"/>
        <v>0</v>
      </c>
      <c r="M191" s="375">
        <f t="shared" si="65"/>
        <v>0</v>
      </c>
      <c r="N191" s="375">
        <f t="shared" si="65"/>
        <v>0</v>
      </c>
      <c r="O191" s="375">
        <f t="shared" si="65"/>
        <v>0</v>
      </c>
      <c r="P191" s="375">
        <f t="shared" si="65"/>
        <v>0</v>
      </c>
      <c r="Q191" s="375">
        <f t="shared" si="65"/>
        <v>0</v>
      </c>
      <c r="R191" s="375">
        <f t="shared" si="65"/>
        <v>0</v>
      </c>
      <c r="S191" s="375">
        <f>(T190+S190)*(T189-S189)/2</f>
        <v>0</v>
      </c>
      <c r="T191" s="375">
        <f t="shared" si="65"/>
        <v>0</v>
      </c>
      <c r="U191" s="375">
        <f t="shared" si="65"/>
        <v>0</v>
      </c>
      <c r="V191" s="375">
        <f t="shared" si="65"/>
        <v>0</v>
      </c>
      <c r="W191" s="375">
        <f>(X190+W190)*(X189-W189)/2</f>
        <v>0</v>
      </c>
      <c r="X191" s="375">
        <f>(Y190+X190)*(Y189-X189)/2</f>
        <v>0</v>
      </c>
      <c r="Y191" s="369"/>
    </row>
    <row r="192" spans="1:26" ht="13.5" thickBot="1" x14ac:dyDescent="0.25">
      <c r="A192" s="6" t="s">
        <v>373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6" ht="13.5" thickBot="1" x14ac:dyDescent="0.25">
      <c r="A193" s="361" t="s">
        <v>536</v>
      </c>
      <c r="B193" s="359">
        <f>ROW(A193)</f>
        <v>193</v>
      </c>
      <c r="C193" s="363" t="s">
        <v>116</v>
      </c>
      <c r="D193" s="353">
        <f>SUM(B196:Y196)</f>
        <v>141.04999999999998</v>
      </c>
      <c r="E193" s="363" t="s">
        <v>115</v>
      </c>
      <c r="F193" s="354">
        <f>D193/g/J193</f>
        <v>186.24592648930721</v>
      </c>
      <c r="G193" s="363" t="s">
        <v>57</v>
      </c>
      <c r="H193" s="64">
        <v>0.16189999999999999</v>
      </c>
      <c r="I193" s="363" t="s">
        <v>270</v>
      </c>
      <c r="J193" s="355">
        <f>H193-L193</f>
        <v>7.7199999999999991E-2</v>
      </c>
      <c r="K193" s="363" t="s">
        <v>271</v>
      </c>
      <c r="L193" s="64">
        <v>8.4699999999999998E-2</v>
      </c>
      <c r="M193" s="363" t="s">
        <v>58</v>
      </c>
      <c r="N193" s="65">
        <v>114</v>
      </c>
      <c r="O193" s="363" t="s">
        <v>60</v>
      </c>
      <c r="P193" s="65">
        <v>114</v>
      </c>
      <c r="Q193" s="363" t="s">
        <v>61</v>
      </c>
      <c r="R193" s="65">
        <v>228</v>
      </c>
      <c r="S193" s="363" t="s">
        <v>62</v>
      </c>
      <c r="T193" s="65">
        <v>24</v>
      </c>
      <c r="U193" s="363" t="s">
        <v>55</v>
      </c>
      <c r="V193" s="66" t="s">
        <v>120</v>
      </c>
      <c r="W193" s="463" t="s">
        <v>394</v>
      </c>
      <c r="X193" s="465">
        <v>0.96</v>
      </c>
      <c r="Y193" s="463" t="s">
        <v>393</v>
      </c>
      <c r="Z193" s="358">
        <v>15</v>
      </c>
    </row>
    <row r="194" spans="1:26" x14ac:dyDescent="0.2">
      <c r="A194" s="362" t="s">
        <v>33</v>
      </c>
      <c r="B194" s="370">
        <v>0</v>
      </c>
      <c r="C194" s="371">
        <v>0.02</v>
      </c>
      <c r="D194" s="371">
        <v>0.03</v>
      </c>
      <c r="E194" s="371">
        <v>0.05</v>
      </c>
      <c r="F194" s="371">
        <v>0.6</v>
      </c>
      <c r="G194" s="371">
        <v>0.67</v>
      </c>
      <c r="H194" s="371">
        <v>0.7</v>
      </c>
      <c r="I194" s="371">
        <v>0.8</v>
      </c>
      <c r="J194" s="371">
        <v>0.9</v>
      </c>
      <c r="K194" s="371">
        <v>1.05</v>
      </c>
      <c r="L194" s="371">
        <f t="shared" ref="L194:W194" si="66">K194</f>
        <v>1.05</v>
      </c>
      <c r="M194" s="371">
        <f t="shared" si="66"/>
        <v>1.05</v>
      </c>
      <c r="N194" s="371">
        <f t="shared" si="66"/>
        <v>1.05</v>
      </c>
      <c r="O194" s="371">
        <f t="shared" si="66"/>
        <v>1.05</v>
      </c>
      <c r="P194" s="371">
        <f t="shared" si="66"/>
        <v>1.05</v>
      </c>
      <c r="Q194" s="371">
        <f t="shared" si="66"/>
        <v>1.05</v>
      </c>
      <c r="R194" s="371">
        <f t="shared" si="66"/>
        <v>1.05</v>
      </c>
      <c r="S194" s="371">
        <f t="shared" si="66"/>
        <v>1.05</v>
      </c>
      <c r="T194" s="371">
        <f t="shared" si="66"/>
        <v>1.05</v>
      </c>
      <c r="U194" s="371">
        <f t="shared" si="66"/>
        <v>1.05</v>
      </c>
      <c r="V194" s="371">
        <f t="shared" si="66"/>
        <v>1.05</v>
      </c>
      <c r="W194" s="371">
        <f t="shared" si="66"/>
        <v>1.05</v>
      </c>
      <c r="X194" s="371">
        <v>2</v>
      </c>
      <c r="Y194" s="381">
        <v>1000</v>
      </c>
    </row>
    <row r="195" spans="1:26" x14ac:dyDescent="0.2">
      <c r="A195" s="378" t="s">
        <v>34</v>
      </c>
      <c r="B195" s="372">
        <v>0</v>
      </c>
      <c r="C195" s="373">
        <v>350</v>
      </c>
      <c r="D195" s="373">
        <v>250</v>
      </c>
      <c r="E195" s="373">
        <v>210</v>
      </c>
      <c r="F195" s="373">
        <v>150</v>
      </c>
      <c r="G195" s="373">
        <v>140</v>
      </c>
      <c r="H195" s="373">
        <v>130</v>
      </c>
      <c r="I195" s="373">
        <v>65</v>
      </c>
      <c r="J195" s="373">
        <v>30</v>
      </c>
      <c r="K195" s="373">
        <v>0</v>
      </c>
      <c r="L195" s="373">
        <v>0</v>
      </c>
      <c r="M195" s="373">
        <v>0</v>
      </c>
      <c r="N195" s="373">
        <v>0</v>
      </c>
      <c r="O195" s="373">
        <v>0</v>
      </c>
      <c r="P195" s="373">
        <v>0</v>
      </c>
      <c r="Q195" s="373">
        <v>0</v>
      </c>
      <c r="R195" s="373">
        <v>0</v>
      </c>
      <c r="S195" s="373">
        <f t="shared" ref="S195:X195" si="67">R195</f>
        <v>0</v>
      </c>
      <c r="T195" s="373">
        <f t="shared" si="67"/>
        <v>0</v>
      </c>
      <c r="U195" s="373">
        <f t="shared" si="67"/>
        <v>0</v>
      </c>
      <c r="V195" s="373">
        <f t="shared" si="67"/>
        <v>0</v>
      </c>
      <c r="W195" s="373">
        <f t="shared" si="67"/>
        <v>0</v>
      </c>
      <c r="X195" s="373">
        <f t="shared" si="67"/>
        <v>0</v>
      </c>
      <c r="Y195" s="382">
        <v>0</v>
      </c>
    </row>
    <row r="196" spans="1:26" ht="13.5" thickBot="1" x14ac:dyDescent="0.25">
      <c r="A196" s="379" t="s">
        <v>117</v>
      </c>
      <c r="B196" s="374">
        <f t="shared" ref="B196:X196" si="68">(C195+B195)*(C194-B194)/2</f>
        <v>3.5</v>
      </c>
      <c r="C196" s="375">
        <f t="shared" si="68"/>
        <v>2.9999999999999996</v>
      </c>
      <c r="D196" s="375">
        <f t="shared" si="68"/>
        <v>4.6000000000000005</v>
      </c>
      <c r="E196" s="375">
        <f t="shared" si="68"/>
        <v>98.999999999999986</v>
      </c>
      <c r="F196" s="375">
        <f t="shared" si="68"/>
        <v>10.150000000000009</v>
      </c>
      <c r="G196" s="375">
        <f t="shared" si="68"/>
        <v>4.0499999999999883</v>
      </c>
      <c r="H196" s="375">
        <f t="shared" si="68"/>
        <v>9.7500000000000089</v>
      </c>
      <c r="I196" s="375">
        <f t="shared" si="68"/>
        <v>4.7499999999999991</v>
      </c>
      <c r="J196" s="375">
        <f t="shared" si="68"/>
        <v>2.2500000000000004</v>
      </c>
      <c r="K196" s="375">
        <f t="shared" si="68"/>
        <v>0</v>
      </c>
      <c r="L196" s="375">
        <f t="shared" si="68"/>
        <v>0</v>
      </c>
      <c r="M196" s="375">
        <f t="shared" si="68"/>
        <v>0</v>
      </c>
      <c r="N196" s="375">
        <f t="shared" si="68"/>
        <v>0</v>
      </c>
      <c r="O196" s="375">
        <f t="shared" si="68"/>
        <v>0</v>
      </c>
      <c r="P196" s="375">
        <f t="shared" si="68"/>
        <v>0</v>
      </c>
      <c r="Q196" s="375">
        <f t="shared" si="68"/>
        <v>0</v>
      </c>
      <c r="R196" s="375">
        <f t="shared" si="68"/>
        <v>0</v>
      </c>
      <c r="S196" s="375">
        <f t="shared" si="68"/>
        <v>0</v>
      </c>
      <c r="T196" s="375">
        <f t="shared" si="68"/>
        <v>0</v>
      </c>
      <c r="U196" s="375">
        <f t="shared" si="68"/>
        <v>0</v>
      </c>
      <c r="V196" s="375">
        <f t="shared" si="68"/>
        <v>0</v>
      </c>
      <c r="W196" s="375">
        <f t="shared" si="68"/>
        <v>0</v>
      </c>
      <c r="X196" s="375">
        <f t="shared" si="68"/>
        <v>0</v>
      </c>
      <c r="Y196" s="369"/>
    </row>
    <row r="197" spans="1:26" ht="13.5" thickBot="1" x14ac:dyDescent="0.25">
      <c r="A197" s="12" t="s">
        <v>546</v>
      </c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6" ht="13.5" thickBot="1" x14ac:dyDescent="0.25">
      <c r="A198" s="361" t="s">
        <v>549</v>
      </c>
      <c r="B198" s="359">
        <f>ROW(A198)</f>
        <v>198</v>
      </c>
      <c r="C198" s="363" t="s">
        <v>116</v>
      </c>
      <c r="D198" s="353">
        <f>SUM(B201:Y201)</f>
        <v>142.44</v>
      </c>
      <c r="E198" s="363" t="s">
        <v>115</v>
      </c>
      <c r="F198" s="354">
        <f>D198/g/J198</f>
        <v>192.06187401906058</v>
      </c>
      <c r="G198" s="363" t="s">
        <v>57</v>
      </c>
      <c r="H198" s="64">
        <v>0.15989999999999999</v>
      </c>
      <c r="I198" s="363" t="s">
        <v>270</v>
      </c>
      <c r="J198" s="355">
        <f>H198-L198</f>
        <v>7.5599999999999987E-2</v>
      </c>
      <c r="K198" s="363" t="s">
        <v>271</v>
      </c>
      <c r="L198" s="64">
        <v>8.43E-2</v>
      </c>
      <c r="M198" s="363" t="s">
        <v>58</v>
      </c>
      <c r="N198" s="65">
        <v>114</v>
      </c>
      <c r="O198" s="363" t="s">
        <v>60</v>
      </c>
      <c r="P198" s="65">
        <v>114</v>
      </c>
      <c r="Q198" s="363" t="s">
        <v>61</v>
      </c>
      <c r="R198" s="65">
        <v>228</v>
      </c>
      <c r="S198" s="363" t="s">
        <v>62</v>
      </c>
      <c r="T198" s="65">
        <v>24</v>
      </c>
      <c r="U198" s="363" t="s">
        <v>55</v>
      </c>
      <c r="V198" s="66" t="s">
        <v>401</v>
      </c>
      <c r="W198" s="463" t="s">
        <v>394</v>
      </c>
      <c r="X198" s="465">
        <v>0.97</v>
      </c>
      <c r="Y198" s="463" t="s">
        <v>393</v>
      </c>
      <c r="Z198" s="358"/>
    </row>
    <row r="199" spans="1:26" x14ac:dyDescent="0.2">
      <c r="A199" s="362" t="s">
        <v>33</v>
      </c>
      <c r="B199" s="370">
        <v>0</v>
      </c>
      <c r="C199" s="371">
        <v>0.02</v>
      </c>
      <c r="D199" s="371">
        <v>0.04</v>
      </c>
      <c r="E199" s="371">
        <v>0.62</v>
      </c>
      <c r="F199" s="371">
        <v>0.66</v>
      </c>
      <c r="G199" s="371">
        <v>0.68</v>
      </c>
      <c r="H199" s="371">
        <v>0.8</v>
      </c>
      <c r="I199" s="371">
        <v>0.84</v>
      </c>
      <c r="J199" s="371">
        <v>0.88</v>
      </c>
      <c r="K199" s="371">
        <v>0.92</v>
      </c>
      <c r="L199" s="371">
        <v>0.96</v>
      </c>
      <c r="M199" s="371">
        <v>1</v>
      </c>
      <c r="N199" s="371">
        <v>1.08</v>
      </c>
      <c r="O199" s="371">
        <v>2</v>
      </c>
      <c r="P199" s="371">
        <v>2</v>
      </c>
      <c r="Q199" s="371">
        <v>2</v>
      </c>
      <c r="R199" s="371">
        <v>2</v>
      </c>
      <c r="S199" s="371">
        <f t="shared" ref="S199:X200" si="69">R199</f>
        <v>2</v>
      </c>
      <c r="T199" s="371">
        <f t="shared" si="69"/>
        <v>2</v>
      </c>
      <c r="U199" s="371">
        <f t="shared" si="69"/>
        <v>2</v>
      </c>
      <c r="V199" s="371">
        <f t="shared" si="69"/>
        <v>2</v>
      </c>
      <c r="W199" s="371">
        <f t="shared" si="69"/>
        <v>2</v>
      </c>
      <c r="X199" s="371">
        <f t="shared" si="69"/>
        <v>2</v>
      </c>
      <c r="Y199" s="381">
        <v>1000</v>
      </c>
    </row>
    <row r="200" spans="1:26" x14ac:dyDescent="0.2">
      <c r="A200" s="378" t="s">
        <v>34</v>
      </c>
      <c r="B200" s="372">
        <v>0</v>
      </c>
      <c r="C200" s="373">
        <v>250</v>
      </c>
      <c r="D200" s="373">
        <v>210</v>
      </c>
      <c r="E200" s="373">
        <v>160</v>
      </c>
      <c r="F200" s="373">
        <v>150</v>
      </c>
      <c r="G200" s="373">
        <v>142</v>
      </c>
      <c r="H200" s="373">
        <v>62</v>
      </c>
      <c r="I200" s="373">
        <v>48</v>
      </c>
      <c r="J200" s="373">
        <v>34</v>
      </c>
      <c r="K200" s="373">
        <v>24</v>
      </c>
      <c r="L200" s="373">
        <v>15</v>
      </c>
      <c r="M200" s="373">
        <v>10</v>
      </c>
      <c r="N200" s="373">
        <v>0</v>
      </c>
      <c r="O200" s="373">
        <v>0</v>
      </c>
      <c r="P200" s="373">
        <v>0</v>
      </c>
      <c r="Q200" s="373">
        <v>0</v>
      </c>
      <c r="R200" s="373">
        <v>0</v>
      </c>
      <c r="S200" s="373">
        <f t="shared" si="69"/>
        <v>0</v>
      </c>
      <c r="T200" s="373">
        <f t="shared" si="69"/>
        <v>0</v>
      </c>
      <c r="U200" s="373">
        <f t="shared" si="69"/>
        <v>0</v>
      </c>
      <c r="V200" s="373">
        <f t="shared" si="69"/>
        <v>0</v>
      </c>
      <c r="W200" s="373">
        <f t="shared" si="69"/>
        <v>0</v>
      </c>
      <c r="X200" s="373">
        <f t="shared" si="69"/>
        <v>0</v>
      </c>
      <c r="Y200" s="382">
        <v>0</v>
      </c>
    </row>
    <row r="201" spans="1:26" ht="13.5" thickBot="1" x14ac:dyDescent="0.25">
      <c r="A201" s="379" t="s">
        <v>117</v>
      </c>
      <c r="B201" s="374">
        <f t="shared" ref="B201:X201" si="70">(C200+B200)*(C199-B199)/2</f>
        <v>2.5</v>
      </c>
      <c r="C201" s="375">
        <f t="shared" si="70"/>
        <v>4.6000000000000005</v>
      </c>
      <c r="D201" s="375">
        <f t="shared" si="70"/>
        <v>107.3</v>
      </c>
      <c r="E201" s="375">
        <f t="shared" si="70"/>
        <v>6.2000000000000055</v>
      </c>
      <c r="F201" s="375">
        <f t="shared" si="70"/>
        <v>2.9200000000000026</v>
      </c>
      <c r="G201" s="375">
        <f t="shared" si="70"/>
        <v>12.24</v>
      </c>
      <c r="H201" s="375">
        <f t="shared" si="70"/>
        <v>2.1999999999999957</v>
      </c>
      <c r="I201" s="375">
        <f t="shared" si="70"/>
        <v>1.6400000000000015</v>
      </c>
      <c r="J201" s="375">
        <f t="shared" si="70"/>
        <v>1.160000000000001</v>
      </c>
      <c r="K201" s="375">
        <f t="shared" si="70"/>
        <v>0.77999999999999847</v>
      </c>
      <c r="L201" s="375">
        <f t="shared" si="70"/>
        <v>0.50000000000000044</v>
      </c>
      <c r="M201" s="375">
        <f t="shared" si="70"/>
        <v>0.40000000000000036</v>
      </c>
      <c r="N201" s="375">
        <f t="shared" si="70"/>
        <v>0</v>
      </c>
      <c r="O201" s="375">
        <f t="shared" si="70"/>
        <v>0</v>
      </c>
      <c r="P201" s="375">
        <f t="shared" si="70"/>
        <v>0</v>
      </c>
      <c r="Q201" s="375">
        <f t="shared" si="70"/>
        <v>0</v>
      </c>
      <c r="R201" s="375">
        <f t="shared" si="70"/>
        <v>0</v>
      </c>
      <c r="S201" s="375">
        <f t="shared" si="70"/>
        <v>0</v>
      </c>
      <c r="T201" s="375">
        <f t="shared" si="70"/>
        <v>0</v>
      </c>
      <c r="U201" s="375">
        <f t="shared" si="70"/>
        <v>0</v>
      </c>
      <c r="V201" s="375">
        <f t="shared" si="70"/>
        <v>0</v>
      </c>
      <c r="W201" s="375">
        <f t="shared" si="70"/>
        <v>0</v>
      </c>
      <c r="X201" s="375">
        <f t="shared" si="70"/>
        <v>0</v>
      </c>
      <c r="Y201" s="369"/>
    </row>
    <row r="202" spans="1:26" ht="13.5" thickBot="1" x14ac:dyDescent="0.2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6" ht="13.5" thickBot="1" x14ac:dyDescent="0.25">
      <c r="A203" s="361" t="s">
        <v>538</v>
      </c>
      <c r="B203" s="359">
        <f>ROW(A203)</f>
        <v>203</v>
      </c>
      <c r="C203" s="363" t="s">
        <v>116</v>
      </c>
      <c r="D203" s="353">
        <f>SUM(B206:Y206)</f>
        <v>143.08845000000002</v>
      </c>
      <c r="E203" s="363" t="s">
        <v>115</v>
      </c>
      <c r="F203" s="354">
        <f>D203/g/J203</f>
        <v>168.23504721190514</v>
      </c>
      <c r="G203" s="363" t="s">
        <v>57</v>
      </c>
      <c r="H203" s="64">
        <v>0.17249999999999999</v>
      </c>
      <c r="I203" s="363" t="s">
        <v>270</v>
      </c>
      <c r="J203" s="355">
        <f>H203-L203</f>
        <v>8.6699999999999985E-2</v>
      </c>
      <c r="K203" s="363" t="s">
        <v>271</v>
      </c>
      <c r="L203" s="64">
        <v>8.5800000000000001E-2</v>
      </c>
      <c r="M203" s="363" t="s">
        <v>58</v>
      </c>
      <c r="N203" s="65">
        <v>114</v>
      </c>
      <c r="O203" s="363" t="s">
        <v>60</v>
      </c>
      <c r="P203" s="65">
        <v>114</v>
      </c>
      <c r="Q203" s="363" t="s">
        <v>61</v>
      </c>
      <c r="R203" s="65">
        <v>228</v>
      </c>
      <c r="S203" s="363" t="s">
        <v>62</v>
      </c>
      <c r="T203" s="65">
        <v>24</v>
      </c>
      <c r="U203" s="363" t="s">
        <v>55</v>
      </c>
      <c r="V203" s="66" t="s">
        <v>120</v>
      </c>
      <c r="W203" s="463" t="s">
        <v>394</v>
      </c>
      <c r="X203" s="465">
        <v>0.97</v>
      </c>
      <c r="Y203" s="463" t="s">
        <v>393</v>
      </c>
      <c r="Z203" s="358">
        <v>11</v>
      </c>
    </row>
    <row r="204" spans="1:26" x14ac:dyDescent="0.2">
      <c r="A204" s="362" t="s">
        <v>33</v>
      </c>
      <c r="B204" s="370">
        <v>0</v>
      </c>
      <c r="C204" s="371">
        <v>8.0000000000000002E-3</v>
      </c>
      <c r="D204" s="371">
        <v>1.2999999999999999E-2</v>
      </c>
      <c r="E204" s="371">
        <v>2.1999999999999999E-2</v>
      </c>
      <c r="F204" s="371">
        <v>3.5000000000000003E-2</v>
      </c>
      <c r="G204" s="371">
        <v>6.3E-2</v>
      </c>
      <c r="H204" s="371">
        <v>0.10299999999999999</v>
      </c>
      <c r="I204" s="371">
        <v>0.19600000000000001</v>
      </c>
      <c r="J204" s="371">
        <v>0.311</v>
      </c>
      <c r="K204" s="371">
        <v>0.47399999999999998</v>
      </c>
      <c r="L204" s="371">
        <v>0.56399999999999995</v>
      </c>
      <c r="M204" s="371">
        <v>0.76200000000000001</v>
      </c>
      <c r="N204" s="371">
        <v>0.85799999999999998</v>
      </c>
      <c r="O204" s="371">
        <v>0.92800000000000005</v>
      </c>
      <c r="P204" s="371">
        <v>1.038</v>
      </c>
      <c r="Q204" s="371">
        <v>1.08</v>
      </c>
      <c r="R204" s="371">
        <v>1.131</v>
      </c>
      <c r="S204" s="371">
        <v>1.1850000000000001</v>
      </c>
      <c r="T204" s="371">
        <v>1.224</v>
      </c>
      <c r="U204" s="371">
        <v>1.258</v>
      </c>
      <c r="V204" s="371">
        <v>1.4</v>
      </c>
      <c r="W204" s="371">
        <v>1.4410000000000001</v>
      </c>
      <c r="X204" s="371">
        <v>2</v>
      </c>
      <c r="Y204" s="381">
        <v>1000</v>
      </c>
    </row>
    <row r="205" spans="1:26" x14ac:dyDescent="0.2">
      <c r="A205" s="378" t="s">
        <v>34</v>
      </c>
      <c r="B205" s="372">
        <v>0</v>
      </c>
      <c r="C205" s="373">
        <v>168.643</v>
      </c>
      <c r="D205" s="373">
        <v>177.339</v>
      </c>
      <c r="E205" s="373">
        <v>177.86600000000001</v>
      </c>
      <c r="F205" s="373">
        <v>171.27799999999999</v>
      </c>
      <c r="G205" s="373">
        <v>157.839</v>
      </c>
      <c r="H205" s="373">
        <v>154.941</v>
      </c>
      <c r="I205" s="373">
        <v>148.88</v>
      </c>
      <c r="J205" s="373">
        <v>144.137</v>
      </c>
      <c r="K205" s="373">
        <v>138.07599999999999</v>
      </c>
      <c r="L205" s="373">
        <v>135.70500000000001</v>
      </c>
      <c r="M205" s="373">
        <v>125.955</v>
      </c>
      <c r="N205" s="373">
        <v>116.733</v>
      </c>
      <c r="O205" s="373">
        <v>101.71299999999999</v>
      </c>
      <c r="P205" s="373">
        <v>57.444000000000003</v>
      </c>
      <c r="Q205" s="373">
        <v>42.688000000000002</v>
      </c>
      <c r="R205" s="373">
        <v>31.884</v>
      </c>
      <c r="S205" s="373">
        <v>17.655000000000001</v>
      </c>
      <c r="T205" s="373">
        <v>9.4860000000000007</v>
      </c>
      <c r="U205" s="373">
        <v>5.27</v>
      </c>
      <c r="V205" s="373">
        <v>0.79100000000000004</v>
      </c>
      <c r="W205" s="373">
        <v>0</v>
      </c>
      <c r="X205" s="373">
        <f>W205</f>
        <v>0</v>
      </c>
      <c r="Y205" s="382">
        <v>0</v>
      </c>
    </row>
    <row r="206" spans="1:26" ht="13.5" thickBot="1" x14ac:dyDescent="0.25">
      <c r="A206" s="379" t="s">
        <v>117</v>
      </c>
      <c r="B206" s="374">
        <f t="shared" ref="B206:X206" si="71">(C205+B205)*(C204-B204)/2</f>
        <v>0.67457200000000006</v>
      </c>
      <c r="C206" s="375">
        <f t="shared" si="71"/>
        <v>0.86495499999999981</v>
      </c>
      <c r="D206" s="375">
        <f t="shared" si="71"/>
        <v>1.5984225000000001</v>
      </c>
      <c r="E206" s="375">
        <f t="shared" si="71"/>
        <v>2.2694360000000007</v>
      </c>
      <c r="F206" s="375">
        <f t="shared" si="71"/>
        <v>4.6076379999999988</v>
      </c>
      <c r="G206" s="375">
        <f t="shared" si="71"/>
        <v>6.2555999999999985</v>
      </c>
      <c r="H206" s="375">
        <f t="shared" si="71"/>
        <v>14.127676500000003</v>
      </c>
      <c r="I206" s="375">
        <f t="shared" si="71"/>
        <v>16.848477499999998</v>
      </c>
      <c r="J206" s="375">
        <f t="shared" si="71"/>
        <v>23.000359499999995</v>
      </c>
      <c r="K206" s="375">
        <f t="shared" si="71"/>
        <v>12.320144999999997</v>
      </c>
      <c r="L206" s="375">
        <f t="shared" si="71"/>
        <v>25.904340000000012</v>
      </c>
      <c r="M206" s="375">
        <f t="shared" si="71"/>
        <v>11.649023999999997</v>
      </c>
      <c r="N206" s="375">
        <f t="shared" si="71"/>
        <v>7.6456100000000067</v>
      </c>
      <c r="O206" s="375">
        <f t="shared" si="71"/>
        <v>8.7536349999999974</v>
      </c>
      <c r="P206" s="375">
        <f t="shared" si="71"/>
        <v>2.1027720000000021</v>
      </c>
      <c r="Q206" s="375">
        <f t="shared" si="71"/>
        <v>1.9015859999999976</v>
      </c>
      <c r="R206" s="375">
        <f t="shared" si="71"/>
        <v>1.3375530000000013</v>
      </c>
      <c r="S206" s="375">
        <f t="shared" si="71"/>
        <v>0.52924949999999904</v>
      </c>
      <c r="T206" s="375">
        <f t="shared" si="71"/>
        <v>0.25085200000000024</v>
      </c>
      <c r="U206" s="375">
        <f t="shared" si="71"/>
        <v>0.43033099999999969</v>
      </c>
      <c r="V206" s="375">
        <f t="shared" si="71"/>
        <v>1.621550000000006E-2</v>
      </c>
      <c r="W206" s="375">
        <f t="shared" si="71"/>
        <v>0</v>
      </c>
      <c r="X206" s="375">
        <f t="shared" si="71"/>
        <v>0</v>
      </c>
      <c r="Y206" s="369"/>
    </row>
    <row r="207" spans="1:26" ht="13.5" thickBot="1" x14ac:dyDescent="0.25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6" ht="13.5" thickBot="1" x14ac:dyDescent="0.25">
      <c r="A208" s="361" t="s">
        <v>537</v>
      </c>
      <c r="B208" s="359">
        <f>ROW(A208)</f>
        <v>208</v>
      </c>
      <c r="C208" s="363" t="s">
        <v>116</v>
      </c>
      <c r="D208" s="353">
        <f>SUM(B211:Y211)</f>
        <v>139.423417</v>
      </c>
      <c r="E208" s="363" t="s">
        <v>115</v>
      </c>
      <c r="F208" s="354">
        <f>D208/g/J208</f>
        <v>158.62027745922524</v>
      </c>
      <c r="G208" s="363" t="s">
        <v>57</v>
      </c>
      <c r="H208" s="64">
        <v>0.19450000000000001</v>
      </c>
      <c r="I208" s="363" t="s">
        <v>270</v>
      </c>
      <c r="J208" s="355">
        <f>H208-L208</f>
        <v>8.9600000000000013E-2</v>
      </c>
      <c r="K208" s="363" t="s">
        <v>271</v>
      </c>
      <c r="L208" s="64">
        <v>0.10489999999999999</v>
      </c>
      <c r="M208" s="363" t="s">
        <v>58</v>
      </c>
      <c r="N208" s="65">
        <v>114</v>
      </c>
      <c r="O208" s="363" t="s">
        <v>60</v>
      </c>
      <c r="P208" s="65">
        <v>144</v>
      </c>
      <c r="Q208" s="363" t="s">
        <v>61</v>
      </c>
      <c r="R208" s="65">
        <v>228</v>
      </c>
      <c r="S208" s="363" t="s">
        <v>62</v>
      </c>
      <c r="T208" s="65">
        <v>24</v>
      </c>
      <c r="U208" s="363" t="s">
        <v>55</v>
      </c>
      <c r="V208" s="66" t="s">
        <v>120</v>
      </c>
      <c r="W208" s="463" t="s">
        <v>394</v>
      </c>
      <c r="X208" s="465">
        <v>1.3</v>
      </c>
      <c r="Y208" s="463" t="s">
        <v>393</v>
      </c>
      <c r="Z208" s="358">
        <v>12</v>
      </c>
    </row>
    <row r="209" spans="1:26" x14ac:dyDescent="0.2">
      <c r="A209" s="362" t="s">
        <v>33</v>
      </c>
      <c r="B209" s="370">
        <v>0</v>
      </c>
      <c r="C209" s="371">
        <v>1.0999999999999999E-2</v>
      </c>
      <c r="D209" s="371">
        <v>2.1999999999999999E-2</v>
      </c>
      <c r="E209" s="371">
        <v>4.5999999999999999E-2</v>
      </c>
      <c r="F209" s="371">
        <v>8.1000000000000003E-2</v>
      </c>
      <c r="G209" s="371">
        <v>0.219</v>
      </c>
      <c r="H209" s="371">
        <v>0.253</v>
      </c>
      <c r="I209" s="371">
        <v>0.27400000000000002</v>
      </c>
      <c r="J209" s="371">
        <v>0.30499999999999999</v>
      </c>
      <c r="K209" s="371">
        <v>0.41199999999999998</v>
      </c>
      <c r="L209" s="371">
        <v>0.78900000000000003</v>
      </c>
      <c r="M209" s="371">
        <v>0.89900000000000002</v>
      </c>
      <c r="N209" s="371">
        <v>0.95299999999999996</v>
      </c>
      <c r="O209" s="371">
        <v>0.999</v>
      </c>
      <c r="P209" s="371">
        <v>1.03</v>
      </c>
      <c r="Q209" s="371">
        <v>1.0569999999999999</v>
      </c>
      <c r="R209" s="371">
        <v>1.1020000000000001</v>
      </c>
      <c r="S209" s="371">
        <v>1.1539999999999999</v>
      </c>
      <c r="T209" s="371">
        <v>1.1970000000000001</v>
      </c>
      <c r="U209" s="371">
        <v>1.2769999999999999</v>
      </c>
      <c r="V209" s="371">
        <v>1.335</v>
      </c>
      <c r="W209" s="371">
        <v>1.4510000000000001</v>
      </c>
      <c r="X209" s="371">
        <v>2</v>
      </c>
      <c r="Y209" s="381">
        <v>1000</v>
      </c>
    </row>
    <row r="210" spans="1:26" x14ac:dyDescent="0.2">
      <c r="A210" s="378" t="s">
        <v>34</v>
      </c>
      <c r="B210" s="372">
        <v>0</v>
      </c>
      <c r="C210" s="373">
        <v>198.41800000000001</v>
      </c>
      <c r="D210" s="373">
        <v>221.83500000000001</v>
      </c>
      <c r="E210" s="373">
        <v>212.65799999999999</v>
      </c>
      <c r="F210" s="373">
        <v>218.35400000000001</v>
      </c>
      <c r="G210" s="373">
        <v>204.43</v>
      </c>
      <c r="H210" s="373">
        <v>195.886</v>
      </c>
      <c r="I210" s="373">
        <v>183.54400000000001</v>
      </c>
      <c r="J210" s="373">
        <v>88.290999999999997</v>
      </c>
      <c r="K210" s="373">
        <v>93.671000000000006</v>
      </c>
      <c r="L210" s="373">
        <v>93.986999999999995</v>
      </c>
      <c r="M210" s="373">
        <v>91.138999999999996</v>
      </c>
      <c r="N210" s="373">
        <v>89.873000000000005</v>
      </c>
      <c r="O210" s="373">
        <v>87.025000000000006</v>
      </c>
      <c r="P210" s="373">
        <v>81.328999999999994</v>
      </c>
      <c r="Q210" s="373">
        <v>69.936999999999998</v>
      </c>
      <c r="R210" s="373">
        <v>54.113999999999997</v>
      </c>
      <c r="S210" s="373">
        <v>42.405000000000001</v>
      </c>
      <c r="T210" s="373">
        <v>31.646000000000001</v>
      </c>
      <c r="U210" s="373">
        <v>17.088999999999999</v>
      </c>
      <c r="V210" s="373">
        <v>9.81</v>
      </c>
      <c r="W210" s="373">
        <v>0</v>
      </c>
      <c r="X210" s="373">
        <v>0</v>
      </c>
      <c r="Y210" s="382">
        <v>0</v>
      </c>
    </row>
    <row r="211" spans="1:26" ht="13.5" thickBot="1" x14ac:dyDescent="0.25">
      <c r="A211" s="379" t="s">
        <v>117</v>
      </c>
      <c r="B211" s="374">
        <f t="shared" ref="B211:X211" si="72">(C210+B210)*(C209-B209)/2</f>
        <v>1.091299</v>
      </c>
      <c r="C211" s="375">
        <f t="shared" si="72"/>
        <v>2.3113915</v>
      </c>
      <c r="D211" s="375">
        <f t="shared" si="72"/>
        <v>5.2139160000000002</v>
      </c>
      <c r="E211" s="375">
        <f t="shared" si="72"/>
        <v>7.5427100000000005</v>
      </c>
      <c r="F211" s="375">
        <f t="shared" si="72"/>
        <v>29.172096000000003</v>
      </c>
      <c r="G211" s="375">
        <f t="shared" si="72"/>
        <v>6.8053720000000011</v>
      </c>
      <c r="H211" s="375">
        <f t="shared" si="72"/>
        <v>3.9840150000000034</v>
      </c>
      <c r="I211" s="375">
        <f t="shared" si="72"/>
        <v>4.2134424999999966</v>
      </c>
      <c r="J211" s="375">
        <f t="shared" si="72"/>
        <v>9.7349669999999975</v>
      </c>
      <c r="K211" s="375">
        <f t="shared" si="72"/>
        <v>35.373533000000009</v>
      </c>
      <c r="L211" s="375">
        <f t="shared" si="72"/>
        <v>10.181929999999998</v>
      </c>
      <c r="M211" s="375">
        <f t="shared" si="72"/>
        <v>4.8873239999999942</v>
      </c>
      <c r="N211" s="375">
        <f t="shared" si="72"/>
        <v>4.068654000000004</v>
      </c>
      <c r="O211" s="375">
        <f t="shared" si="72"/>
        <v>2.6094870000000019</v>
      </c>
      <c r="P211" s="375">
        <f t="shared" si="72"/>
        <v>2.0420909999999934</v>
      </c>
      <c r="Q211" s="375">
        <f t="shared" si="72"/>
        <v>2.791147500000009</v>
      </c>
      <c r="R211" s="375">
        <f t="shared" si="72"/>
        <v>2.5094939999999917</v>
      </c>
      <c r="S211" s="375">
        <f t="shared" si="72"/>
        <v>1.5920965000000056</v>
      </c>
      <c r="T211" s="375">
        <f t="shared" si="72"/>
        <v>1.9493999999999962</v>
      </c>
      <c r="U211" s="375">
        <f t="shared" si="72"/>
        <v>0.78007100000000074</v>
      </c>
      <c r="V211" s="375">
        <f t="shared" si="72"/>
        <v>0.56898000000000049</v>
      </c>
      <c r="W211" s="375">
        <f t="shared" si="72"/>
        <v>0</v>
      </c>
      <c r="X211" s="375">
        <f t="shared" si="72"/>
        <v>0</v>
      </c>
      <c r="Y211" s="369"/>
    </row>
    <row r="212" spans="1:26" ht="13.5" thickBot="1" x14ac:dyDescent="0.25">
      <c r="A212" s="6" t="s">
        <v>315</v>
      </c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6" ht="13.5" thickBot="1" x14ac:dyDescent="0.25">
      <c r="A213" s="361" t="s">
        <v>375</v>
      </c>
      <c r="B213" s="359">
        <f>ROW(A213)</f>
        <v>213</v>
      </c>
      <c r="C213" s="363" t="s">
        <v>116</v>
      </c>
      <c r="D213" s="353">
        <f>SUM(B216:Y216)</f>
        <v>82.798500000000018</v>
      </c>
      <c r="E213" s="363" t="s">
        <v>115</v>
      </c>
      <c r="F213" s="354">
        <f>D213/g/J213</f>
        <v>131.87834480122325</v>
      </c>
      <c r="G213" s="363" t="s">
        <v>57</v>
      </c>
      <c r="H213" s="64">
        <v>0.152</v>
      </c>
      <c r="I213" s="363" t="s">
        <v>270</v>
      </c>
      <c r="J213" s="355">
        <f>H213-L213</f>
        <v>6.4000000000000001E-2</v>
      </c>
      <c r="K213" s="363" t="s">
        <v>271</v>
      </c>
      <c r="L213" s="64">
        <v>8.7999999999999995E-2</v>
      </c>
      <c r="M213" s="363" t="s">
        <v>58</v>
      </c>
      <c r="N213" s="65">
        <v>71</v>
      </c>
      <c r="O213" s="363" t="s">
        <v>60</v>
      </c>
      <c r="P213" s="65">
        <v>71</v>
      </c>
      <c r="Q213" s="363" t="s">
        <v>61</v>
      </c>
      <c r="R213" s="65">
        <v>142</v>
      </c>
      <c r="S213" s="363" t="s">
        <v>62</v>
      </c>
      <c r="T213" s="65">
        <v>29</v>
      </c>
      <c r="U213" s="363" t="s">
        <v>55</v>
      </c>
      <c r="V213" s="66" t="s">
        <v>120</v>
      </c>
      <c r="W213" s="463" t="s">
        <v>394</v>
      </c>
      <c r="X213" s="465">
        <v>0.96</v>
      </c>
      <c r="Y213" s="463" t="s">
        <v>393</v>
      </c>
      <c r="Z213" s="358">
        <v>11</v>
      </c>
    </row>
    <row r="214" spans="1:26" x14ac:dyDescent="0.2">
      <c r="A214" s="362" t="s">
        <v>33</v>
      </c>
      <c r="B214" s="370">
        <v>0</v>
      </c>
      <c r="C214" s="371">
        <v>0.02</v>
      </c>
      <c r="D214" s="371">
        <v>0.03</v>
      </c>
      <c r="E214" s="371">
        <v>0.04</v>
      </c>
      <c r="F214" s="371">
        <v>0.06</v>
      </c>
      <c r="G214" s="371">
        <v>0.08</v>
      </c>
      <c r="H214" s="371">
        <v>0.15</v>
      </c>
      <c r="I214" s="371">
        <v>0.18</v>
      </c>
      <c r="J214" s="371">
        <v>0.2</v>
      </c>
      <c r="K214" s="371">
        <v>0.3</v>
      </c>
      <c r="L214" s="371">
        <v>0.4</v>
      </c>
      <c r="M214" s="371">
        <v>0.5</v>
      </c>
      <c r="N214" s="371">
        <v>0.6</v>
      </c>
      <c r="O214" s="371">
        <v>0.7</v>
      </c>
      <c r="P214" s="371">
        <v>0.82</v>
      </c>
      <c r="Q214" s="371">
        <v>0.93</v>
      </c>
      <c r="R214" s="371">
        <v>1</v>
      </c>
      <c r="S214" s="371">
        <f t="shared" ref="S214:X215" si="73">R214</f>
        <v>1</v>
      </c>
      <c r="T214" s="371">
        <f t="shared" si="73"/>
        <v>1</v>
      </c>
      <c r="U214" s="371">
        <f t="shared" si="73"/>
        <v>1</v>
      </c>
      <c r="V214" s="371">
        <f t="shared" si="73"/>
        <v>1</v>
      </c>
      <c r="W214" s="371">
        <f t="shared" si="73"/>
        <v>1</v>
      </c>
      <c r="X214" s="371">
        <v>2</v>
      </c>
      <c r="Y214" s="381">
        <v>1000</v>
      </c>
    </row>
    <row r="215" spans="1:26" x14ac:dyDescent="0.2">
      <c r="A215" s="378" t="s">
        <v>34</v>
      </c>
      <c r="B215" s="372">
        <v>0</v>
      </c>
      <c r="C215" s="373">
        <v>41.9</v>
      </c>
      <c r="D215" s="373">
        <v>92.1</v>
      </c>
      <c r="E215" s="373">
        <v>116.7</v>
      </c>
      <c r="F215" s="373">
        <v>112.7</v>
      </c>
      <c r="G215" s="373">
        <v>82.7</v>
      </c>
      <c r="H215" s="373">
        <v>84.7</v>
      </c>
      <c r="I215" s="373">
        <v>86.2</v>
      </c>
      <c r="J215" s="373">
        <v>87.9</v>
      </c>
      <c r="K215" s="373">
        <v>90.9</v>
      </c>
      <c r="L215" s="373">
        <v>93.9</v>
      </c>
      <c r="M215" s="373">
        <v>95.3</v>
      </c>
      <c r="N215" s="373">
        <v>96.8</v>
      </c>
      <c r="O215" s="373">
        <v>97.6</v>
      </c>
      <c r="P215" s="373">
        <v>108.2</v>
      </c>
      <c r="Q215" s="373">
        <v>11</v>
      </c>
      <c r="R215" s="373">
        <v>0</v>
      </c>
      <c r="S215" s="373">
        <f t="shared" si="73"/>
        <v>0</v>
      </c>
      <c r="T215" s="373">
        <f t="shared" si="73"/>
        <v>0</v>
      </c>
      <c r="U215" s="373">
        <f t="shared" si="73"/>
        <v>0</v>
      </c>
      <c r="V215" s="373">
        <f t="shared" si="73"/>
        <v>0</v>
      </c>
      <c r="W215" s="373">
        <f t="shared" si="73"/>
        <v>0</v>
      </c>
      <c r="X215" s="373">
        <f t="shared" si="73"/>
        <v>0</v>
      </c>
      <c r="Y215" s="382">
        <v>0</v>
      </c>
    </row>
    <row r="216" spans="1:26" ht="13.5" thickBot="1" x14ac:dyDescent="0.25">
      <c r="A216" s="379" t="s">
        <v>117</v>
      </c>
      <c r="B216" s="374">
        <f t="shared" ref="B216:V216" si="74">(C215+B215)*(C214-B214)/2</f>
        <v>0.41899999999999998</v>
      </c>
      <c r="C216" s="375">
        <f t="shared" si="74"/>
        <v>0.66999999999999993</v>
      </c>
      <c r="D216" s="375">
        <f t="shared" si="74"/>
        <v>1.0440000000000003</v>
      </c>
      <c r="E216" s="375">
        <f t="shared" si="74"/>
        <v>2.2939999999999996</v>
      </c>
      <c r="F216" s="375">
        <f t="shared" si="74"/>
        <v>1.9540000000000004</v>
      </c>
      <c r="G216" s="375">
        <f t="shared" si="74"/>
        <v>5.859</v>
      </c>
      <c r="H216" s="375">
        <f t="shared" si="74"/>
        <v>2.5634999999999999</v>
      </c>
      <c r="I216" s="375">
        <f t="shared" si="74"/>
        <v>1.7410000000000019</v>
      </c>
      <c r="J216" s="375">
        <f>(K215+J215)*(K214-J214)/2</f>
        <v>8.9399999999999977</v>
      </c>
      <c r="K216" s="375">
        <f t="shared" si="74"/>
        <v>9.2400000000000038</v>
      </c>
      <c r="L216" s="375">
        <f t="shared" si="74"/>
        <v>9.4599999999999973</v>
      </c>
      <c r="M216" s="375">
        <f t="shared" si="74"/>
        <v>9.6049999999999969</v>
      </c>
      <c r="N216" s="375">
        <f t="shared" si="74"/>
        <v>9.7199999999999971</v>
      </c>
      <c r="O216" s="375">
        <f t="shared" si="74"/>
        <v>12.348000000000001</v>
      </c>
      <c r="P216" s="375">
        <f t="shared" si="74"/>
        <v>6.5560000000000063</v>
      </c>
      <c r="Q216" s="375">
        <f t="shared" si="74"/>
        <v>0.38499999999999973</v>
      </c>
      <c r="R216" s="375">
        <f t="shared" si="74"/>
        <v>0</v>
      </c>
      <c r="S216" s="375">
        <f>(T215+S215)*(T214-S214)/2</f>
        <v>0</v>
      </c>
      <c r="T216" s="375">
        <f t="shared" si="74"/>
        <v>0</v>
      </c>
      <c r="U216" s="375">
        <f t="shared" si="74"/>
        <v>0</v>
      </c>
      <c r="V216" s="375">
        <f t="shared" si="74"/>
        <v>0</v>
      </c>
      <c r="W216" s="375">
        <f>(X215+W215)*(X214-W214)/2</f>
        <v>0</v>
      </c>
      <c r="X216" s="375">
        <f>(Y215+X215)*(Y214-X214)/2</f>
        <v>0</v>
      </c>
      <c r="Y216" s="369"/>
    </row>
    <row r="217" spans="1:26" ht="13.5" thickBot="1" x14ac:dyDescent="0.2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6" ht="13.5" thickBot="1" x14ac:dyDescent="0.25">
      <c r="A218" s="361" t="s">
        <v>376</v>
      </c>
      <c r="B218" s="359">
        <f>ROW(A218)</f>
        <v>218</v>
      </c>
      <c r="C218" s="363" t="s">
        <v>116</v>
      </c>
      <c r="D218" s="353">
        <f>SUM(B221:Y221)</f>
        <v>98.257101163036367</v>
      </c>
      <c r="E218" s="363" t="s">
        <v>115</v>
      </c>
      <c r="F218" s="354">
        <f>D218/g/J218</f>
        <v>177.58890761893778</v>
      </c>
      <c r="G218" s="363" t="s">
        <v>57</v>
      </c>
      <c r="H218" s="64">
        <v>0.14319999999999999</v>
      </c>
      <c r="I218" s="363" t="s">
        <v>270</v>
      </c>
      <c r="J218" s="355">
        <f>H218-L218</f>
        <v>5.6399999999999992E-2</v>
      </c>
      <c r="K218" s="363" t="s">
        <v>271</v>
      </c>
      <c r="L218" s="64">
        <v>8.6800000000000002E-2</v>
      </c>
      <c r="M218" s="363" t="s">
        <v>58</v>
      </c>
      <c r="N218" s="65">
        <v>71</v>
      </c>
      <c r="O218" s="363" t="s">
        <v>60</v>
      </c>
      <c r="P218" s="65">
        <v>71</v>
      </c>
      <c r="Q218" s="363" t="s">
        <v>61</v>
      </c>
      <c r="R218" s="65">
        <v>142</v>
      </c>
      <c r="S218" s="363" t="s">
        <v>62</v>
      </c>
      <c r="T218" s="65">
        <v>29</v>
      </c>
      <c r="U218" s="363" t="s">
        <v>55</v>
      </c>
      <c r="V218" s="66" t="s">
        <v>120</v>
      </c>
      <c r="W218" s="463" t="s">
        <v>394</v>
      </c>
      <c r="X218" s="465">
        <v>1.1499999999999999</v>
      </c>
      <c r="Y218" s="463" t="s">
        <v>393</v>
      </c>
      <c r="Z218" s="358">
        <v>14</v>
      </c>
    </row>
    <row r="219" spans="1:26" x14ac:dyDescent="0.2">
      <c r="A219" s="362" t="s">
        <v>33</v>
      </c>
      <c r="B219" s="370">
        <v>0</v>
      </c>
      <c r="C219" s="371">
        <v>1.4999999999999999E-2</v>
      </c>
      <c r="D219" s="371">
        <v>0.03</v>
      </c>
      <c r="E219" s="371">
        <v>4.4999999999999998E-2</v>
      </c>
      <c r="F219" s="371">
        <v>0.06</v>
      </c>
      <c r="G219" s="371">
        <v>7.4999999999999997E-2</v>
      </c>
      <c r="H219" s="371">
        <v>0.09</v>
      </c>
      <c r="I219" s="371">
        <v>0.105</v>
      </c>
      <c r="J219" s="371">
        <v>0.12</v>
      </c>
      <c r="K219" s="371">
        <v>0.18</v>
      </c>
      <c r="L219" s="371">
        <v>0.24</v>
      </c>
      <c r="M219" s="371">
        <v>0.3</v>
      </c>
      <c r="N219" s="371">
        <v>0.48</v>
      </c>
      <c r="O219" s="371">
        <v>0.6</v>
      </c>
      <c r="P219" s="371">
        <v>0.66</v>
      </c>
      <c r="Q219" s="371">
        <v>0.72</v>
      </c>
      <c r="R219" s="371">
        <v>0.78</v>
      </c>
      <c r="S219" s="371">
        <v>0.84</v>
      </c>
      <c r="T219" s="371">
        <v>0.9</v>
      </c>
      <c r="U219" s="371">
        <v>0.96</v>
      </c>
      <c r="V219" s="371">
        <v>1.0349999999999999</v>
      </c>
      <c r="W219" s="371">
        <v>1.2</v>
      </c>
      <c r="X219" s="371">
        <v>2</v>
      </c>
      <c r="Y219" s="381">
        <v>1000</v>
      </c>
    </row>
    <row r="220" spans="1:26" x14ac:dyDescent="0.2">
      <c r="A220" s="378" t="s">
        <v>34</v>
      </c>
      <c r="B220" s="372">
        <v>0</v>
      </c>
      <c r="C220" s="376">
        <v>99.328788958822486</v>
      </c>
      <c r="D220" s="376">
        <v>109.07039432469</v>
      </c>
      <c r="E220" s="376">
        <v>65.255411286427503</v>
      </c>
      <c r="F220" s="376">
        <v>67.568486533117493</v>
      </c>
      <c r="G220" s="376">
        <v>73.929443461515007</v>
      </c>
      <c r="H220" s="376">
        <v>74.329783408057494</v>
      </c>
      <c r="I220" s="376">
        <v>78.1552540083525</v>
      </c>
      <c r="J220" s="376">
        <v>78.600076171177506</v>
      </c>
      <c r="K220" s="376">
        <v>82.203135690059995</v>
      </c>
      <c r="L220" s="376">
        <v>84.516210936749999</v>
      </c>
      <c r="M220" s="376">
        <v>88.51961040217499</v>
      </c>
      <c r="N220" s="376">
        <v>95.102978411984992</v>
      </c>
      <c r="O220" s="376">
        <v>95.547800574809997</v>
      </c>
      <c r="P220" s="376">
        <v>94.480227384029988</v>
      </c>
      <c r="Q220" s="376">
        <v>92.122669921057494</v>
      </c>
      <c r="R220" s="376">
        <v>90.743721216299988</v>
      </c>
      <c r="S220" s="376">
        <v>88.964432564999996</v>
      </c>
      <c r="T220" s="376">
        <v>85.405855262399996</v>
      </c>
      <c r="U220" s="376">
        <v>83.448637745970004</v>
      </c>
      <c r="V220" s="376">
        <v>88.074788239349999</v>
      </c>
      <c r="W220" s="376">
        <v>0</v>
      </c>
      <c r="X220" s="373">
        <v>0</v>
      </c>
      <c r="Y220" s="382">
        <v>0</v>
      </c>
    </row>
    <row r="221" spans="1:26" ht="13.5" thickBot="1" x14ac:dyDescent="0.25">
      <c r="A221" s="379" t="s">
        <v>117</v>
      </c>
      <c r="B221" s="374">
        <f t="shared" ref="B221:V221" si="75">(C220+B220)*(C219-B219)/2</f>
        <v>0.74496591719116867</v>
      </c>
      <c r="C221" s="375">
        <f t="shared" si="75"/>
        <v>1.5629938746263436</v>
      </c>
      <c r="D221" s="375">
        <f t="shared" si="75"/>
        <v>1.3074435420833814</v>
      </c>
      <c r="E221" s="375">
        <f t="shared" si="75"/>
        <v>0.99617923364658734</v>
      </c>
      <c r="F221" s="375">
        <f t="shared" si="75"/>
        <v>1.0612344749597438</v>
      </c>
      <c r="G221" s="375">
        <f t="shared" si="75"/>
        <v>1.1119442015217937</v>
      </c>
      <c r="H221" s="375">
        <f t="shared" si="75"/>
        <v>1.1436377806230749</v>
      </c>
      <c r="I221" s="375">
        <f t="shared" si="75"/>
        <v>1.175664976346475</v>
      </c>
      <c r="J221" s="375">
        <f>(K220+J220)*(K219-J219)/2</f>
        <v>4.824096355837125</v>
      </c>
      <c r="K221" s="375">
        <f t="shared" si="75"/>
        <v>5.0015803988042995</v>
      </c>
      <c r="L221" s="375">
        <f t="shared" si="75"/>
        <v>5.1910746401677494</v>
      </c>
      <c r="M221" s="375">
        <f t="shared" si="75"/>
        <v>16.526032993274399</v>
      </c>
      <c r="N221" s="375">
        <f t="shared" si="75"/>
        <v>11.439046739207699</v>
      </c>
      <c r="O221" s="375">
        <f t="shared" si="75"/>
        <v>5.7008408387652043</v>
      </c>
      <c r="P221" s="375">
        <f t="shared" si="75"/>
        <v>5.5980869191526192</v>
      </c>
      <c r="Q221" s="375">
        <f t="shared" si="75"/>
        <v>5.4859917341207289</v>
      </c>
      <c r="R221" s="375">
        <f t="shared" si="75"/>
        <v>5.3912446134389942</v>
      </c>
      <c r="S221" s="375">
        <f>(T220+S220)*(T219-S219)/2</f>
        <v>5.2311086348220037</v>
      </c>
      <c r="T221" s="375">
        <f t="shared" si="75"/>
        <v>5.0656347902510959</v>
      </c>
      <c r="U221" s="375">
        <f t="shared" si="75"/>
        <v>6.4321284744494962</v>
      </c>
      <c r="V221" s="375">
        <f t="shared" si="75"/>
        <v>7.2661700297463767</v>
      </c>
      <c r="W221" s="375">
        <f>(X220+W220)*(X219-W219)/2</f>
        <v>0</v>
      </c>
      <c r="X221" s="375">
        <f>(Y220+X220)*(Y219-X219)/2</f>
        <v>0</v>
      </c>
      <c r="Y221" s="369"/>
    </row>
    <row r="222" spans="1:26" ht="13.5" thickBot="1" x14ac:dyDescent="0.2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6" ht="13.5" thickBot="1" x14ac:dyDescent="0.25">
      <c r="A223" s="361" t="s">
        <v>377</v>
      </c>
      <c r="B223" s="359">
        <f>ROW(A223)</f>
        <v>223</v>
      </c>
      <c r="C223" s="363" t="s">
        <v>116</v>
      </c>
      <c r="D223" s="353">
        <f>SUM(B226:Y226)</f>
        <v>109.60639850000001</v>
      </c>
      <c r="E223" s="363" t="s">
        <v>115</v>
      </c>
      <c r="F223" s="354">
        <f>D223/g/J223</f>
        <v>194.31174666489383</v>
      </c>
      <c r="G223" s="363" t="s">
        <v>57</v>
      </c>
      <c r="H223" s="64">
        <v>0.14130000000000001</v>
      </c>
      <c r="I223" s="363" t="s">
        <v>270</v>
      </c>
      <c r="J223" s="355">
        <f>H223-L223</f>
        <v>5.7500000000000009E-2</v>
      </c>
      <c r="K223" s="363" t="s">
        <v>271</v>
      </c>
      <c r="L223" s="64">
        <v>8.3799999999999999E-2</v>
      </c>
      <c r="M223" s="363" t="s">
        <v>58</v>
      </c>
      <c r="N223" s="65">
        <v>71</v>
      </c>
      <c r="O223" s="363" t="s">
        <v>60</v>
      </c>
      <c r="P223" s="65">
        <v>71</v>
      </c>
      <c r="Q223" s="363" t="s">
        <v>61</v>
      </c>
      <c r="R223" s="65">
        <v>142</v>
      </c>
      <c r="S223" s="363" t="s">
        <v>62</v>
      </c>
      <c r="T223" s="65">
        <v>29</v>
      </c>
      <c r="U223" s="363" t="s">
        <v>55</v>
      </c>
      <c r="V223" s="66" t="s">
        <v>401</v>
      </c>
      <c r="W223" s="463" t="s">
        <v>394</v>
      </c>
      <c r="X223" s="465">
        <v>0.45</v>
      </c>
      <c r="Y223" s="463" t="s">
        <v>393</v>
      </c>
      <c r="Z223" s="358">
        <v>14</v>
      </c>
    </row>
    <row r="224" spans="1:26" x14ac:dyDescent="0.2">
      <c r="A224" s="362" t="s">
        <v>33</v>
      </c>
      <c r="B224" s="370">
        <v>0</v>
      </c>
      <c r="C224" s="371">
        <v>6.0000000000000001E-3</v>
      </c>
      <c r="D224" s="371">
        <v>1.0999999999999999E-2</v>
      </c>
      <c r="E224" s="371">
        <v>1.6E-2</v>
      </c>
      <c r="F224" s="371">
        <v>3.1E-2</v>
      </c>
      <c r="G224" s="371">
        <v>7.4999999999999997E-2</v>
      </c>
      <c r="H224" s="371">
        <v>0.122</v>
      </c>
      <c r="I224" s="371">
        <v>0.216</v>
      </c>
      <c r="J224" s="371">
        <v>0.25</v>
      </c>
      <c r="K224" s="371">
        <v>0.28699999999999998</v>
      </c>
      <c r="L224" s="371">
        <v>0.35399999999999998</v>
      </c>
      <c r="M224" s="371">
        <v>0.374</v>
      </c>
      <c r="N224" s="371">
        <v>0.4</v>
      </c>
      <c r="O224" s="371">
        <v>0.41299999999999998</v>
      </c>
      <c r="P224" s="371">
        <v>0.42</v>
      </c>
      <c r="Q224" s="371">
        <v>0.433</v>
      </c>
      <c r="R224" s="371">
        <v>0.44500000000000001</v>
      </c>
      <c r="S224" s="371">
        <v>0.45400000000000001</v>
      </c>
      <c r="T224" s="371">
        <f t="shared" ref="T224:X225" si="76">S224</f>
        <v>0.45400000000000001</v>
      </c>
      <c r="U224" s="371">
        <f t="shared" si="76"/>
        <v>0.45400000000000001</v>
      </c>
      <c r="V224" s="371">
        <f t="shared" si="76"/>
        <v>0.45400000000000001</v>
      </c>
      <c r="W224" s="371">
        <f t="shared" si="76"/>
        <v>0.45400000000000001</v>
      </c>
      <c r="X224" s="371">
        <v>2</v>
      </c>
      <c r="Y224" s="381">
        <v>1000</v>
      </c>
    </row>
    <row r="225" spans="1:26" x14ac:dyDescent="0.2">
      <c r="A225" s="378" t="s">
        <v>34</v>
      </c>
      <c r="B225" s="372">
        <v>0</v>
      </c>
      <c r="C225" s="373">
        <v>151.62100000000001</v>
      </c>
      <c r="D225" s="373">
        <v>198.07900000000001</v>
      </c>
      <c r="E225" s="373">
        <v>203.12100000000001</v>
      </c>
      <c r="F225" s="373">
        <v>201.68100000000001</v>
      </c>
      <c r="G225" s="373">
        <v>226.17</v>
      </c>
      <c r="H225" s="373">
        <v>250.3</v>
      </c>
      <c r="I225" s="373">
        <v>280.19200000000001</v>
      </c>
      <c r="J225" s="373">
        <v>287.03500000000003</v>
      </c>
      <c r="K225" s="373">
        <v>284.87400000000002</v>
      </c>
      <c r="L225" s="373">
        <v>269.74799999999999</v>
      </c>
      <c r="M225" s="373">
        <v>258.58300000000003</v>
      </c>
      <c r="N225" s="373">
        <v>233.37299999999999</v>
      </c>
      <c r="O225" s="373">
        <v>234.09399999999999</v>
      </c>
      <c r="P225" s="373">
        <v>227.61099999999999</v>
      </c>
      <c r="Q225" s="373">
        <v>137.935</v>
      </c>
      <c r="R225" s="373">
        <v>33.853999999999999</v>
      </c>
      <c r="S225" s="373">
        <v>0</v>
      </c>
      <c r="T225" s="373">
        <f t="shared" si="76"/>
        <v>0</v>
      </c>
      <c r="U225" s="373">
        <f t="shared" si="76"/>
        <v>0</v>
      </c>
      <c r="V225" s="373">
        <f t="shared" si="76"/>
        <v>0</v>
      </c>
      <c r="W225" s="373">
        <f t="shared" si="76"/>
        <v>0</v>
      </c>
      <c r="X225" s="373">
        <f t="shared" si="76"/>
        <v>0</v>
      </c>
      <c r="Y225" s="382">
        <v>0</v>
      </c>
    </row>
    <row r="226" spans="1:26" ht="13.5" thickBot="1" x14ac:dyDescent="0.25">
      <c r="A226" s="379" t="s">
        <v>117</v>
      </c>
      <c r="B226" s="374">
        <f t="shared" ref="B226:X226" si="77">(C225+B225)*(C224-B224)/2</f>
        <v>0.45486300000000002</v>
      </c>
      <c r="C226" s="375">
        <f t="shared" si="77"/>
        <v>0.87424999999999997</v>
      </c>
      <c r="D226" s="375">
        <f t="shared" si="77"/>
        <v>1.0030000000000003</v>
      </c>
      <c r="E226" s="375">
        <f t="shared" si="77"/>
        <v>3.0360149999999999</v>
      </c>
      <c r="F226" s="375">
        <f t="shared" si="77"/>
        <v>9.4127219999999987</v>
      </c>
      <c r="G226" s="375">
        <f t="shared" si="77"/>
        <v>11.197045000000001</v>
      </c>
      <c r="H226" s="375">
        <f t="shared" si="77"/>
        <v>24.933123999999999</v>
      </c>
      <c r="I226" s="375">
        <f t="shared" si="77"/>
        <v>9.6428590000000014</v>
      </c>
      <c r="J226" s="375">
        <f t="shared" si="77"/>
        <v>10.580316499999995</v>
      </c>
      <c r="K226" s="375">
        <f t="shared" si="77"/>
        <v>18.579837000000005</v>
      </c>
      <c r="L226" s="375">
        <f t="shared" si="77"/>
        <v>5.2833100000000046</v>
      </c>
      <c r="M226" s="375">
        <f t="shared" si="77"/>
        <v>6.3954280000000061</v>
      </c>
      <c r="N226" s="375">
        <f t="shared" si="77"/>
        <v>3.0385354999999898</v>
      </c>
      <c r="O226" s="375">
        <f t="shared" si="77"/>
        <v>1.6159675000000013</v>
      </c>
      <c r="P226" s="375">
        <f t="shared" si="77"/>
        <v>2.3760490000000019</v>
      </c>
      <c r="Q226" s="375">
        <f t="shared" si="77"/>
        <v>1.0307340000000009</v>
      </c>
      <c r="R226" s="375">
        <f t="shared" si="77"/>
        <v>0.15234300000000014</v>
      </c>
      <c r="S226" s="375">
        <f t="shared" si="77"/>
        <v>0</v>
      </c>
      <c r="T226" s="375">
        <f t="shared" si="77"/>
        <v>0</v>
      </c>
      <c r="U226" s="375">
        <f t="shared" si="77"/>
        <v>0</v>
      </c>
      <c r="V226" s="375">
        <f t="shared" si="77"/>
        <v>0</v>
      </c>
      <c r="W226" s="375">
        <f t="shared" si="77"/>
        <v>0</v>
      </c>
      <c r="X226" s="375">
        <f t="shared" si="77"/>
        <v>0</v>
      </c>
      <c r="Y226" s="369"/>
    </row>
    <row r="227" spans="1:26" ht="13.5" thickBot="1" x14ac:dyDescent="0.2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6" ht="13.5" thickBot="1" x14ac:dyDescent="0.25">
      <c r="A228" s="361" t="s">
        <v>378</v>
      </c>
      <c r="B228" s="359">
        <f>ROW(A228)</f>
        <v>228</v>
      </c>
      <c r="C228" s="363" t="s">
        <v>116</v>
      </c>
      <c r="D228" s="353">
        <f>SUM(B231:Y231)</f>
        <v>115.63</v>
      </c>
      <c r="E228" s="363" t="s">
        <v>115</v>
      </c>
      <c r="F228" s="354">
        <f>D228/g/J228</f>
        <v>199.77884897804037</v>
      </c>
      <c r="G228" s="363" t="s">
        <v>57</v>
      </c>
      <c r="H228" s="64">
        <v>0.14499999999999999</v>
      </c>
      <c r="I228" s="363" t="s">
        <v>270</v>
      </c>
      <c r="J228" s="355">
        <f>H228-L228</f>
        <v>5.8999999999999997E-2</v>
      </c>
      <c r="K228" s="363" t="s">
        <v>271</v>
      </c>
      <c r="L228" s="64">
        <v>8.5999999999999993E-2</v>
      </c>
      <c r="M228" s="363" t="s">
        <v>58</v>
      </c>
      <c r="N228" s="65">
        <v>71</v>
      </c>
      <c r="O228" s="363" t="s">
        <v>60</v>
      </c>
      <c r="P228" s="65">
        <v>71</v>
      </c>
      <c r="Q228" s="363" t="s">
        <v>61</v>
      </c>
      <c r="R228" s="65">
        <v>142</v>
      </c>
      <c r="S228" s="363" t="s">
        <v>62</v>
      </c>
      <c r="T228" s="65">
        <v>29</v>
      </c>
      <c r="U228" s="363" t="s">
        <v>55</v>
      </c>
      <c r="V228" s="66" t="s">
        <v>400</v>
      </c>
      <c r="W228" s="463" t="s">
        <v>394</v>
      </c>
      <c r="X228" s="465">
        <v>0.93</v>
      </c>
      <c r="Y228" s="463" t="s">
        <v>393</v>
      </c>
      <c r="Z228" s="358">
        <v>13</v>
      </c>
    </row>
    <row r="229" spans="1:26" x14ac:dyDescent="0.2">
      <c r="A229" s="362" t="s">
        <v>33</v>
      </c>
      <c r="B229" s="370">
        <v>0</v>
      </c>
      <c r="C229" s="371">
        <v>0.01</v>
      </c>
      <c r="D229" s="371">
        <v>0.02</v>
      </c>
      <c r="E229" s="371">
        <v>0.03</v>
      </c>
      <c r="F229" s="371">
        <v>0.04</v>
      </c>
      <c r="G229" s="371">
        <v>0.05</v>
      </c>
      <c r="H229" s="371">
        <v>0.1</v>
      </c>
      <c r="I229" s="371">
        <v>0.2</v>
      </c>
      <c r="J229" s="371">
        <v>0.3</v>
      </c>
      <c r="K229" s="371">
        <v>0.4</v>
      </c>
      <c r="L229" s="371">
        <v>0.6</v>
      </c>
      <c r="M229" s="371">
        <v>0.75</v>
      </c>
      <c r="N229" s="371">
        <v>0.81</v>
      </c>
      <c r="O229" s="371">
        <v>0.86</v>
      </c>
      <c r="P229" s="371">
        <v>0.9</v>
      </c>
      <c r="Q229" s="371">
        <v>0.95</v>
      </c>
      <c r="R229" s="371">
        <v>1</v>
      </c>
      <c r="S229" s="371">
        <v>1</v>
      </c>
      <c r="T229" s="371">
        <v>1</v>
      </c>
      <c r="U229" s="371">
        <v>1</v>
      </c>
      <c r="V229" s="371">
        <v>1</v>
      </c>
      <c r="W229" s="371">
        <v>1</v>
      </c>
      <c r="X229" s="371">
        <v>2</v>
      </c>
      <c r="Y229" s="381">
        <v>1000</v>
      </c>
    </row>
    <row r="230" spans="1:26" x14ac:dyDescent="0.2">
      <c r="A230" s="378" t="s">
        <v>34</v>
      </c>
      <c r="B230" s="372">
        <v>0</v>
      </c>
      <c r="C230" s="376">
        <v>55</v>
      </c>
      <c r="D230" s="376">
        <v>168</v>
      </c>
      <c r="E230" s="376">
        <v>157</v>
      </c>
      <c r="F230" s="376">
        <v>148</v>
      </c>
      <c r="G230" s="376">
        <v>125</v>
      </c>
      <c r="H230" s="376">
        <v>135</v>
      </c>
      <c r="I230" s="376">
        <v>141</v>
      </c>
      <c r="J230" s="376">
        <v>142</v>
      </c>
      <c r="K230" s="376">
        <v>141</v>
      </c>
      <c r="L230" s="376">
        <v>133</v>
      </c>
      <c r="M230" s="376">
        <v>127</v>
      </c>
      <c r="N230" s="376">
        <v>128</v>
      </c>
      <c r="O230" s="376">
        <v>60</v>
      </c>
      <c r="P230" s="376">
        <v>15</v>
      </c>
      <c r="Q230" s="376">
        <v>0</v>
      </c>
      <c r="R230" s="376">
        <v>0</v>
      </c>
      <c r="S230" s="376">
        <v>0</v>
      </c>
      <c r="T230" s="376">
        <v>0</v>
      </c>
      <c r="U230" s="376">
        <v>0</v>
      </c>
      <c r="V230" s="376">
        <v>0</v>
      </c>
      <c r="W230" s="376">
        <v>0</v>
      </c>
      <c r="X230" s="373">
        <v>0</v>
      </c>
      <c r="Y230" s="382">
        <v>0</v>
      </c>
    </row>
    <row r="231" spans="1:26" ht="13.5" thickBot="1" x14ac:dyDescent="0.25">
      <c r="A231" s="379" t="s">
        <v>117</v>
      </c>
      <c r="B231" s="374">
        <f t="shared" ref="B231:X231" si="78">(C230+B230)*(C229-B229)/2</f>
        <v>0.27500000000000002</v>
      </c>
      <c r="C231" s="375">
        <f t="shared" si="78"/>
        <v>1.115</v>
      </c>
      <c r="D231" s="375">
        <f t="shared" si="78"/>
        <v>1.6249999999999998</v>
      </c>
      <c r="E231" s="375">
        <f t="shared" si="78"/>
        <v>1.5250000000000004</v>
      </c>
      <c r="F231" s="375">
        <f t="shared" si="78"/>
        <v>1.3650000000000002</v>
      </c>
      <c r="G231" s="375">
        <f t="shared" si="78"/>
        <v>6.5</v>
      </c>
      <c r="H231" s="375">
        <f t="shared" si="78"/>
        <v>13.8</v>
      </c>
      <c r="I231" s="375">
        <f t="shared" si="78"/>
        <v>14.149999999999997</v>
      </c>
      <c r="J231" s="375">
        <f t="shared" si="78"/>
        <v>14.150000000000004</v>
      </c>
      <c r="K231" s="375">
        <f t="shared" si="78"/>
        <v>27.399999999999995</v>
      </c>
      <c r="L231" s="375">
        <f t="shared" si="78"/>
        <v>19.500000000000004</v>
      </c>
      <c r="M231" s="375">
        <f t="shared" si="78"/>
        <v>7.6500000000000066</v>
      </c>
      <c r="N231" s="375">
        <f t="shared" si="78"/>
        <v>4.699999999999994</v>
      </c>
      <c r="O231" s="375">
        <f t="shared" si="78"/>
        <v>1.5000000000000013</v>
      </c>
      <c r="P231" s="375">
        <f t="shared" si="78"/>
        <v>0.3749999999999995</v>
      </c>
      <c r="Q231" s="375">
        <f t="shared" si="78"/>
        <v>0</v>
      </c>
      <c r="R231" s="375">
        <f t="shared" si="78"/>
        <v>0</v>
      </c>
      <c r="S231" s="375">
        <f t="shared" si="78"/>
        <v>0</v>
      </c>
      <c r="T231" s="375">
        <f t="shared" si="78"/>
        <v>0</v>
      </c>
      <c r="U231" s="375">
        <f t="shared" si="78"/>
        <v>0</v>
      </c>
      <c r="V231" s="375">
        <f t="shared" si="78"/>
        <v>0</v>
      </c>
      <c r="W231" s="375">
        <f t="shared" si="78"/>
        <v>0</v>
      </c>
      <c r="X231" s="375">
        <f t="shared" si="78"/>
        <v>0</v>
      </c>
      <c r="Y231" s="369"/>
    </row>
    <row r="232" spans="1:26" ht="13.5" thickBot="1" x14ac:dyDescent="0.25">
      <c r="A232" s="6" t="s">
        <v>386</v>
      </c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6" ht="13.5" thickBot="1" x14ac:dyDescent="0.25">
      <c r="A233" s="361" t="s">
        <v>387</v>
      </c>
      <c r="B233" s="359">
        <f>ROW(A233)</f>
        <v>233</v>
      </c>
      <c r="C233" s="363" t="s">
        <v>116</v>
      </c>
      <c r="D233" s="353">
        <f>SUM(B236:Y236)</f>
        <v>115.63</v>
      </c>
      <c r="E233" s="363" t="s">
        <v>115</v>
      </c>
      <c r="F233" s="354">
        <f>D233/g/J233</f>
        <v>125.39310733728064</v>
      </c>
      <c r="G233" s="363" t="s">
        <v>57</v>
      </c>
      <c r="H233" s="64">
        <v>0.2</v>
      </c>
      <c r="I233" s="363" t="s">
        <v>270</v>
      </c>
      <c r="J233" s="355">
        <f>H233-L233</f>
        <v>9.4000000000000014E-2</v>
      </c>
      <c r="K233" s="363" t="s">
        <v>271</v>
      </c>
      <c r="L233" s="64">
        <v>0.106</v>
      </c>
      <c r="M233" s="363" t="s">
        <v>58</v>
      </c>
      <c r="N233" s="65">
        <v>93</v>
      </c>
      <c r="O233" s="363" t="s">
        <v>60</v>
      </c>
      <c r="P233" s="65">
        <v>93</v>
      </c>
      <c r="Q233" s="363" t="s">
        <v>61</v>
      </c>
      <c r="R233" s="65">
        <v>187</v>
      </c>
      <c r="S233" s="363" t="s">
        <v>62</v>
      </c>
      <c r="T233" s="65">
        <v>29</v>
      </c>
      <c r="U233" s="363" t="s">
        <v>55</v>
      </c>
      <c r="V233" s="66" t="s">
        <v>120</v>
      </c>
      <c r="W233" s="463" t="s">
        <v>394</v>
      </c>
      <c r="X233" s="465">
        <v>0.96</v>
      </c>
      <c r="Y233" s="463" t="s">
        <v>393</v>
      </c>
      <c r="Z233" s="358">
        <v>14</v>
      </c>
    </row>
    <row r="234" spans="1:26" x14ac:dyDescent="0.2">
      <c r="A234" s="362" t="s">
        <v>33</v>
      </c>
      <c r="B234" s="370">
        <v>0</v>
      </c>
      <c r="C234" s="371">
        <v>0.01</v>
      </c>
      <c r="D234" s="371">
        <v>0.02</v>
      </c>
      <c r="E234" s="371">
        <v>0.03</v>
      </c>
      <c r="F234" s="371">
        <v>0.04</v>
      </c>
      <c r="G234" s="371">
        <v>0.05</v>
      </c>
      <c r="H234" s="371">
        <v>0.1</v>
      </c>
      <c r="I234" s="371">
        <v>0.2</v>
      </c>
      <c r="J234" s="371">
        <v>0.3</v>
      </c>
      <c r="K234" s="371">
        <v>0.4</v>
      </c>
      <c r="L234" s="371">
        <v>0.6</v>
      </c>
      <c r="M234" s="371">
        <v>0.75</v>
      </c>
      <c r="N234" s="371">
        <v>0.81</v>
      </c>
      <c r="O234" s="371">
        <v>0.86</v>
      </c>
      <c r="P234" s="371">
        <v>0.9</v>
      </c>
      <c r="Q234" s="371">
        <v>0.95</v>
      </c>
      <c r="R234" s="371">
        <v>1</v>
      </c>
      <c r="S234" s="371">
        <f t="shared" ref="S234:X235" si="79">R234</f>
        <v>1</v>
      </c>
      <c r="T234" s="371">
        <f t="shared" si="79"/>
        <v>1</v>
      </c>
      <c r="U234" s="371">
        <f t="shared" si="79"/>
        <v>1</v>
      </c>
      <c r="V234" s="371">
        <f t="shared" si="79"/>
        <v>1</v>
      </c>
      <c r="W234" s="371">
        <f t="shared" si="79"/>
        <v>1</v>
      </c>
      <c r="X234" s="371">
        <v>2</v>
      </c>
      <c r="Y234" s="381">
        <v>1000</v>
      </c>
    </row>
    <row r="235" spans="1:26" x14ac:dyDescent="0.2">
      <c r="A235" s="378" t="s">
        <v>34</v>
      </c>
      <c r="B235" s="372">
        <v>0</v>
      </c>
      <c r="C235" s="373">
        <v>55</v>
      </c>
      <c r="D235" s="373">
        <v>168</v>
      </c>
      <c r="E235" s="373">
        <v>157</v>
      </c>
      <c r="F235" s="373">
        <v>148</v>
      </c>
      <c r="G235" s="373">
        <v>125</v>
      </c>
      <c r="H235" s="373">
        <v>135</v>
      </c>
      <c r="I235" s="373">
        <v>141</v>
      </c>
      <c r="J235" s="373">
        <v>142</v>
      </c>
      <c r="K235" s="373">
        <v>141</v>
      </c>
      <c r="L235" s="373">
        <v>133</v>
      </c>
      <c r="M235" s="373">
        <v>127</v>
      </c>
      <c r="N235" s="373">
        <v>128</v>
      </c>
      <c r="O235" s="373">
        <v>60</v>
      </c>
      <c r="P235" s="373">
        <v>15</v>
      </c>
      <c r="Q235" s="373">
        <v>0</v>
      </c>
      <c r="R235" s="373">
        <v>0</v>
      </c>
      <c r="S235" s="373">
        <f t="shared" si="79"/>
        <v>0</v>
      </c>
      <c r="T235" s="373">
        <f t="shared" si="79"/>
        <v>0</v>
      </c>
      <c r="U235" s="373">
        <f t="shared" si="79"/>
        <v>0</v>
      </c>
      <c r="V235" s="373">
        <f t="shared" si="79"/>
        <v>0</v>
      </c>
      <c r="W235" s="373">
        <f t="shared" si="79"/>
        <v>0</v>
      </c>
      <c r="X235" s="373">
        <f t="shared" si="79"/>
        <v>0</v>
      </c>
      <c r="Y235" s="382">
        <v>0</v>
      </c>
    </row>
    <row r="236" spans="1:26" ht="13.5" thickBot="1" x14ac:dyDescent="0.25">
      <c r="A236" s="379" t="s">
        <v>117</v>
      </c>
      <c r="B236" s="374">
        <f t="shared" ref="B236:X236" si="80">(C235+B235)*(C234-B234)/2</f>
        <v>0.27500000000000002</v>
      </c>
      <c r="C236" s="375">
        <f t="shared" si="80"/>
        <v>1.115</v>
      </c>
      <c r="D236" s="375">
        <f t="shared" si="80"/>
        <v>1.6249999999999998</v>
      </c>
      <c r="E236" s="375">
        <f t="shared" si="80"/>
        <v>1.5250000000000004</v>
      </c>
      <c r="F236" s="375">
        <f t="shared" si="80"/>
        <v>1.3650000000000002</v>
      </c>
      <c r="G236" s="375">
        <f t="shared" si="80"/>
        <v>6.5</v>
      </c>
      <c r="H236" s="375">
        <f t="shared" si="80"/>
        <v>13.8</v>
      </c>
      <c r="I236" s="375">
        <f t="shared" si="80"/>
        <v>14.149999999999997</v>
      </c>
      <c r="J236" s="375">
        <f t="shared" si="80"/>
        <v>14.150000000000004</v>
      </c>
      <c r="K236" s="375">
        <f t="shared" si="80"/>
        <v>27.399999999999995</v>
      </c>
      <c r="L236" s="375">
        <f t="shared" si="80"/>
        <v>19.500000000000004</v>
      </c>
      <c r="M236" s="375">
        <f t="shared" si="80"/>
        <v>7.6500000000000066</v>
      </c>
      <c r="N236" s="375">
        <f t="shared" si="80"/>
        <v>4.699999999999994</v>
      </c>
      <c r="O236" s="375">
        <f t="shared" si="80"/>
        <v>1.5000000000000013</v>
      </c>
      <c r="P236" s="375">
        <f t="shared" si="80"/>
        <v>0.3749999999999995</v>
      </c>
      <c r="Q236" s="375">
        <f t="shared" si="80"/>
        <v>0</v>
      </c>
      <c r="R236" s="375">
        <f t="shared" si="80"/>
        <v>0</v>
      </c>
      <c r="S236" s="375">
        <f t="shared" si="80"/>
        <v>0</v>
      </c>
      <c r="T236" s="375">
        <f t="shared" si="80"/>
        <v>0</v>
      </c>
      <c r="U236" s="375">
        <f t="shared" si="80"/>
        <v>0</v>
      </c>
      <c r="V236" s="375">
        <f t="shared" si="80"/>
        <v>0</v>
      </c>
      <c r="W236" s="375">
        <f t="shared" si="80"/>
        <v>0</v>
      </c>
      <c r="X236" s="375">
        <f t="shared" si="80"/>
        <v>0</v>
      </c>
      <c r="Y236" s="369"/>
    </row>
    <row r="237" spans="1:26" ht="13.5" thickBot="1" x14ac:dyDescent="0.25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6" ht="13.5" thickBot="1" x14ac:dyDescent="0.25">
      <c r="A238" s="361" t="s">
        <v>392</v>
      </c>
      <c r="B238" s="359">
        <f>ROW(A238)</f>
        <v>238</v>
      </c>
      <c r="C238" s="363" t="s">
        <v>116</v>
      </c>
      <c r="D238" s="353">
        <f>SUM(B241:Y241)</f>
        <v>158.04815100000002</v>
      </c>
      <c r="E238" s="363" t="s">
        <v>115</v>
      </c>
      <c r="F238" s="354">
        <v>198</v>
      </c>
      <c r="G238" s="363" t="s">
        <v>57</v>
      </c>
      <c r="H238" s="64">
        <v>0.19450000000000001</v>
      </c>
      <c r="I238" s="363" t="s">
        <v>270</v>
      </c>
      <c r="J238" s="355">
        <f>H238-L238</f>
        <v>8.9600000000000013E-2</v>
      </c>
      <c r="K238" s="363" t="s">
        <v>271</v>
      </c>
      <c r="L238" s="64">
        <v>0.10489999999999999</v>
      </c>
      <c r="M238" s="363" t="s">
        <v>58</v>
      </c>
      <c r="N238" s="65">
        <v>93</v>
      </c>
      <c r="O238" s="363" t="s">
        <v>60</v>
      </c>
      <c r="P238" s="65">
        <v>93</v>
      </c>
      <c r="Q238" s="363" t="s">
        <v>61</v>
      </c>
      <c r="R238" s="65">
        <v>187</v>
      </c>
      <c r="S238" s="363" t="s">
        <v>62</v>
      </c>
      <c r="T238" s="65">
        <v>29</v>
      </c>
      <c r="U238" s="363" t="s">
        <v>55</v>
      </c>
      <c r="V238" s="66" t="s">
        <v>120</v>
      </c>
      <c r="W238" s="463" t="s">
        <v>394</v>
      </c>
      <c r="X238" s="465">
        <v>1.27</v>
      </c>
      <c r="Y238" s="463" t="s">
        <v>393</v>
      </c>
      <c r="Z238" s="358">
        <v>14</v>
      </c>
    </row>
    <row r="239" spans="1:26" x14ac:dyDescent="0.2">
      <c r="A239" s="362" t="s">
        <v>33</v>
      </c>
      <c r="B239" s="472">
        <v>0</v>
      </c>
      <c r="C239" s="472">
        <v>4.0000000000000001E-3</v>
      </c>
      <c r="D239" s="472">
        <v>2.1999999999999999E-2</v>
      </c>
      <c r="E239" s="472">
        <v>3.9E-2</v>
      </c>
      <c r="F239" s="472">
        <v>0.122</v>
      </c>
      <c r="G239" s="472">
        <v>0.23599999999999999</v>
      </c>
      <c r="H239" s="472">
        <v>0.58899999999999997</v>
      </c>
      <c r="I239" s="472">
        <v>0.80100000000000005</v>
      </c>
      <c r="J239" s="472">
        <v>1.0680000000000001</v>
      </c>
      <c r="K239" s="472">
        <v>1.1180000000000001</v>
      </c>
      <c r="L239" s="472">
        <v>1.145</v>
      </c>
      <c r="M239" s="472">
        <v>1.1739999999999999</v>
      </c>
      <c r="N239" s="472">
        <v>1.2110000000000001</v>
      </c>
      <c r="O239" s="472">
        <v>1.2470000000000001</v>
      </c>
      <c r="P239" s="472">
        <v>1.2989999999999999</v>
      </c>
      <c r="Q239" s="371">
        <v>2</v>
      </c>
      <c r="R239" s="371">
        <v>2</v>
      </c>
      <c r="S239" s="371">
        <f t="shared" ref="S239:X240" si="81">R239</f>
        <v>2</v>
      </c>
      <c r="T239" s="371">
        <f t="shared" si="81"/>
        <v>2</v>
      </c>
      <c r="U239" s="371">
        <f t="shared" si="81"/>
        <v>2</v>
      </c>
      <c r="V239" s="371">
        <f t="shared" si="81"/>
        <v>2</v>
      </c>
      <c r="W239" s="371">
        <f t="shared" si="81"/>
        <v>2</v>
      </c>
      <c r="X239" s="371">
        <f t="shared" si="81"/>
        <v>2</v>
      </c>
      <c r="Y239" s="381">
        <v>1000</v>
      </c>
    </row>
    <row r="240" spans="1:26" x14ac:dyDescent="0.2">
      <c r="A240" s="378" t="s">
        <v>34</v>
      </c>
      <c r="B240" s="472">
        <v>0</v>
      </c>
      <c r="C240" s="472">
        <v>15.683</v>
      </c>
      <c r="D240" s="472">
        <v>170.834</v>
      </c>
      <c r="E240" s="472">
        <v>116.877</v>
      </c>
      <c r="F240" s="472">
        <v>142.642</v>
      </c>
      <c r="G240" s="472">
        <v>149.73699999999999</v>
      </c>
      <c r="H240" s="472">
        <v>142.642</v>
      </c>
      <c r="I240" s="472">
        <v>131.25299999999999</v>
      </c>
      <c r="J240" s="472">
        <v>122.104</v>
      </c>
      <c r="K240" s="472">
        <v>107.91500000000001</v>
      </c>
      <c r="L240" s="472">
        <v>78.415999999999997</v>
      </c>
      <c r="M240" s="472">
        <v>43.128999999999998</v>
      </c>
      <c r="N240" s="472">
        <v>21.471</v>
      </c>
      <c r="O240" s="472">
        <v>8.7750000000000004</v>
      </c>
      <c r="P240" s="472">
        <v>0</v>
      </c>
      <c r="Q240" s="373">
        <v>0</v>
      </c>
      <c r="R240" s="373">
        <v>0</v>
      </c>
      <c r="S240" s="373">
        <f t="shared" si="81"/>
        <v>0</v>
      </c>
      <c r="T240" s="373">
        <f t="shared" si="81"/>
        <v>0</v>
      </c>
      <c r="U240" s="373">
        <f t="shared" si="81"/>
        <v>0</v>
      </c>
      <c r="V240" s="373">
        <f t="shared" si="81"/>
        <v>0</v>
      </c>
      <c r="W240" s="373">
        <f t="shared" si="81"/>
        <v>0</v>
      </c>
      <c r="X240" s="373">
        <f t="shared" si="81"/>
        <v>0</v>
      </c>
      <c r="Y240" s="382">
        <v>0</v>
      </c>
    </row>
    <row r="241" spans="1:26" ht="13.5" thickBot="1" x14ac:dyDescent="0.25">
      <c r="A241" s="379" t="s">
        <v>117</v>
      </c>
      <c r="B241" s="374">
        <f t="shared" ref="B241:X241" si="82">(C240+B240)*(C239-B239)/2</f>
        <v>3.1365999999999998E-2</v>
      </c>
      <c r="C241" s="375">
        <f t="shared" si="82"/>
        <v>1.6786529999999997</v>
      </c>
      <c r="D241" s="375">
        <f t="shared" si="82"/>
        <v>2.4455435000000003</v>
      </c>
      <c r="E241" s="375">
        <f t="shared" si="82"/>
        <v>10.770038499999998</v>
      </c>
      <c r="F241" s="375">
        <f t="shared" si="82"/>
        <v>16.665603000000001</v>
      </c>
      <c r="G241" s="375">
        <f t="shared" si="82"/>
        <v>51.604893500000003</v>
      </c>
      <c r="H241" s="375">
        <f t="shared" si="82"/>
        <v>29.03287000000001</v>
      </c>
      <c r="I241" s="375">
        <f t="shared" si="82"/>
        <v>33.823159499999996</v>
      </c>
      <c r="J241" s="375">
        <f t="shared" si="82"/>
        <v>5.7504750000000051</v>
      </c>
      <c r="K241" s="375">
        <f t="shared" si="82"/>
        <v>2.5154684999999923</v>
      </c>
      <c r="L241" s="375">
        <f t="shared" si="82"/>
        <v>1.7624024999999945</v>
      </c>
      <c r="M241" s="375">
        <f t="shared" si="82"/>
        <v>1.1951000000000045</v>
      </c>
      <c r="N241" s="375">
        <f t="shared" si="82"/>
        <v>0.54442800000000058</v>
      </c>
      <c r="O241" s="375">
        <f t="shared" si="82"/>
        <v>0.22814999999999924</v>
      </c>
      <c r="P241" s="375">
        <f t="shared" si="82"/>
        <v>0</v>
      </c>
      <c r="Q241" s="375">
        <f t="shared" si="82"/>
        <v>0</v>
      </c>
      <c r="R241" s="375">
        <f t="shared" si="82"/>
        <v>0</v>
      </c>
      <c r="S241" s="375">
        <f t="shared" si="82"/>
        <v>0</v>
      </c>
      <c r="T241" s="375">
        <f t="shared" si="82"/>
        <v>0</v>
      </c>
      <c r="U241" s="375">
        <f t="shared" si="82"/>
        <v>0</v>
      </c>
      <c r="V241" s="375">
        <f t="shared" si="82"/>
        <v>0</v>
      </c>
      <c r="W241" s="375">
        <f t="shared" si="82"/>
        <v>0</v>
      </c>
      <c r="X241" s="375">
        <f t="shared" si="82"/>
        <v>0</v>
      </c>
      <c r="Y241" s="369"/>
    </row>
    <row r="242" spans="1:26" ht="13.5" thickBot="1" x14ac:dyDescent="0.25">
      <c r="A242" s="6" t="s">
        <v>374</v>
      </c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6" ht="13.5" thickBot="1" x14ac:dyDescent="0.25">
      <c r="A243" s="361" t="s">
        <v>379</v>
      </c>
      <c r="B243" s="359">
        <f>ROW(A243)</f>
        <v>243</v>
      </c>
      <c r="C243" s="363" t="s">
        <v>116</v>
      </c>
      <c r="D243" s="353">
        <f>SUM(B246:Y246)</f>
        <v>136.75235000000001</v>
      </c>
      <c r="E243" s="363" t="s">
        <v>115</v>
      </c>
      <c r="F243" s="354">
        <f>D243/g/J243</f>
        <v>152.35078513616639</v>
      </c>
      <c r="G243" s="363" t="s">
        <v>57</v>
      </c>
      <c r="H243" s="64">
        <v>0.21249999999999999</v>
      </c>
      <c r="I243" s="363" t="s">
        <v>270</v>
      </c>
      <c r="J243" s="355">
        <f>H243-L243</f>
        <v>9.1499999999999998E-2</v>
      </c>
      <c r="K243" s="363" t="s">
        <v>271</v>
      </c>
      <c r="L243" s="64">
        <v>0.121</v>
      </c>
      <c r="M243" s="363" t="s">
        <v>58</v>
      </c>
      <c r="N243" s="65">
        <v>63</v>
      </c>
      <c r="O243" s="363" t="s">
        <v>60</v>
      </c>
      <c r="P243" s="65">
        <v>114</v>
      </c>
      <c r="Q243" s="363" t="s">
        <v>61</v>
      </c>
      <c r="R243" s="65">
        <v>127</v>
      </c>
      <c r="S243" s="363" t="s">
        <v>62</v>
      </c>
      <c r="T243" s="65">
        <v>38</v>
      </c>
      <c r="U243" s="363" t="s">
        <v>55</v>
      </c>
      <c r="V243" s="66" t="s">
        <v>120</v>
      </c>
      <c r="W243" s="463" t="s">
        <v>394</v>
      </c>
      <c r="X243" s="465">
        <v>2.36</v>
      </c>
      <c r="Y243" s="463" t="s">
        <v>393</v>
      </c>
      <c r="Z243" s="358">
        <v>13</v>
      </c>
    </row>
    <row r="244" spans="1:26" x14ac:dyDescent="0.2">
      <c r="A244" s="362" t="s">
        <v>33</v>
      </c>
      <c r="B244" s="370">
        <v>0</v>
      </c>
      <c r="C244" s="371">
        <v>2.9000000000000001E-2</v>
      </c>
      <c r="D244" s="371">
        <v>4.5999999999999999E-2</v>
      </c>
      <c r="E244" s="371">
        <v>5.8000000000000003E-2</v>
      </c>
      <c r="F244" s="371">
        <v>8.4000000000000005E-2</v>
      </c>
      <c r="G244" s="371">
        <v>0.17100000000000001</v>
      </c>
      <c r="H244" s="371">
        <v>0.28000000000000003</v>
      </c>
      <c r="I244" s="371">
        <v>0.45500000000000002</v>
      </c>
      <c r="J244" s="371">
        <v>0.58599999999999997</v>
      </c>
      <c r="K244" s="371">
        <v>0.74099999999999999</v>
      </c>
      <c r="L244" s="371">
        <v>0.95199999999999996</v>
      </c>
      <c r="M244" s="371">
        <v>1.2170000000000001</v>
      </c>
      <c r="N244" s="371">
        <v>1.43</v>
      </c>
      <c r="O244" s="371">
        <v>1.6259999999999999</v>
      </c>
      <c r="P244" s="371">
        <v>1.8069999999999999</v>
      </c>
      <c r="Q244" s="371">
        <v>1.9590000000000001</v>
      </c>
      <c r="R244" s="371">
        <v>2.1040000000000001</v>
      </c>
      <c r="S244" s="371">
        <v>2.1680000000000001</v>
      </c>
      <c r="T244" s="371">
        <v>2.21</v>
      </c>
      <c r="U244" s="371">
        <v>2.2469999999999999</v>
      </c>
      <c r="V244" s="371">
        <v>2.3290000000000002</v>
      </c>
      <c r="W244" s="371">
        <f>2.4</f>
        <v>2.4</v>
      </c>
      <c r="X244" s="371">
        <f>W244</f>
        <v>2.4</v>
      </c>
      <c r="Y244" s="381">
        <v>1000</v>
      </c>
    </row>
    <row r="245" spans="1:26" x14ac:dyDescent="0.2">
      <c r="A245" s="378" t="s">
        <v>34</v>
      </c>
      <c r="B245" s="372">
        <v>0</v>
      </c>
      <c r="C245" s="373">
        <v>90.25</v>
      </c>
      <c r="D245" s="373">
        <v>69.17</v>
      </c>
      <c r="E245" s="373">
        <v>59.947000000000003</v>
      </c>
      <c r="F245" s="373">
        <v>47.167000000000002</v>
      </c>
      <c r="G245" s="373">
        <v>57.970999999999997</v>
      </c>
      <c r="H245" s="373">
        <v>59.552</v>
      </c>
      <c r="I245" s="373">
        <v>61.265000000000001</v>
      </c>
      <c r="J245" s="373">
        <v>61.66</v>
      </c>
      <c r="K245" s="373">
        <v>62.319000000000003</v>
      </c>
      <c r="L245" s="373">
        <v>63.768000000000001</v>
      </c>
      <c r="M245" s="373">
        <v>64.69</v>
      </c>
      <c r="N245" s="373">
        <v>63.768000000000001</v>
      </c>
      <c r="O245" s="373">
        <v>61.265000000000001</v>
      </c>
      <c r="P245" s="373">
        <v>58.103000000000002</v>
      </c>
      <c r="Q245" s="373">
        <v>53.887</v>
      </c>
      <c r="R245" s="373">
        <v>48.353000000000002</v>
      </c>
      <c r="S245" s="373">
        <v>47.563000000000002</v>
      </c>
      <c r="T245" s="373">
        <v>44.005000000000003</v>
      </c>
      <c r="U245" s="373">
        <v>37.286000000000001</v>
      </c>
      <c r="V245" s="373">
        <v>22.265999999999998</v>
      </c>
      <c r="W245" s="373">
        <v>0</v>
      </c>
      <c r="X245" s="373">
        <f>W245</f>
        <v>0</v>
      </c>
      <c r="Y245" s="382">
        <v>0</v>
      </c>
    </row>
    <row r="246" spans="1:26" ht="13.5" thickBot="1" x14ac:dyDescent="0.25">
      <c r="A246" s="379" t="s">
        <v>117</v>
      </c>
      <c r="B246" s="374">
        <f t="shared" ref="B246:X246" si="83">(C245+B245)*(C244-B244)/2</f>
        <v>1.3086250000000001</v>
      </c>
      <c r="C246" s="375">
        <f t="shared" si="83"/>
        <v>1.35507</v>
      </c>
      <c r="D246" s="375">
        <f t="shared" si="83"/>
        <v>0.77470200000000033</v>
      </c>
      <c r="E246" s="375">
        <f t="shared" si="83"/>
        <v>1.3924820000000002</v>
      </c>
      <c r="F246" s="375">
        <f t="shared" si="83"/>
        <v>4.5735030000000005</v>
      </c>
      <c r="G246" s="375">
        <f t="shared" si="83"/>
        <v>6.4050035000000003</v>
      </c>
      <c r="H246" s="375">
        <f t="shared" si="83"/>
        <v>10.5714875</v>
      </c>
      <c r="I246" s="375">
        <f t="shared" si="83"/>
        <v>8.0515874999999966</v>
      </c>
      <c r="J246" s="375">
        <f t="shared" si="83"/>
        <v>9.6083725000000015</v>
      </c>
      <c r="K246" s="375">
        <f t="shared" si="83"/>
        <v>13.302178499999998</v>
      </c>
      <c r="L246" s="375">
        <f t="shared" si="83"/>
        <v>17.020685000000007</v>
      </c>
      <c r="M246" s="375">
        <f t="shared" si="83"/>
        <v>13.68077699999999</v>
      </c>
      <c r="N246" s="375">
        <f t="shared" si="83"/>
        <v>12.253233999999997</v>
      </c>
      <c r="O246" s="375">
        <f t="shared" si="83"/>
        <v>10.802804000000002</v>
      </c>
      <c r="P246" s="375">
        <f t="shared" si="83"/>
        <v>8.5112400000000079</v>
      </c>
      <c r="Q246" s="375">
        <f t="shared" si="83"/>
        <v>7.4124000000000017</v>
      </c>
      <c r="R246" s="375">
        <f t="shared" si="83"/>
        <v>3.0693120000000027</v>
      </c>
      <c r="S246" s="375">
        <f t="shared" si="83"/>
        <v>1.9229279999999918</v>
      </c>
      <c r="T246" s="375">
        <f t="shared" si="83"/>
        <v>1.5038834999999968</v>
      </c>
      <c r="U246" s="375">
        <f t="shared" si="83"/>
        <v>2.4416320000000087</v>
      </c>
      <c r="V246" s="375">
        <f t="shared" si="83"/>
        <v>0.7904429999999969</v>
      </c>
      <c r="W246" s="375">
        <f t="shared" si="83"/>
        <v>0</v>
      </c>
      <c r="X246" s="375">
        <f t="shared" si="83"/>
        <v>0</v>
      </c>
      <c r="Y246" s="369"/>
    </row>
    <row r="247" spans="1:26" ht="13.5" thickBot="1" x14ac:dyDescent="0.25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6" ht="13.5" thickBot="1" x14ac:dyDescent="0.25">
      <c r="A248" s="361" t="s">
        <v>380</v>
      </c>
      <c r="B248" s="359">
        <f>ROW(A248)</f>
        <v>248</v>
      </c>
      <c r="C248" s="363" t="s">
        <v>116</v>
      </c>
      <c r="D248" s="353">
        <f>SUM(B251:Y251)</f>
        <v>127.06944999999999</v>
      </c>
      <c r="E248" s="363" t="s">
        <v>115</v>
      </c>
      <c r="F248" s="354">
        <f>D248/g/J248</f>
        <v>180.65624835614466</v>
      </c>
      <c r="G248" s="363" t="s">
        <v>57</v>
      </c>
      <c r="H248" s="64">
        <v>0.18840000000000001</v>
      </c>
      <c r="I248" s="363" t="s">
        <v>270</v>
      </c>
      <c r="J248" s="355">
        <f>H248-L248</f>
        <v>7.1700000000000014E-2</v>
      </c>
      <c r="K248" s="363" t="s">
        <v>271</v>
      </c>
      <c r="L248" s="64">
        <v>0.1167</v>
      </c>
      <c r="M248" s="363" t="s">
        <v>58</v>
      </c>
      <c r="N248" s="65">
        <v>63</v>
      </c>
      <c r="O248" s="363" t="s">
        <v>60</v>
      </c>
      <c r="P248" s="65">
        <v>114</v>
      </c>
      <c r="Q248" s="363" t="s">
        <v>61</v>
      </c>
      <c r="R248" s="65">
        <v>127</v>
      </c>
      <c r="S248" s="363" t="s">
        <v>62</v>
      </c>
      <c r="T248" s="65">
        <v>38</v>
      </c>
      <c r="U248" s="363" t="s">
        <v>55</v>
      </c>
      <c r="V248" s="66" t="s">
        <v>120</v>
      </c>
      <c r="W248" s="463" t="s">
        <v>394</v>
      </c>
      <c r="X248" s="465">
        <v>0.69</v>
      </c>
      <c r="Y248" s="463" t="s">
        <v>393</v>
      </c>
      <c r="Z248" s="358">
        <v>12</v>
      </c>
    </row>
    <row r="249" spans="1:26" x14ac:dyDescent="0.2">
      <c r="A249" s="362" t="s">
        <v>33</v>
      </c>
      <c r="B249" s="370">
        <v>0</v>
      </c>
      <c r="C249" s="371">
        <v>0.01</v>
      </c>
      <c r="D249" s="371">
        <v>0.02</v>
      </c>
      <c r="E249" s="371">
        <v>0.05</v>
      </c>
      <c r="F249" s="371">
        <v>0.1</v>
      </c>
      <c r="G249" s="371">
        <v>0.2</v>
      </c>
      <c r="H249" s="371">
        <v>0.3</v>
      </c>
      <c r="I249" s="371">
        <v>0.35</v>
      </c>
      <c r="J249" s="371">
        <v>0.4</v>
      </c>
      <c r="K249" s="371">
        <v>0.45</v>
      </c>
      <c r="L249" s="371">
        <v>0.5</v>
      </c>
      <c r="M249" s="371">
        <v>0.55000000000000004</v>
      </c>
      <c r="N249" s="371">
        <v>0.6</v>
      </c>
      <c r="O249" s="371">
        <v>0.61</v>
      </c>
      <c r="P249" s="371">
        <v>0.63</v>
      </c>
      <c r="Q249" s="371">
        <v>0.64</v>
      </c>
      <c r="R249" s="371">
        <v>0.65</v>
      </c>
      <c r="S249" s="371">
        <v>0.67</v>
      </c>
      <c r="T249" s="371">
        <v>0.68</v>
      </c>
      <c r="U249" s="371">
        <v>0.69</v>
      </c>
      <c r="V249" s="371">
        <f t="shared" ref="V249:X250" si="84">U249</f>
        <v>0.69</v>
      </c>
      <c r="W249" s="371">
        <f t="shared" si="84"/>
        <v>0.69</v>
      </c>
      <c r="X249" s="371">
        <v>2</v>
      </c>
      <c r="Y249" s="381">
        <v>1000</v>
      </c>
    </row>
    <row r="250" spans="1:26" x14ac:dyDescent="0.2">
      <c r="A250" s="378" t="s">
        <v>34</v>
      </c>
      <c r="B250" s="372">
        <v>0</v>
      </c>
      <c r="C250" s="373">
        <v>108.72</v>
      </c>
      <c r="D250" s="373">
        <v>131.19</v>
      </c>
      <c r="E250" s="373">
        <v>153.13999999999999</v>
      </c>
      <c r="F250" s="373">
        <v>168.97</v>
      </c>
      <c r="G250" s="373">
        <v>189.92</v>
      </c>
      <c r="H250" s="373">
        <v>199.95</v>
      </c>
      <c r="I250" s="373">
        <v>203.59</v>
      </c>
      <c r="J250" s="373">
        <v>205.03</v>
      </c>
      <c r="K250" s="373">
        <v>202.6</v>
      </c>
      <c r="L250" s="373">
        <v>203.06</v>
      </c>
      <c r="M250" s="373">
        <v>199.34</v>
      </c>
      <c r="N250" s="373">
        <v>194.71</v>
      </c>
      <c r="O250" s="373">
        <v>194.1</v>
      </c>
      <c r="P250" s="373">
        <v>193.49</v>
      </c>
      <c r="Q250" s="373">
        <v>193.68</v>
      </c>
      <c r="R250" s="373">
        <v>202.91</v>
      </c>
      <c r="S250" s="373">
        <v>163.38999999999999</v>
      </c>
      <c r="T250" s="373">
        <v>80.44</v>
      </c>
      <c r="U250" s="373">
        <v>0</v>
      </c>
      <c r="V250" s="373">
        <f t="shared" si="84"/>
        <v>0</v>
      </c>
      <c r="W250" s="373">
        <f t="shared" si="84"/>
        <v>0</v>
      </c>
      <c r="X250" s="373">
        <f t="shared" si="84"/>
        <v>0</v>
      </c>
      <c r="Y250" s="382">
        <v>0</v>
      </c>
    </row>
    <row r="251" spans="1:26" ht="13.5" thickBot="1" x14ac:dyDescent="0.25">
      <c r="A251" s="379" t="s">
        <v>117</v>
      </c>
      <c r="B251" s="374">
        <f t="shared" ref="B251:X251" si="85">(C250+B250)*(C249-B249)/2</f>
        <v>0.54359999999999997</v>
      </c>
      <c r="C251" s="375">
        <f t="shared" si="85"/>
        <v>1.1995500000000001</v>
      </c>
      <c r="D251" s="375">
        <f t="shared" si="85"/>
        <v>4.2649499999999998</v>
      </c>
      <c r="E251" s="375">
        <f t="shared" si="85"/>
        <v>8.0527500000000014</v>
      </c>
      <c r="F251" s="375">
        <f t="shared" si="85"/>
        <v>17.944500000000001</v>
      </c>
      <c r="G251" s="375">
        <f t="shared" si="85"/>
        <v>19.493499999999997</v>
      </c>
      <c r="H251" s="375">
        <f t="shared" si="85"/>
        <v>10.088499999999996</v>
      </c>
      <c r="I251" s="375">
        <f t="shared" si="85"/>
        <v>10.215500000000009</v>
      </c>
      <c r="J251" s="375">
        <f t="shared" si="85"/>
        <v>10.190749999999998</v>
      </c>
      <c r="K251" s="375">
        <f t="shared" si="85"/>
        <v>10.141499999999997</v>
      </c>
      <c r="L251" s="375">
        <f t="shared" si="85"/>
        <v>10.060000000000008</v>
      </c>
      <c r="M251" s="375">
        <f t="shared" si="85"/>
        <v>9.8512499999999878</v>
      </c>
      <c r="N251" s="375">
        <f t="shared" si="85"/>
        <v>1.9440500000000018</v>
      </c>
      <c r="O251" s="375">
        <f t="shared" si="85"/>
        <v>3.8759000000000037</v>
      </c>
      <c r="P251" s="375">
        <f t="shared" si="85"/>
        <v>1.9358500000000018</v>
      </c>
      <c r="Q251" s="375">
        <f t="shared" si="85"/>
        <v>1.982950000000002</v>
      </c>
      <c r="R251" s="375">
        <f t="shared" si="85"/>
        <v>3.6630000000000029</v>
      </c>
      <c r="S251" s="375">
        <f t="shared" si="85"/>
        <v>1.2191500000000011</v>
      </c>
      <c r="T251" s="375">
        <f t="shared" si="85"/>
        <v>0.40219999999999589</v>
      </c>
      <c r="U251" s="375">
        <f t="shared" si="85"/>
        <v>0</v>
      </c>
      <c r="V251" s="375">
        <f t="shared" si="85"/>
        <v>0</v>
      </c>
      <c r="W251" s="375">
        <f t="shared" si="85"/>
        <v>0</v>
      </c>
      <c r="X251" s="375">
        <f t="shared" si="85"/>
        <v>0</v>
      </c>
      <c r="Y251" s="369"/>
    </row>
    <row r="252" spans="1:26" ht="13.5" thickBot="1" x14ac:dyDescent="0.25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6" ht="13.5" thickBot="1" x14ac:dyDescent="0.25">
      <c r="A253" s="361" t="s">
        <v>388</v>
      </c>
      <c r="B253" s="359">
        <f>ROW(A253)</f>
        <v>253</v>
      </c>
      <c r="C253" s="363" t="s">
        <v>116</v>
      </c>
      <c r="D253" s="353">
        <f>SUM(B256:Y256)</f>
        <v>142.7236025</v>
      </c>
      <c r="E253" s="363" t="s">
        <v>115</v>
      </c>
      <c r="F253" s="354">
        <v>208</v>
      </c>
      <c r="G253" s="363" t="s">
        <v>57</v>
      </c>
      <c r="H253" s="64">
        <v>0.19700000000000001</v>
      </c>
      <c r="I253" s="363" t="s">
        <v>270</v>
      </c>
      <c r="J253" s="355">
        <f>H253-L253</f>
        <v>7.0000000000000007E-2</v>
      </c>
      <c r="K253" s="363" t="s">
        <v>271</v>
      </c>
      <c r="L253" s="64">
        <v>0.127</v>
      </c>
      <c r="M253" s="363" t="s">
        <v>58</v>
      </c>
      <c r="N253" s="65">
        <v>63</v>
      </c>
      <c r="O253" s="363" t="s">
        <v>60</v>
      </c>
      <c r="P253" s="65">
        <v>114</v>
      </c>
      <c r="Q253" s="363" t="s">
        <v>61</v>
      </c>
      <c r="R253" s="65">
        <v>127</v>
      </c>
      <c r="S253" s="363" t="s">
        <v>62</v>
      </c>
      <c r="T253" s="65">
        <v>38</v>
      </c>
      <c r="U253" s="363" t="s">
        <v>55</v>
      </c>
      <c r="V253" s="66" t="s">
        <v>120</v>
      </c>
      <c r="W253" s="463" t="s">
        <v>394</v>
      </c>
      <c r="X253" s="465">
        <v>1.8</v>
      </c>
      <c r="Y253" s="463" t="s">
        <v>393</v>
      </c>
      <c r="Z253" s="358">
        <v>15</v>
      </c>
    </row>
    <row r="254" spans="1:26" x14ac:dyDescent="0.2">
      <c r="A254" s="362" t="s">
        <v>33</v>
      </c>
      <c r="B254" s="370">
        <v>0</v>
      </c>
      <c r="C254" s="370">
        <v>6.0000000000000001E-3</v>
      </c>
      <c r="D254" s="371">
        <v>1.7999999999999999E-2</v>
      </c>
      <c r="E254" s="371">
        <v>3.5999999999999997E-2</v>
      </c>
      <c r="F254" s="371">
        <v>4.7E-2</v>
      </c>
      <c r="G254" s="371">
        <v>8.4000000000000005E-2</v>
      </c>
      <c r="H254" s="371">
        <v>0.13500000000000001</v>
      </c>
      <c r="I254" s="371">
        <v>0.23799999999999999</v>
      </c>
      <c r="J254" s="371">
        <v>0.438</v>
      </c>
      <c r="K254" s="371">
        <v>0.63</v>
      </c>
      <c r="L254" s="371">
        <v>0.85899999999999999</v>
      </c>
      <c r="M254" s="371">
        <v>1.2829999999999999</v>
      </c>
      <c r="N254" s="371">
        <v>1.4470000000000001</v>
      </c>
      <c r="O254" s="371">
        <v>1.643</v>
      </c>
      <c r="P254" s="371">
        <v>1.7130000000000001</v>
      </c>
      <c r="Q254" s="371">
        <v>1.7430000000000001</v>
      </c>
      <c r="R254" s="371">
        <v>1.79</v>
      </c>
      <c r="S254" s="371">
        <v>1.8180000000000001</v>
      </c>
      <c r="T254" s="371">
        <v>1.8520000000000001</v>
      </c>
      <c r="U254" s="371">
        <v>2</v>
      </c>
      <c r="V254" s="371">
        <f t="shared" ref="V254:X255" si="86">U254</f>
        <v>2</v>
      </c>
      <c r="W254" s="371">
        <f t="shared" si="86"/>
        <v>2</v>
      </c>
      <c r="X254" s="371">
        <f t="shared" si="86"/>
        <v>2</v>
      </c>
      <c r="Y254" s="381">
        <v>1000</v>
      </c>
    </row>
    <row r="255" spans="1:26" x14ac:dyDescent="0.2">
      <c r="A255" s="378" t="s">
        <v>34</v>
      </c>
      <c r="B255" s="372">
        <v>0</v>
      </c>
      <c r="C255" s="372">
        <v>104.068</v>
      </c>
      <c r="D255" s="373">
        <v>137.928</v>
      </c>
      <c r="E255" s="373">
        <v>70.706999999999994</v>
      </c>
      <c r="F255" s="373">
        <v>62.241999999999997</v>
      </c>
      <c r="G255" s="373">
        <v>73.694000000000003</v>
      </c>
      <c r="H255" s="373">
        <v>78.176000000000002</v>
      </c>
      <c r="I255" s="373">
        <v>84.150999999999996</v>
      </c>
      <c r="J255" s="373">
        <v>89.628</v>
      </c>
      <c r="K255" s="373">
        <v>88.135000000000005</v>
      </c>
      <c r="L255" s="373">
        <v>87.138999999999996</v>
      </c>
      <c r="M255" s="373">
        <v>77.180000000000007</v>
      </c>
      <c r="N255" s="373">
        <v>70.706999999999994</v>
      </c>
      <c r="O255" s="373">
        <v>67.718999999999994</v>
      </c>
      <c r="P255" s="373">
        <v>64.233999999999995</v>
      </c>
      <c r="Q255" s="373">
        <v>54.274999999999999</v>
      </c>
      <c r="R255" s="373">
        <v>18.423999999999999</v>
      </c>
      <c r="S255" s="373">
        <v>6.4729999999999999</v>
      </c>
      <c r="T255" s="373">
        <v>0</v>
      </c>
      <c r="U255" s="373">
        <v>0</v>
      </c>
      <c r="V255" s="373">
        <f t="shared" si="86"/>
        <v>0</v>
      </c>
      <c r="W255" s="373">
        <f t="shared" si="86"/>
        <v>0</v>
      </c>
      <c r="X255" s="373">
        <f t="shared" si="86"/>
        <v>0</v>
      </c>
      <c r="Y255" s="382">
        <v>0</v>
      </c>
    </row>
    <row r="256" spans="1:26" ht="13.5" thickBot="1" x14ac:dyDescent="0.25">
      <c r="A256" s="379" t="s">
        <v>117</v>
      </c>
      <c r="B256" s="374">
        <f t="shared" ref="B256:X256" si="87">(C255+B255)*(C254-B254)/2</f>
        <v>0.31220399999999998</v>
      </c>
      <c r="C256" s="375">
        <f t="shared" si="87"/>
        <v>1.4519759999999997</v>
      </c>
      <c r="D256" s="375">
        <f t="shared" si="87"/>
        <v>1.8777149999999998</v>
      </c>
      <c r="E256" s="375">
        <f t="shared" si="87"/>
        <v>0.73121950000000013</v>
      </c>
      <c r="F256" s="375">
        <f t="shared" si="87"/>
        <v>2.5148160000000006</v>
      </c>
      <c r="G256" s="375">
        <f t="shared" si="87"/>
        <v>3.8726850000000006</v>
      </c>
      <c r="H256" s="375">
        <f t="shared" si="87"/>
        <v>8.3598404999999989</v>
      </c>
      <c r="I256" s="375">
        <f t="shared" si="87"/>
        <v>17.3779</v>
      </c>
      <c r="J256" s="375">
        <f t="shared" si="87"/>
        <v>17.065248</v>
      </c>
      <c r="K256" s="375">
        <f t="shared" si="87"/>
        <v>20.068873</v>
      </c>
      <c r="L256" s="375">
        <f t="shared" si="87"/>
        <v>34.835628</v>
      </c>
      <c r="M256" s="375">
        <f t="shared" si="87"/>
        <v>12.126734000000011</v>
      </c>
      <c r="N256" s="375">
        <f t="shared" si="87"/>
        <v>13.565747999999996</v>
      </c>
      <c r="O256" s="375">
        <f t="shared" si="87"/>
        <v>4.6183550000000029</v>
      </c>
      <c r="P256" s="375">
        <f t="shared" si="87"/>
        <v>1.7776350000000014</v>
      </c>
      <c r="Q256" s="375">
        <f t="shared" si="87"/>
        <v>1.7084264999999974</v>
      </c>
      <c r="R256" s="375">
        <f t="shared" si="87"/>
        <v>0.34855800000000031</v>
      </c>
      <c r="S256" s="375">
        <f t="shared" si="87"/>
        <v>0.1100410000000001</v>
      </c>
      <c r="T256" s="375">
        <f t="shared" si="87"/>
        <v>0</v>
      </c>
      <c r="U256" s="375">
        <f t="shared" si="87"/>
        <v>0</v>
      </c>
      <c r="V256" s="375">
        <f t="shared" si="87"/>
        <v>0</v>
      </c>
      <c r="W256" s="375">
        <f t="shared" si="87"/>
        <v>0</v>
      </c>
      <c r="X256" s="375">
        <f t="shared" si="87"/>
        <v>0</v>
      </c>
      <c r="Y256" s="369"/>
    </row>
    <row r="257" spans="1:25" ht="13.5" thickBot="1" x14ac:dyDescent="0.25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3.5" thickBot="1" x14ac:dyDescent="0.25">
      <c r="A258" s="361" t="s">
        <v>273</v>
      </c>
      <c r="B258" s="360">
        <f>ROW(A258)</f>
        <v>258</v>
      </c>
      <c r="C258" s="363" t="s">
        <v>116</v>
      </c>
      <c r="D258" s="353">
        <f>SUM(B261:Y261)</f>
        <v>33.500000000000007</v>
      </c>
      <c r="E258" s="363" t="s">
        <v>115</v>
      </c>
      <c r="F258" s="354">
        <f>D258/g/J258</f>
        <v>68.297655453618759</v>
      </c>
      <c r="G258" s="363" t="s">
        <v>57</v>
      </c>
      <c r="H258" s="64">
        <v>8.5000000000000006E-2</v>
      </c>
      <c r="I258" s="363" t="s">
        <v>270</v>
      </c>
      <c r="J258" s="355">
        <f>H258-L258</f>
        <v>0.05</v>
      </c>
      <c r="K258" s="363" t="s">
        <v>271</v>
      </c>
      <c r="L258" s="64">
        <v>3.5000000000000003E-2</v>
      </c>
      <c r="M258" s="363" t="s">
        <v>58</v>
      </c>
      <c r="N258" s="65">
        <v>20</v>
      </c>
      <c r="O258" s="363" t="s">
        <v>60</v>
      </c>
      <c r="P258" s="65">
        <v>20</v>
      </c>
      <c r="Q258" s="363" t="s">
        <v>61</v>
      </c>
      <c r="R258" s="65">
        <v>39</v>
      </c>
      <c r="S258" s="363" t="s">
        <v>62</v>
      </c>
      <c r="T258" s="65">
        <v>39</v>
      </c>
      <c r="U258" s="363" t="s">
        <v>55</v>
      </c>
      <c r="V258" s="66" t="s">
        <v>401</v>
      </c>
      <c r="W258" s="12"/>
      <c r="X258" s="12"/>
      <c r="Y258" s="12"/>
    </row>
    <row r="259" spans="1:25" x14ac:dyDescent="0.2">
      <c r="A259" s="362" t="s">
        <v>33</v>
      </c>
      <c r="B259" s="370">
        <v>0</v>
      </c>
      <c r="C259" s="371">
        <v>0.05</v>
      </c>
      <c r="D259" s="371">
        <v>0.1</v>
      </c>
      <c r="E259" s="371">
        <v>0.25</v>
      </c>
      <c r="F259" s="371">
        <v>0.3</v>
      </c>
      <c r="G259" s="371">
        <v>0.35</v>
      </c>
      <c r="H259" s="371">
        <v>0.45</v>
      </c>
      <c r="I259" s="371">
        <v>0.55000000000000004</v>
      </c>
      <c r="J259" s="371">
        <v>3.5</v>
      </c>
      <c r="K259" s="371">
        <v>3.6</v>
      </c>
      <c r="L259" s="371">
        <v>3.6</v>
      </c>
      <c r="M259" s="371">
        <v>3.6</v>
      </c>
      <c r="N259" s="371">
        <v>3.6</v>
      </c>
      <c r="O259" s="371">
        <v>3.6</v>
      </c>
      <c r="P259" s="371">
        <v>3.6</v>
      </c>
      <c r="Q259" s="371">
        <v>3.6</v>
      </c>
      <c r="R259" s="371">
        <v>3.6</v>
      </c>
      <c r="S259" s="371">
        <v>3.6</v>
      </c>
      <c r="T259" s="371">
        <v>3.6</v>
      </c>
      <c r="U259" s="371">
        <v>3.6</v>
      </c>
      <c r="V259" s="371">
        <v>3.6</v>
      </c>
      <c r="W259" s="371">
        <v>3.6</v>
      </c>
      <c r="X259" s="371">
        <v>3.6</v>
      </c>
      <c r="Y259" s="381">
        <v>1000</v>
      </c>
    </row>
    <row r="260" spans="1:25" x14ac:dyDescent="0.2">
      <c r="A260" s="378" t="s">
        <v>34</v>
      </c>
      <c r="B260" s="372">
        <v>0</v>
      </c>
      <c r="C260" s="373">
        <v>68</v>
      </c>
      <c r="D260" s="373">
        <v>62</v>
      </c>
      <c r="E260" s="373">
        <v>60</v>
      </c>
      <c r="F260" s="373">
        <v>39</v>
      </c>
      <c r="G260" s="373">
        <v>38</v>
      </c>
      <c r="H260" s="373">
        <v>9</v>
      </c>
      <c r="I260" s="373">
        <v>5</v>
      </c>
      <c r="J260" s="373">
        <v>3</v>
      </c>
      <c r="K260" s="373">
        <v>0</v>
      </c>
      <c r="L260" s="373">
        <v>0</v>
      </c>
      <c r="M260" s="373">
        <v>0</v>
      </c>
      <c r="N260" s="373">
        <v>0</v>
      </c>
      <c r="O260" s="373">
        <v>0</v>
      </c>
      <c r="P260" s="373">
        <v>0</v>
      </c>
      <c r="Q260" s="373">
        <v>0</v>
      </c>
      <c r="R260" s="373">
        <v>0</v>
      </c>
      <c r="S260" s="373">
        <v>0</v>
      </c>
      <c r="T260" s="373">
        <v>0</v>
      </c>
      <c r="U260" s="373">
        <v>0</v>
      </c>
      <c r="V260" s="373">
        <v>0</v>
      </c>
      <c r="W260" s="373">
        <v>0</v>
      </c>
      <c r="X260" s="373">
        <v>0</v>
      </c>
      <c r="Y260" s="382">
        <v>0</v>
      </c>
    </row>
    <row r="261" spans="1:25" ht="13.5" thickBot="1" x14ac:dyDescent="0.25">
      <c r="A261" s="379" t="s">
        <v>117</v>
      </c>
      <c r="B261" s="374">
        <f t="shared" ref="B261:V261" si="88">(C260+B260)*(C259-B259)/2</f>
        <v>1.7000000000000002</v>
      </c>
      <c r="C261" s="375">
        <f t="shared" si="88"/>
        <v>3.25</v>
      </c>
      <c r="D261" s="375">
        <f t="shared" si="88"/>
        <v>9.15</v>
      </c>
      <c r="E261" s="375">
        <f t="shared" si="88"/>
        <v>2.4749999999999996</v>
      </c>
      <c r="F261" s="375">
        <f t="shared" si="88"/>
        <v>1.9249999999999996</v>
      </c>
      <c r="G261" s="375">
        <f t="shared" si="88"/>
        <v>2.350000000000001</v>
      </c>
      <c r="H261" s="375">
        <f t="shared" si="88"/>
        <v>0.70000000000000018</v>
      </c>
      <c r="I261" s="375">
        <f t="shared" si="88"/>
        <v>11.8</v>
      </c>
      <c r="J261" s="375">
        <f t="shared" si="88"/>
        <v>0.15000000000000013</v>
      </c>
      <c r="K261" s="375">
        <f t="shared" si="88"/>
        <v>0</v>
      </c>
      <c r="L261" s="375">
        <f t="shared" si="88"/>
        <v>0</v>
      </c>
      <c r="M261" s="375">
        <f t="shared" si="88"/>
        <v>0</v>
      </c>
      <c r="N261" s="375">
        <f t="shared" si="88"/>
        <v>0</v>
      </c>
      <c r="O261" s="375">
        <f t="shared" si="88"/>
        <v>0</v>
      </c>
      <c r="P261" s="375">
        <f t="shared" si="88"/>
        <v>0</v>
      </c>
      <c r="Q261" s="375">
        <f t="shared" si="88"/>
        <v>0</v>
      </c>
      <c r="R261" s="375">
        <f t="shared" si="88"/>
        <v>0</v>
      </c>
      <c r="S261" s="375">
        <f t="shared" si="88"/>
        <v>0</v>
      </c>
      <c r="T261" s="375">
        <f t="shared" si="88"/>
        <v>0</v>
      </c>
      <c r="U261" s="375">
        <f t="shared" si="88"/>
        <v>0</v>
      </c>
      <c r="V261" s="375">
        <f t="shared" si="88"/>
        <v>0</v>
      </c>
      <c r="W261" s="375">
        <f>(X260+W260)*(X259-W259)/2</f>
        <v>0</v>
      </c>
      <c r="X261" s="375">
        <f>(Y260+X260)*(Y259-X259)/2</f>
        <v>0</v>
      </c>
      <c r="Y261" s="369"/>
    </row>
    <row r="262" spans="1:25" ht="13.5" thickBot="1" x14ac:dyDescent="0.25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3.5" thickBot="1" x14ac:dyDescent="0.25">
      <c r="A263" s="361" t="s">
        <v>274</v>
      </c>
      <c r="B263" s="359">
        <f>ROW(A263)</f>
        <v>263</v>
      </c>
      <c r="C263" s="363" t="s">
        <v>116</v>
      </c>
      <c r="D263" s="353">
        <f>SUM(B266:Y266)</f>
        <v>145.46</v>
      </c>
      <c r="E263" s="363" t="s">
        <v>115</v>
      </c>
      <c r="F263" s="354">
        <f>D263/g/J263</f>
        <v>211.82466870540264</v>
      </c>
      <c r="G263" s="363" t="s">
        <v>57</v>
      </c>
      <c r="H263" s="64">
        <v>0.22</v>
      </c>
      <c r="I263" s="363" t="s">
        <v>270</v>
      </c>
      <c r="J263" s="355">
        <f>H263-L263</f>
        <v>7.0000000000000007E-2</v>
      </c>
      <c r="K263" s="363" t="s">
        <v>271</v>
      </c>
      <c r="L263" s="64">
        <v>0.15</v>
      </c>
      <c r="M263" s="363" t="s">
        <v>58</v>
      </c>
      <c r="N263" s="65">
        <v>50</v>
      </c>
      <c r="O263" s="363" t="s">
        <v>60</v>
      </c>
      <c r="P263" s="65">
        <v>55</v>
      </c>
      <c r="Q263" s="363" t="s">
        <v>61</v>
      </c>
      <c r="R263" s="65">
        <v>76</v>
      </c>
      <c r="S263" s="363" t="s">
        <v>62</v>
      </c>
      <c r="T263" s="65">
        <v>40</v>
      </c>
      <c r="U263" s="363" t="s">
        <v>55</v>
      </c>
      <c r="V263" s="66" t="s">
        <v>401</v>
      </c>
      <c r="W263" s="12"/>
      <c r="X263" s="12"/>
      <c r="Y263" s="12"/>
    </row>
    <row r="264" spans="1:25" x14ac:dyDescent="0.2">
      <c r="A264" s="362" t="s">
        <v>33</v>
      </c>
      <c r="B264" s="370">
        <v>0</v>
      </c>
      <c r="C264" s="371">
        <v>0.02</v>
      </c>
      <c r="D264" s="371">
        <v>0.04</v>
      </c>
      <c r="E264" s="371">
        <v>0.05</v>
      </c>
      <c r="F264" s="371">
        <v>0.06</v>
      </c>
      <c r="G264" s="371">
        <v>0.94</v>
      </c>
      <c r="H264" s="377">
        <v>0.94200000000000006</v>
      </c>
      <c r="I264" s="371">
        <v>0.95</v>
      </c>
      <c r="J264" s="371">
        <v>0.95</v>
      </c>
      <c r="K264" s="371">
        <v>0.95</v>
      </c>
      <c r="L264" s="371">
        <v>0.95</v>
      </c>
      <c r="M264" s="371">
        <v>0.95</v>
      </c>
      <c r="N264" s="371">
        <v>0.95</v>
      </c>
      <c r="O264" s="371">
        <v>0.95</v>
      </c>
      <c r="P264" s="371">
        <v>0.95</v>
      </c>
      <c r="Q264" s="371">
        <v>0.95</v>
      </c>
      <c r="R264" s="371">
        <v>0.95</v>
      </c>
      <c r="S264" s="371">
        <v>0.95</v>
      </c>
      <c r="T264" s="371">
        <v>0.95</v>
      </c>
      <c r="U264" s="371">
        <v>0.95</v>
      </c>
      <c r="V264" s="371">
        <v>0.95</v>
      </c>
      <c r="W264" s="371">
        <v>0.95</v>
      </c>
      <c r="X264" s="371">
        <v>2</v>
      </c>
      <c r="Y264" s="381">
        <v>1000</v>
      </c>
    </row>
    <row r="265" spans="1:25" x14ac:dyDescent="0.2">
      <c r="A265" s="378" t="s">
        <v>34</v>
      </c>
      <c r="B265" s="372">
        <v>0</v>
      </c>
      <c r="C265" s="373">
        <v>320</v>
      </c>
      <c r="D265" s="373">
        <v>170</v>
      </c>
      <c r="E265" s="373">
        <v>205</v>
      </c>
      <c r="F265" s="373">
        <v>217</v>
      </c>
      <c r="G265" s="373">
        <v>85</v>
      </c>
      <c r="H265" s="373">
        <v>82</v>
      </c>
      <c r="I265" s="373">
        <v>0</v>
      </c>
      <c r="J265" s="373">
        <v>0</v>
      </c>
      <c r="K265" s="373">
        <v>0</v>
      </c>
      <c r="L265" s="373">
        <v>0</v>
      </c>
      <c r="M265" s="373">
        <v>0</v>
      </c>
      <c r="N265" s="373">
        <v>0</v>
      </c>
      <c r="O265" s="373">
        <v>0</v>
      </c>
      <c r="P265" s="373">
        <v>0</v>
      </c>
      <c r="Q265" s="373">
        <v>0</v>
      </c>
      <c r="R265" s="373">
        <v>0</v>
      </c>
      <c r="S265" s="373">
        <v>0</v>
      </c>
      <c r="T265" s="373">
        <v>0</v>
      </c>
      <c r="U265" s="373">
        <v>0</v>
      </c>
      <c r="V265" s="373">
        <v>0</v>
      </c>
      <c r="W265" s="373">
        <v>0</v>
      </c>
      <c r="X265" s="373">
        <v>0</v>
      </c>
      <c r="Y265" s="382">
        <v>0</v>
      </c>
    </row>
    <row r="266" spans="1:25" ht="13.5" thickBot="1" x14ac:dyDescent="0.25">
      <c r="A266" s="379" t="s">
        <v>117</v>
      </c>
      <c r="B266" s="374">
        <f t="shared" ref="B266:H266" si="89">(C265+B265)*(C264-B264)/2</f>
        <v>3.2</v>
      </c>
      <c r="C266" s="375">
        <f t="shared" si="89"/>
        <v>4.9000000000000004</v>
      </c>
      <c r="D266" s="375">
        <f t="shared" si="89"/>
        <v>1.8750000000000004</v>
      </c>
      <c r="E266" s="375">
        <f t="shared" si="89"/>
        <v>2.109999999999999</v>
      </c>
      <c r="F266" s="375">
        <f t="shared" si="89"/>
        <v>132.88</v>
      </c>
      <c r="G266" s="375">
        <f t="shared" si="89"/>
        <v>0.16700000000000942</v>
      </c>
      <c r="H266" s="375">
        <f t="shared" si="89"/>
        <v>0.32799999999999574</v>
      </c>
      <c r="I266" s="375">
        <f t="shared" ref="I266:V266" si="90">(J265+I265)*(J264-I264)/2</f>
        <v>0</v>
      </c>
      <c r="J266" s="375">
        <f>(K265+J265)*(K264-J264)/2</f>
        <v>0</v>
      </c>
      <c r="K266" s="375">
        <f t="shared" si="90"/>
        <v>0</v>
      </c>
      <c r="L266" s="375">
        <f t="shared" si="90"/>
        <v>0</v>
      </c>
      <c r="M266" s="375">
        <f t="shared" si="90"/>
        <v>0</v>
      </c>
      <c r="N266" s="375">
        <f t="shared" si="90"/>
        <v>0</v>
      </c>
      <c r="O266" s="375">
        <f t="shared" si="90"/>
        <v>0</v>
      </c>
      <c r="P266" s="375">
        <f t="shared" si="90"/>
        <v>0</v>
      </c>
      <c r="Q266" s="375">
        <f t="shared" si="90"/>
        <v>0</v>
      </c>
      <c r="R266" s="375">
        <f t="shared" si="90"/>
        <v>0</v>
      </c>
      <c r="S266" s="375">
        <f>(T265+S265)*(T264-S264)/2</f>
        <v>0</v>
      </c>
      <c r="T266" s="375">
        <f t="shared" si="90"/>
        <v>0</v>
      </c>
      <c r="U266" s="375">
        <f t="shared" si="90"/>
        <v>0</v>
      </c>
      <c r="V266" s="375">
        <f t="shared" si="90"/>
        <v>0</v>
      </c>
      <c r="W266" s="375">
        <f>(X265+W265)*(X264-W264)/2</f>
        <v>0</v>
      </c>
      <c r="X266" s="375">
        <f>(Y265+X265)*(Y264-X264)/2</f>
        <v>0</v>
      </c>
      <c r="Y266" s="369"/>
    </row>
    <row r="267" spans="1:25" x14ac:dyDescent="0.2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3.5" thickBot="1" x14ac:dyDescent="0.25">
      <c r="A268" s="6" t="s">
        <v>312</v>
      </c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3.5" thickBot="1" x14ac:dyDescent="0.25">
      <c r="A269" s="361" t="s">
        <v>35</v>
      </c>
      <c r="B269" s="359">
        <f>ROW(A269)</f>
        <v>269</v>
      </c>
      <c r="C269" s="363" t="s">
        <v>116</v>
      </c>
      <c r="D269" s="353">
        <f>SUM(B272:Y272)</f>
        <v>1071.5999999999999</v>
      </c>
      <c r="E269" s="363" t="s">
        <v>115</v>
      </c>
      <c r="F269" s="354">
        <f>D269/g/J269</f>
        <v>163.03802090465106</v>
      </c>
      <c r="G269" s="363" t="s">
        <v>57</v>
      </c>
      <c r="H269" s="64">
        <v>2.02</v>
      </c>
      <c r="I269" s="363" t="s">
        <v>270</v>
      </c>
      <c r="J269" s="355">
        <f>H269-L269</f>
        <v>0.66999999999999993</v>
      </c>
      <c r="K269" s="363" t="s">
        <v>271</v>
      </c>
      <c r="L269" s="64">
        <v>1.35</v>
      </c>
      <c r="M269" s="363" t="s">
        <v>58</v>
      </c>
      <c r="N269" s="65">
        <v>154</v>
      </c>
      <c r="O269" s="363" t="s">
        <v>60</v>
      </c>
      <c r="P269" s="65">
        <v>168</v>
      </c>
      <c r="Q269" s="363" t="s">
        <v>61</v>
      </c>
      <c r="R269" s="65">
        <v>230</v>
      </c>
      <c r="S269" s="363" t="s">
        <v>62</v>
      </c>
      <c r="T269" s="65">
        <v>67</v>
      </c>
      <c r="U269" s="363" t="s">
        <v>55</v>
      </c>
      <c r="V269" s="66" t="s">
        <v>119</v>
      </c>
      <c r="W269" s="12"/>
      <c r="X269" s="12"/>
      <c r="Y269" s="12"/>
    </row>
    <row r="270" spans="1:25" x14ac:dyDescent="0.2">
      <c r="A270" s="362" t="s">
        <v>33</v>
      </c>
      <c r="B270" s="370">
        <v>0</v>
      </c>
      <c r="C270" s="371">
        <v>0.02</v>
      </c>
      <c r="D270" s="371">
        <v>0.05</v>
      </c>
      <c r="E270" s="371">
        <v>0.06</v>
      </c>
      <c r="F270" s="371">
        <v>0.09</v>
      </c>
      <c r="G270" s="371">
        <v>0.17</v>
      </c>
      <c r="H270" s="371">
        <v>0.2</v>
      </c>
      <c r="I270" s="371">
        <v>0.38</v>
      </c>
      <c r="J270" s="371">
        <v>0.75</v>
      </c>
      <c r="K270" s="371">
        <v>0.79</v>
      </c>
      <c r="L270" s="371">
        <v>1.1299999999999999</v>
      </c>
      <c r="M270" s="371">
        <v>1.2</v>
      </c>
      <c r="N270" s="371">
        <v>1.5</v>
      </c>
      <c r="O270" s="371">
        <v>1.54</v>
      </c>
      <c r="P270" s="371">
        <v>1.65</v>
      </c>
      <c r="Q270" s="371">
        <v>1.7</v>
      </c>
      <c r="R270" s="371">
        <v>1.79</v>
      </c>
      <c r="S270" s="371">
        <v>1.79</v>
      </c>
      <c r="T270" s="371">
        <v>1.79</v>
      </c>
      <c r="U270" s="371">
        <v>1.79</v>
      </c>
      <c r="V270" s="371">
        <v>1.79</v>
      </c>
      <c r="W270" s="371">
        <v>1.79</v>
      </c>
      <c r="X270" s="371">
        <v>1.79</v>
      </c>
      <c r="Y270" s="381">
        <v>1000</v>
      </c>
    </row>
    <row r="271" spans="1:25" x14ac:dyDescent="0.2">
      <c r="A271" s="378" t="s">
        <v>34</v>
      </c>
      <c r="B271" s="372">
        <v>0</v>
      </c>
      <c r="C271" s="373">
        <v>20</v>
      </c>
      <c r="D271" s="373">
        <v>870</v>
      </c>
      <c r="E271" s="373">
        <v>530</v>
      </c>
      <c r="F271" s="373">
        <v>790</v>
      </c>
      <c r="G271" s="373">
        <v>700</v>
      </c>
      <c r="H271" s="373">
        <v>710</v>
      </c>
      <c r="I271" s="373">
        <v>670</v>
      </c>
      <c r="J271" s="373">
        <v>630</v>
      </c>
      <c r="K271" s="373">
        <v>630</v>
      </c>
      <c r="L271" s="373">
        <v>710</v>
      </c>
      <c r="M271" s="373">
        <v>690</v>
      </c>
      <c r="N271" s="373">
        <v>690</v>
      </c>
      <c r="O271" s="373">
        <v>660</v>
      </c>
      <c r="P271" s="373">
        <v>160</v>
      </c>
      <c r="Q271" s="373">
        <v>10</v>
      </c>
      <c r="R271" s="373">
        <v>0</v>
      </c>
      <c r="S271" s="373">
        <v>0</v>
      </c>
      <c r="T271" s="373">
        <v>0</v>
      </c>
      <c r="U271" s="373">
        <v>0</v>
      </c>
      <c r="V271" s="373">
        <v>0</v>
      </c>
      <c r="W271" s="373">
        <v>0</v>
      </c>
      <c r="X271" s="373">
        <v>0</v>
      </c>
      <c r="Y271" s="382">
        <v>0</v>
      </c>
    </row>
    <row r="272" spans="1:25" ht="13.5" thickBot="1" x14ac:dyDescent="0.25">
      <c r="A272" s="379" t="s">
        <v>117</v>
      </c>
      <c r="B272" s="374">
        <f t="shared" ref="B272:Q272" si="91">(C271+B271)*(C270-B270)/2</f>
        <v>0.2</v>
      </c>
      <c r="C272" s="375">
        <f t="shared" si="91"/>
        <v>13.350000000000001</v>
      </c>
      <c r="D272" s="375">
        <f t="shared" si="91"/>
        <v>6.9999999999999964</v>
      </c>
      <c r="E272" s="375">
        <f t="shared" si="91"/>
        <v>19.8</v>
      </c>
      <c r="F272" s="375">
        <f t="shared" si="91"/>
        <v>59.600000000000009</v>
      </c>
      <c r="G272" s="375">
        <f t="shared" si="91"/>
        <v>21.15</v>
      </c>
      <c r="H272" s="375">
        <f t="shared" si="91"/>
        <v>124.19999999999999</v>
      </c>
      <c r="I272" s="375">
        <f t="shared" si="91"/>
        <v>240.5</v>
      </c>
      <c r="J272" s="375">
        <f>(K271+J271)*(K270-J270)/2</f>
        <v>25.200000000000024</v>
      </c>
      <c r="K272" s="375">
        <f t="shared" si="91"/>
        <v>227.7999999999999</v>
      </c>
      <c r="L272" s="375">
        <f t="shared" si="91"/>
        <v>49.000000000000043</v>
      </c>
      <c r="M272" s="375">
        <f t="shared" si="91"/>
        <v>207.00000000000003</v>
      </c>
      <c r="N272" s="375">
        <f t="shared" si="91"/>
        <v>27.000000000000025</v>
      </c>
      <c r="O272" s="375">
        <f t="shared" si="91"/>
        <v>45.099999999999952</v>
      </c>
      <c r="P272" s="375">
        <f t="shared" si="91"/>
        <v>4.2500000000000036</v>
      </c>
      <c r="Q272" s="375">
        <f t="shared" si="91"/>
        <v>0.4500000000000004</v>
      </c>
      <c r="R272" s="375">
        <f t="shared" ref="R272:X272" si="92">(S271+R271)*(S270-R270)/2</f>
        <v>0</v>
      </c>
      <c r="S272" s="375">
        <f t="shared" si="92"/>
        <v>0</v>
      </c>
      <c r="T272" s="375">
        <f t="shared" si="92"/>
        <v>0</v>
      </c>
      <c r="U272" s="375">
        <f t="shared" si="92"/>
        <v>0</v>
      </c>
      <c r="V272" s="375">
        <f t="shared" si="92"/>
        <v>0</v>
      </c>
      <c r="W272" s="375">
        <f t="shared" si="92"/>
        <v>0</v>
      </c>
      <c r="X272" s="375">
        <f t="shared" si="92"/>
        <v>0</v>
      </c>
      <c r="Y272" s="383"/>
    </row>
    <row r="273" spans="1:25" ht="13.5" thickBot="1" x14ac:dyDescent="0.25">
      <c r="S273" s="12"/>
      <c r="T273" s="12"/>
      <c r="U273" s="12"/>
      <c r="V273" s="12"/>
      <c r="W273" s="12"/>
      <c r="X273" s="12"/>
      <c r="Y273" s="12"/>
    </row>
    <row r="274" spans="1:25" ht="13.5" thickBot="1" x14ac:dyDescent="0.25">
      <c r="A274" s="361" t="s">
        <v>36</v>
      </c>
      <c r="B274" s="359">
        <f>ROW(A274)</f>
        <v>274</v>
      </c>
      <c r="C274" s="363" t="s">
        <v>116</v>
      </c>
      <c r="D274" s="353">
        <f>SUM(B277:Y277)</f>
        <v>2102.35</v>
      </c>
      <c r="E274" s="363" t="s">
        <v>115</v>
      </c>
      <c r="F274" s="354">
        <f>D274/g/J274</f>
        <v>174.23319493133766</v>
      </c>
      <c r="G274" s="363" t="s">
        <v>57</v>
      </c>
      <c r="H274" s="64">
        <v>3.7</v>
      </c>
      <c r="I274" s="363" t="s">
        <v>270</v>
      </c>
      <c r="J274" s="355">
        <f>H274-L274</f>
        <v>1.23</v>
      </c>
      <c r="K274" s="363" t="s">
        <v>271</v>
      </c>
      <c r="L274" s="64">
        <v>2.4700000000000002</v>
      </c>
      <c r="M274" s="363" t="s">
        <v>58</v>
      </c>
      <c r="N274" s="65">
        <v>151</v>
      </c>
      <c r="O274" s="363" t="s">
        <v>60</v>
      </c>
      <c r="P274" s="65">
        <v>171</v>
      </c>
      <c r="Q274" s="363" t="s">
        <v>61</v>
      </c>
      <c r="R274" s="65">
        <v>247</v>
      </c>
      <c r="S274" s="363" t="s">
        <v>62</v>
      </c>
      <c r="T274" s="65">
        <v>90</v>
      </c>
      <c r="U274" s="363" t="s">
        <v>55</v>
      </c>
      <c r="V274" s="66" t="s">
        <v>119</v>
      </c>
      <c r="W274" s="12"/>
      <c r="X274" s="12"/>
      <c r="Y274" s="12"/>
    </row>
    <row r="275" spans="1:25" x14ac:dyDescent="0.2">
      <c r="A275" s="362" t="s">
        <v>33</v>
      </c>
      <c r="B275" s="370">
        <v>0</v>
      </c>
      <c r="C275" s="371">
        <v>0.05</v>
      </c>
      <c r="D275" s="371">
        <v>0.1</v>
      </c>
      <c r="E275" s="371">
        <v>1</v>
      </c>
      <c r="F275" s="371">
        <v>1.35</v>
      </c>
      <c r="G275" s="371">
        <v>1.75</v>
      </c>
      <c r="H275" s="371">
        <v>2.15</v>
      </c>
      <c r="I275" s="371">
        <v>2.25</v>
      </c>
      <c r="J275" s="371">
        <v>2.48</v>
      </c>
      <c r="K275" s="371">
        <v>2.6</v>
      </c>
      <c r="L275" s="371">
        <v>2.8</v>
      </c>
      <c r="M275" s="371">
        <v>2.8</v>
      </c>
      <c r="N275" s="371">
        <v>2.8</v>
      </c>
      <c r="O275" s="371">
        <v>2.8</v>
      </c>
      <c r="P275" s="371">
        <v>2.8</v>
      </c>
      <c r="Q275" s="371">
        <v>2.8</v>
      </c>
      <c r="R275" s="371">
        <v>2.8</v>
      </c>
      <c r="S275" s="371">
        <v>2.8</v>
      </c>
      <c r="T275" s="371">
        <v>2.8</v>
      </c>
      <c r="U275" s="371">
        <v>2.8</v>
      </c>
      <c r="V275" s="371">
        <v>2.8</v>
      </c>
      <c r="W275" s="371">
        <v>2.8</v>
      </c>
      <c r="X275" s="371">
        <v>2.8</v>
      </c>
      <c r="Y275" s="381">
        <v>1000</v>
      </c>
    </row>
    <row r="276" spans="1:25" x14ac:dyDescent="0.2">
      <c r="A276" s="378" t="s">
        <v>34</v>
      </c>
      <c r="B276" s="372">
        <v>0</v>
      </c>
      <c r="C276" s="373">
        <v>860</v>
      </c>
      <c r="D276" s="373">
        <v>840</v>
      </c>
      <c r="E276" s="373">
        <v>840</v>
      </c>
      <c r="F276" s="373">
        <v>850</v>
      </c>
      <c r="G276" s="373">
        <v>900</v>
      </c>
      <c r="H276" s="373">
        <v>1050</v>
      </c>
      <c r="I276" s="373">
        <v>1020</v>
      </c>
      <c r="J276" s="373">
        <v>120</v>
      </c>
      <c r="K276" s="373">
        <v>30</v>
      </c>
      <c r="L276" s="373">
        <v>0</v>
      </c>
      <c r="M276" s="373">
        <v>0</v>
      </c>
      <c r="N276" s="373">
        <v>0</v>
      </c>
      <c r="O276" s="373">
        <v>0</v>
      </c>
      <c r="P276" s="373">
        <v>0</v>
      </c>
      <c r="Q276" s="373">
        <v>0</v>
      </c>
      <c r="R276" s="373">
        <v>0</v>
      </c>
      <c r="S276" s="373">
        <v>0</v>
      </c>
      <c r="T276" s="373">
        <v>0</v>
      </c>
      <c r="U276" s="373">
        <v>0</v>
      </c>
      <c r="V276" s="373">
        <v>0</v>
      </c>
      <c r="W276" s="373">
        <v>0</v>
      </c>
      <c r="X276" s="373">
        <v>0</v>
      </c>
      <c r="Y276" s="382">
        <v>0</v>
      </c>
    </row>
    <row r="277" spans="1:25" ht="13.5" thickBot="1" x14ac:dyDescent="0.25">
      <c r="A277" s="379" t="s">
        <v>117</v>
      </c>
      <c r="B277" s="374">
        <f t="shared" ref="B277:K277" si="93">(C276+B276)*(C275-B275)/2</f>
        <v>21.5</v>
      </c>
      <c r="C277" s="375">
        <f t="shared" si="93"/>
        <v>42.5</v>
      </c>
      <c r="D277" s="375">
        <f t="shared" si="93"/>
        <v>756</v>
      </c>
      <c r="E277" s="375">
        <f t="shared" si="93"/>
        <v>295.75000000000006</v>
      </c>
      <c r="F277" s="375">
        <f t="shared" si="93"/>
        <v>349.99999999999994</v>
      </c>
      <c r="G277" s="375">
        <f t="shared" si="93"/>
        <v>389.99999999999989</v>
      </c>
      <c r="H277" s="375">
        <f t="shared" si="93"/>
        <v>103.50000000000009</v>
      </c>
      <c r="I277" s="375">
        <f t="shared" si="93"/>
        <v>131.1</v>
      </c>
      <c r="J277" s="375">
        <f>(K276+J276)*(K275-J275)/2</f>
        <v>9.0000000000000071</v>
      </c>
      <c r="K277" s="375">
        <f t="shared" si="93"/>
        <v>2.999999999999996</v>
      </c>
      <c r="L277" s="375">
        <f t="shared" ref="L277:V277" si="94">(M276+L276)*(M275-L275)/2</f>
        <v>0</v>
      </c>
      <c r="M277" s="375">
        <f t="shared" si="94"/>
        <v>0</v>
      </c>
      <c r="N277" s="375">
        <f t="shared" si="94"/>
        <v>0</v>
      </c>
      <c r="O277" s="375">
        <f t="shared" si="94"/>
        <v>0</v>
      </c>
      <c r="P277" s="375">
        <f t="shared" si="94"/>
        <v>0</v>
      </c>
      <c r="Q277" s="375">
        <f t="shared" si="94"/>
        <v>0</v>
      </c>
      <c r="R277" s="375">
        <f t="shared" si="94"/>
        <v>0</v>
      </c>
      <c r="S277" s="375">
        <f>(T276+S276)*(T275-S275)/2</f>
        <v>0</v>
      </c>
      <c r="T277" s="375">
        <f t="shared" si="94"/>
        <v>0</v>
      </c>
      <c r="U277" s="375">
        <f t="shared" si="94"/>
        <v>0</v>
      </c>
      <c r="V277" s="375">
        <f t="shared" si="94"/>
        <v>0</v>
      </c>
      <c r="W277" s="375">
        <f>(X276+W276)*(X275-W275)/2</f>
        <v>0</v>
      </c>
      <c r="X277" s="375">
        <f>(Y276+X276)*(Y275-X275)/2</f>
        <v>0</v>
      </c>
      <c r="Y277" s="369"/>
    </row>
    <row r="278" spans="1:25" ht="13.5" thickBot="1" x14ac:dyDescent="0.25"/>
    <row r="279" spans="1:25" ht="13.5" thickBot="1" x14ac:dyDescent="0.25">
      <c r="A279" s="361" t="s">
        <v>550</v>
      </c>
      <c r="B279" s="359">
        <f>ROW(A279)</f>
        <v>279</v>
      </c>
      <c r="C279" s="363" t="s">
        <v>116</v>
      </c>
      <c r="D279" s="353">
        <f>SUM(B282:Y282)</f>
        <v>2058.37</v>
      </c>
      <c r="E279" s="363" t="s">
        <v>115</v>
      </c>
      <c r="F279" s="354">
        <f>D279/g/J279</f>
        <v>203.12066731598335</v>
      </c>
      <c r="G279" s="363" t="s">
        <v>57</v>
      </c>
      <c r="H279" s="64">
        <v>1.6850000000000001</v>
      </c>
      <c r="I279" s="363" t="s">
        <v>270</v>
      </c>
      <c r="J279" s="355">
        <f>H279-L279</f>
        <v>1.0329999999999999</v>
      </c>
      <c r="K279" s="363" t="s">
        <v>271</v>
      </c>
      <c r="L279" s="64">
        <v>0.65200000000000002</v>
      </c>
      <c r="M279" s="363" t="s">
        <v>58</v>
      </c>
      <c r="N279" s="65">
        <v>250</v>
      </c>
      <c r="O279" s="363" t="s">
        <v>60</v>
      </c>
      <c r="P279" s="65">
        <v>240</v>
      </c>
      <c r="Q279" s="363" t="s">
        <v>61</v>
      </c>
      <c r="R279" s="65">
        <v>488</v>
      </c>
      <c r="S279" s="363" t="s">
        <v>62</v>
      </c>
      <c r="T279" s="65">
        <v>54</v>
      </c>
      <c r="U279" s="363" t="s">
        <v>55</v>
      </c>
      <c r="V279" s="66" t="s">
        <v>119</v>
      </c>
      <c r="W279" s="12"/>
      <c r="X279" s="12"/>
      <c r="Y279" s="12"/>
    </row>
    <row r="280" spans="1:25" x14ac:dyDescent="0.2">
      <c r="A280" s="362" t="s">
        <v>33</v>
      </c>
      <c r="B280" s="370">
        <v>0</v>
      </c>
      <c r="C280" s="371">
        <v>0.05</v>
      </c>
      <c r="D280" s="371">
        <v>0.5</v>
      </c>
      <c r="E280" s="371">
        <v>1</v>
      </c>
      <c r="F280" s="371">
        <v>1.5</v>
      </c>
      <c r="G280" s="371">
        <v>2</v>
      </c>
      <c r="H280" s="371">
        <v>2.5</v>
      </c>
      <c r="I280" s="371">
        <v>2.97</v>
      </c>
      <c r="J280" s="371">
        <v>3.2</v>
      </c>
      <c r="K280" s="371">
        <v>3.47</v>
      </c>
      <c r="L280" s="371">
        <v>3.59</v>
      </c>
      <c r="M280" s="371">
        <v>3.59</v>
      </c>
      <c r="N280" s="371">
        <v>3.59</v>
      </c>
      <c r="O280" s="371">
        <v>3.59</v>
      </c>
      <c r="P280" s="371">
        <v>3.59</v>
      </c>
      <c r="Q280" s="371">
        <v>3.59</v>
      </c>
      <c r="R280" s="371">
        <v>3.59</v>
      </c>
      <c r="S280" s="371">
        <v>3.59</v>
      </c>
      <c r="T280" s="371">
        <v>3.59</v>
      </c>
      <c r="U280" s="371">
        <v>3.59</v>
      </c>
      <c r="V280" s="371">
        <v>3.59</v>
      </c>
      <c r="W280" s="371">
        <v>3.59</v>
      </c>
      <c r="X280" s="371">
        <v>3.59</v>
      </c>
      <c r="Y280" s="381">
        <v>1000</v>
      </c>
    </row>
    <row r="281" spans="1:25" x14ac:dyDescent="0.2">
      <c r="A281" s="378" t="s">
        <v>34</v>
      </c>
      <c r="B281" s="372">
        <v>0</v>
      </c>
      <c r="C281" s="373">
        <v>893</v>
      </c>
      <c r="D281" s="373">
        <v>798</v>
      </c>
      <c r="E281" s="373">
        <v>739</v>
      </c>
      <c r="F281" s="373">
        <v>659</v>
      </c>
      <c r="G281" s="373">
        <v>586</v>
      </c>
      <c r="H281" s="373">
        <v>513</v>
      </c>
      <c r="I281" s="373">
        <v>417</v>
      </c>
      <c r="J281" s="373">
        <v>225</v>
      </c>
      <c r="K281" s="373">
        <v>67</v>
      </c>
      <c r="L281" s="373">
        <v>0</v>
      </c>
      <c r="M281" s="373">
        <v>0</v>
      </c>
      <c r="N281" s="373">
        <v>0</v>
      </c>
      <c r="O281" s="373">
        <v>0</v>
      </c>
      <c r="P281" s="373">
        <v>0</v>
      </c>
      <c r="Q281" s="373">
        <v>0</v>
      </c>
      <c r="R281" s="373">
        <v>0</v>
      </c>
      <c r="S281" s="373">
        <v>0</v>
      </c>
      <c r="T281" s="373">
        <v>0</v>
      </c>
      <c r="U281" s="373">
        <v>0</v>
      </c>
      <c r="V281" s="373">
        <v>0</v>
      </c>
      <c r="W281" s="373">
        <v>0</v>
      </c>
      <c r="X281" s="373">
        <v>0</v>
      </c>
      <c r="Y281" s="382">
        <v>0</v>
      </c>
    </row>
    <row r="282" spans="1:25" ht="13.5" thickBot="1" x14ac:dyDescent="0.25">
      <c r="A282" s="380" t="s">
        <v>117</v>
      </c>
      <c r="B282" s="374">
        <f t="shared" ref="B282:V282" si="95">(C281+B281)*(C280-B280)/2</f>
        <v>22.325000000000003</v>
      </c>
      <c r="C282" s="375">
        <f t="shared" si="95"/>
        <v>380.47500000000002</v>
      </c>
      <c r="D282" s="375">
        <f t="shared" si="95"/>
        <v>384.25</v>
      </c>
      <c r="E282" s="375">
        <f t="shared" si="95"/>
        <v>349.5</v>
      </c>
      <c r="F282" s="375">
        <f t="shared" si="95"/>
        <v>311.25</v>
      </c>
      <c r="G282" s="375">
        <f t="shared" si="95"/>
        <v>274.75</v>
      </c>
      <c r="H282" s="375">
        <f t="shared" si="95"/>
        <v>218.5500000000001</v>
      </c>
      <c r="I282" s="375">
        <f t="shared" si="95"/>
        <v>73.83</v>
      </c>
      <c r="J282" s="375">
        <f>(K281+J281)*(K280-J280)/2</f>
        <v>39.42</v>
      </c>
      <c r="K282" s="375">
        <f t="shared" si="95"/>
        <v>4.0199999999999889</v>
      </c>
      <c r="L282" s="375">
        <f t="shared" si="95"/>
        <v>0</v>
      </c>
      <c r="M282" s="375">
        <f t="shared" si="95"/>
        <v>0</v>
      </c>
      <c r="N282" s="375">
        <f t="shared" si="95"/>
        <v>0</v>
      </c>
      <c r="O282" s="375">
        <f t="shared" si="95"/>
        <v>0</v>
      </c>
      <c r="P282" s="375">
        <f t="shared" si="95"/>
        <v>0</v>
      </c>
      <c r="Q282" s="375">
        <f t="shared" si="95"/>
        <v>0</v>
      </c>
      <c r="R282" s="375">
        <f t="shared" si="95"/>
        <v>0</v>
      </c>
      <c r="S282" s="375">
        <f>(T281+S281)*(T280-S280)/2</f>
        <v>0</v>
      </c>
      <c r="T282" s="375">
        <f t="shared" si="95"/>
        <v>0</v>
      </c>
      <c r="U282" s="375">
        <f t="shared" si="95"/>
        <v>0</v>
      </c>
      <c r="V282" s="375">
        <f t="shared" si="95"/>
        <v>0</v>
      </c>
      <c r="W282" s="375">
        <f>(X281+W281)*(X280-W280)/2</f>
        <v>0</v>
      </c>
      <c r="X282" s="375">
        <f>(Y281+X281)*(Y280-X280)/2</f>
        <v>0</v>
      </c>
      <c r="Y282" s="369"/>
    </row>
    <row r="283" spans="1:25" ht="13.5" thickBot="1" x14ac:dyDescent="0.25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3.5" thickBot="1" x14ac:dyDescent="0.25">
      <c r="A284" s="361" t="s">
        <v>37</v>
      </c>
      <c r="B284" s="359">
        <f>ROW(A284)</f>
        <v>284</v>
      </c>
      <c r="C284" s="363" t="s">
        <v>116</v>
      </c>
      <c r="D284" s="353">
        <f>SUM(B287:Y287)</f>
        <v>2486.041999999999</v>
      </c>
      <c r="E284" s="363" t="s">
        <v>115</v>
      </c>
      <c r="F284" s="354">
        <f>D284/g/J284</f>
        <v>199.54264891200521</v>
      </c>
      <c r="G284" s="363" t="s">
        <v>57</v>
      </c>
      <c r="H284" s="64">
        <v>2.59</v>
      </c>
      <c r="I284" s="363" t="s">
        <v>270</v>
      </c>
      <c r="J284" s="355">
        <f>H284-L284</f>
        <v>1.2699999999999998</v>
      </c>
      <c r="K284" s="363" t="s">
        <v>271</v>
      </c>
      <c r="L284" s="64">
        <v>1.32</v>
      </c>
      <c r="M284" s="363" t="s">
        <v>58</v>
      </c>
      <c r="N284" s="65">
        <v>175</v>
      </c>
      <c r="O284" s="363" t="s">
        <v>60</v>
      </c>
      <c r="P284" s="65">
        <v>175</v>
      </c>
      <c r="Q284" s="363" t="s">
        <v>61</v>
      </c>
      <c r="R284" s="65">
        <v>350</v>
      </c>
      <c r="S284" s="363" t="s">
        <v>62</v>
      </c>
      <c r="T284" s="65">
        <v>75</v>
      </c>
      <c r="U284" s="363" t="s">
        <v>55</v>
      </c>
      <c r="V284" s="66" t="s">
        <v>119</v>
      </c>
      <c r="W284" s="12"/>
      <c r="X284" s="12"/>
      <c r="Y284" s="12"/>
    </row>
    <row r="285" spans="1:25" x14ac:dyDescent="0.2">
      <c r="A285" s="362" t="s">
        <v>33</v>
      </c>
      <c r="B285" s="370">
        <v>0</v>
      </c>
      <c r="C285" s="371">
        <v>0.04</v>
      </c>
      <c r="D285" s="371">
        <v>7.0000000000000007E-2</v>
      </c>
      <c r="E285" s="371">
        <v>0.1</v>
      </c>
      <c r="F285" s="371">
        <v>0.21</v>
      </c>
      <c r="G285" s="371">
        <v>0.35</v>
      </c>
      <c r="H285" s="371">
        <v>0.53</v>
      </c>
      <c r="I285" s="371">
        <v>0.82</v>
      </c>
      <c r="J285" s="371">
        <v>1.18</v>
      </c>
      <c r="K285" s="371">
        <v>1.72</v>
      </c>
      <c r="L285" s="371">
        <v>2.15</v>
      </c>
      <c r="M285" s="371">
        <v>2.39</v>
      </c>
      <c r="N285" s="371">
        <v>2.9</v>
      </c>
      <c r="O285" s="371">
        <v>3.07</v>
      </c>
      <c r="P285" s="371">
        <v>3.56</v>
      </c>
      <c r="Q285" s="371">
        <v>3.98</v>
      </c>
      <c r="R285" s="371">
        <v>4.32</v>
      </c>
      <c r="S285" s="371">
        <v>4.4800000000000004</v>
      </c>
      <c r="T285" s="371">
        <v>4.5999999999999996</v>
      </c>
      <c r="U285" s="371">
        <v>4.6500000000000004</v>
      </c>
      <c r="V285" s="371">
        <v>4.8</v>
      </c>
      <c r="W285" s="371">
        <v>4.83</v>
      </c>
      <c r="X285" s="371">
        <v>4.84</v>
      </c>
      <c r="Y285" s="381">
        <v>1000</v>
      </c>
    </row>
    <row r="286" spans="1:25" x14ac:dyDescent="0.2">
      <c r="A286" s="378" t="s">
        <v>34</v>
      </c>
      <c r="B286" s="372">
        <v>0</v>
      </c>
      <c r="C286" s="373">
        <v>394.4</v>
      </c>
      <c r="D286" s="373">
        <v>617.70000000000005</v>
      </c>
      <c r="E286" s="373">
        <v>645.1</v>
      </c>
      <c r="F286" s="373">
        <v>658.2</v>
      </c>
      <c r="G286" s="373">
        <v>669.2</v>
      </c>
      <c r="H286" s="373">
        <v>667.7</v>
      </c>
      <c r="I286" s="373">
        <v>661.6</v>
      </c>
      <c r="J286" s="373">
        <v>626.9</v>
      </c>
      <c r="K286" s="373">
        <v>588.5</v>
      </c>
      <c r="L286" s="373">
        <v>557.70000000000005</v>
      </c>
      <c r="M286" s="373">
        <v>542.29999999999995</v>
      </c>
      <c r="N286" s="373">
        <v>492.9</v>
      </c>
      <c r="O286" s="373">
        <v>470.3</v>
      </c>
      <c r="P286" s="373">
        <v>426.8</v>
      </c>
      <c r="Q286" s="373">
        <v>399</v>
      </c>
      <c r="R286" s="373">
        <v>394</v>
      </c>
      <c r="S286" s="373">
        <v>380.6</v>
      </c>
      <c r="T286" s="373">
        <v>364.2</v>
      </c>
      <c r="U286" s="373">
        <v>290.89999999999998</v>
      </c>
      <c r="V286" s="373">
        <v>91.2</v>
      </c>
      <c r="W286" s="373">
        <v>45.8</v>
      </c>
      <c r="X286" s="373">
        <v>0</v>
      </c>
      <c r="Y286" s="382">
        <v>0</v>
      </c>
    </row>
    <row r="287" spans="1:25" ht="13.5" thickBot="1" x14ac:dyDescent="0.25">
      <c r="A287" s="379" t="s">
        <v>117</v>
      </c>
      <c r="B287" s="374">
        <f t="shared" ref="B287:V287" si="96">(C286+B286)*(C285-B285)/2</f>
        <v>7.8879999999999999</v>
      </c>
      <c r="C287" s="375">
        <f t="shared" si="96"/>
        <v>15.181500000000003</v>
      </c>
      <c r="D287" s="375">
        <f t="shared" si="96"/>
        <v>18.942000000000004</v>
      </c>
      <c r="E287" s="375">
        <f t="shared" si="96"/>
        <v>71.6815</v>
      </c>
      <c r="F287" s="375">
        <f t="shared" si="96"/>
        <v>92.917999999999992</v>
      </c>
      <c r="G287" s="375">
        <f t="shared" si="96"/>
        <v>120.32100000000004</v>
      </c>
      <c r="H287" s="375">
        <f t="shared" si="96"/>
        <v>192.74849999999998</v>
      </c>
      <c r="I287" s="375">
        <f t="shared" si="96"/>
        <v>231.92999999999998</v>
      </c>
      <c r="J287" s="375">
        <f>(K286+J286)*(K285-J285)/2</f>
        <v>328.15800000000007</v>
      </c>
      <c r="K287" s="375">
        <f t="shared" si="96"/>
        <v>246.43299999999996</v>
      </c>
      <c r="L287" s="375">
        <f t="shared" si="96"/>
        <v>132.00000000000011</v>
      </c>
      <c r="M287" s="375">
        <f t="shared" si="96"/>
        <v>263.97599999999983</v>
      </c>
      <c r="N287" s="375">
        <f t="shared" si="96"/>
        <v>81.871999999999971</v>
      </c>
      <c r="O287" s="375">
        <f t="shared" si="96"/>
        <v>219.78950000000009</v>
      </c>
      <c r="P287" s="375">
        <f t="shared" si="96"/>
        <v>173.41799999999995</v>
      </c>
      <c r="Q287" s="375">
        <f t="shared" si="96"/>
        <v>134.81000000000012</v>
      </c>
      <c r="R287" s="375">
        <f t="shared" si="96"/>
        <v>61.96800000000006</v>
      </c>
      <c r="S287" s="375">
        <f>(T286+S286)*(T285-S285)/2</f>
        <v>44.687999999999704</v>
      </c>
      <c r="T287" s="375">
        <f t="shared" si="96"/>
        <v>16.377500000000232</v>
      </c>
      <c r="U287" s="375">
        <f t="shared" si="96"/>
        <v>28.657499999999896</v>
      </c>
      <c r="V287" s="375">
        <f t="shared" si="96"/>
        <v>2.055000000000017</v>
      </c>
      <c r="W287" s="375">
        <f>(X286+W286)*(X285-W285)/2</f>
        <v>0.2289999999999951</v>
      </c>
      <c r="X287" s="375">
        <f>(Y286+X286)*(Y285-X285)/2</f>
        <v>0</v>
      </c>
      <c r="Y287" s="369"/>
    </row>
    <row r="288" spans="1:25" ht="13.5" thickBot="1" x14ac:dyDescent="0.25">
      <c r="A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3.5" thickBot="1" x14ac:dyDescent="0.25">
      <c r="A289" s="361" t="s">
        <v>551</v>
      </c>
      <c r="B289" s="359">
        <f>ROW(A289)</f>
        <v>289</v>
      </c>
      <c r="C289" s="363" t="s">
        <v>116</v>
      </c>
      <c r="D289" s="353">
        <f>SUM(B292:Y292)</f>
        <v>3739.0284999999994</v>
      </c>
      <c r="E289" s="363" t="s">
        <v>115</v>
      </c>
      <c r="F289" s="354">
        <f>D289/g/J289</f>
        <v>203.4941790441234</v>
      </c>
      <c r="G289" s="363" t="s">
        <v>57</v>
      </c>
      <c r="H289" s="64">
        <v>3.5110000000000001</v>
      </c>
      <c r="I289" s="363" t="s">
        <v>270</v>
      </c>
      <c r="J289" s="355">
        <f>H289-L289</f>
        <v>1.8730000000000002</v>
      </c>
      <c r="K289" s="363" t="s">
        <v>271</v>
      </c>
      <c r="L289" s="64">
        <v>1.6379999999999999</v>
      </c>
      <c r="M289" s="363" t="s">
        <v>58</v>
      </c>
      <c r="N289" s="65">
        <v>243</v>
      </c>
      <c r="O289" s="363" t="s">
        <v>60</v>
      </c>
      <c r="P289" s="65">
        <v>243</v>
      </c>
      <c r="Q289" s="363" t="s">
        <v>61</v>
      </c>
      <c r="R289" s="65">
        <v>486</v>
      </c>
      <c r="S289" s="363" t="s">
        <v>62</v>
      </c>
      <c r="T289" s="65">
        <v>75</v>
      </c>
      <c r="U289" s="363" t="s">
        <v>55</v>
      </c>
      <c r="V289" s="66" t="s">
        <v>119</v>
      </c>
      <c r="W289" s="12"/>
      <c r="X289" s="12"/>
      <c r="Y289" s="12"/>
    </row>
    <row r="290" spans="1:25" x14ac:dyDescent="0.2">
      <c r="A290" s="362" t="s">
        <v>33</v>
      </c>
      <c r="B290" s="370">
        <v>0</v>
      </c>
      <c r="C290" s="371">
        <v>0.01</v>
      </c>
      <c r="D290" s="371">
        <v>0.1</v>
      </c>
      <c r="E290" s="371">
        <v>0.12</v>
      </c>
      <c r="F290" s="371">
        <v>0.26</v>
      </c>
      <c r="G290" s="371">
        <v>0.71</v>
      </c>
      <c r="H290" s="371">
        <v>1.28</v>
      </c>
      <c r="I290" s="371">
        <v>2.0499999999999998</v>
      </c>
      <c r="J290" s="371">
        <v>2.41</v>
      </c>
      <c r="K290" s="371">
        <v>2.83</v>
      </c>
      <c r="L290" s="371">
        <v>3.25</v>
      </c>
      <c r="M290" s="371">
        <v>3.65</v>
      </c>
      <c r="N290" s="371">
        <v>3.8</v>
      </c>
      <c r="O290" s="371">
        <v>4</v>
      </c>
      <c r="P290" s="371">
        <v>4.0999999999999996</v>
      </c>
      <c r="Q290" s="371">
        <v>4.1900000000000004</v>
      </c>
      <c r="R290" s="371">
        <v>4.3099999999999996</v>
      </c>
      <c r="S290" s="371">
        <v>4.41</v>
      </c>
      <c r="T290" s="371">
        <v>4.5199999999999996</v>
      </c>
      <c r="U290" s="371">
        <v>4.5999999999999996</v>
      </c>
      <c r="V290" s="371">
        <v>4.6500000000000004</v>
      </c>
      <c r="W290" s="371">
        <v>4.67</v>
      </c>
      <c r="X290" s="371">
        <v>4.68</v>
      </c>
      <c r="Y290" s="381">
        <v>1000</v>
      </c>
    </row>
    <row r="291" spans="1:25" x14ac:dyDescent="0.2">
      <c r="A291" s="378" t="s">
        <v>34</v>
      </c>
      <c r="B291" s="372">
        <v>27</v>
      </c>
      <c r="C291" s="373">
        <v>402.4</v>
      </c>
      <c r="D291" s="373">
        <v>1286</v>
      </c>
      <c r="E291" s="373">
        <v>1257</v>
      </c>
      <c r="F291" s="373">
        <v>1042</v>
      </c>
      <c r="G291" s="373">
        <v>1027</v>
      </c>
      <c r="H291" s="373">
        <v>998.4</v>
      </c>
      <c r="I291" s="373">
        <v>901.4</v>
      </c>
      <c r="J291" s="373">
        <v>849.6</v>
      </c>
      <c r="K291" s="373">
        <v>763.5</v>
      </c>
      <c r="L291" s="373">
        <v>707.1</v>
      </c>
      <c r="M291" s="373">
        <v>655.1</v>
      </c>
      <c r="N291" s="373">
        <v>651.70000000000005</v>
      </c>
      <c r="O291" s="373">
        <v>624.1</v>
      </c>
      <c r="P291" s="373">
        <v>601.29999999999995</v>
      </c>
      <c r="Q291" s="373">
        <v>536.20000000000005</v>
      </c>
      <c r="R291" s="373">
        <v>415.7</v>
      </c>
      <c r="S291" s="373">
        <v>270.2</v>
      </c>
      <c r="T291" s="373">
        <v>140.19999999999999</v>
      </c>
      <c r="U291" s="373">
        <v>76.900000000000006</v>
      </c>
      <c r="V291" s="373">
        <v>54.9</v>
      </c>
      <c r="W291" s="373">
        <v>40.200000000000003</v>
      </c>
      <c r="X291" s="373">
        <v>0</v>
      </c>
      <c r="Y291" s="382">
        <v>0</v>
      </c>
    </row>
    <row r="292" spans="1:25" ht="13.5" thickBot="1" x14ac:dyDescent="0.25">
      <c r="A292" s="379" t="s">
        <v>117</v>
      </c>
      <c r="B292" s="374">
        <f t="shared" ref="B292:V292" si="97">(C291+B291)*(C290-B290)/2</f>
        <v>2.1469999999999998</v>
      </c>
      <c r="C292" s="375">
        <f t="shared" si="97"/>
        <v>75.978000000000009</v>
      </c>
      <c r="D292" s="375">
        <f t="shared" si="97"/>
        <v>25.429999999999989</v>
      </c>
      <c r="E292" s="375">
        <f t="shared" si="97"/>
        <v>160.93</v>
      </c>
      <c r="F292" s="375">
        <f t="shared" si="97"/>
        <v>465.52499999999998</v>
      </c>
      <c r="G292" s="375">
        <f t="shared" si="97"/>
        <v>577.23900000000003</v>
      </c>
      <c r="H292" s="375">
        <f t="shared" si="97"/>
        <v>731.42299999999977</v>
      </c>
      <c r="I292" s="375">
        <f t="shared" si="97"/>
        <v>315.18000000000029</v>
      </c>
      <c r="J292" s="375">
        <f>(K291+J291)*(K290-J290)/2</f>
        <v>338.75099999999992</v>
      </c>
      <c r="K292" s="375">
        <f t="shared" si="97"/>
        <v>308.82599999999991</v>
      </c>
      <c r="L292" s="375">
        <f t="shared" si="97"/>
        <v>272.43999999999994</v>
      </c>
      <c r="M292" s="375">
        <f t="shared" si="97"/>
        <v>98.009999999999962</v>
      </c>
      <c r="N292" s="375">
        <f t="shared" si="97"/>
        <v>127.58000000000013</v>
      </c>
      <c r="O292" s="375">
        <f t="shared" si="97"/>
        <v>61.26999999999979</v>
      </c>
      <c r="P292" s="375">
        <f t="shared" si="97"/>
        <v>51.187500000000426</v>
      </c>
      <c r="Q292" s="375">
        <f t="shared" si="97"/>
        <v>57.113999999999635</v>
      </c>
      <c r="R292" s="375">
        <f t="shared" si="97"/>
        <v>34.295000000000179</v>
      </c>
      <c r="S292" s="375">
        <f>(T291+S291)*(T290-S290)/2</f>
        <v>22.571999999999882</v>
      </c>
      <c r="T292" s="375">
        <f t="shared" si="97"/>
        <v>8.6840000000000082</v>
      </c>
      <c r="U292" s="375">
        <f t="shared" si="97"/>
        <v>3.295000000000047</v>
      </c>
      <c r="V292" s="375">
        <f t="shared" si="97"/>
        <v>0.95099999999997964</v>
      </c>
      <c r="W292" s="375">
        <f>(X291+W291)*(X290-W290)/2</f>
        <v>0.20099999999999574</v>
      </c>
      <c r="X292" s="375">
        <f>(Y291+X291)*(Y290-X290)/2</f>
        <v>0</v>
      </c>
      <c r="Y292" s="369"/>
    </row>
    <row r="293" spans="1:25" ht="13.5" thickBot="1" x14ac:dyDescent="0.25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3.5" thickBot="1" x14ac:dyDescent="0.25">
      <c r="A294" s="361" t="s">
        <v>317</v>
      </c>
      <c r="B294" s="359">
        <f>ROW(A294)</f>
        <v>294</v>
      </c>
      <c r="C294" s="363" t="s">
        <v>116</v>
      </c>
      <c r="D294" s="353">
        <f>SUM(B297:Y297)</f>
        <v>5322.2813159999996</v>
      </c>
      <c r="E294" s="363" t="s">
        <v>115</v>
      </c>
      <c r="F294" s="354">
        <f>D294/g/J294</f>
        <v>210.04116210318938</v>
      </c>
      <c r="G294" s="363" t="s">
        <v>57</v>
      </c>
      <c r="H294" s="64">
        <v>4.9770000000000003</v>
      </c>
      <c r="I294" s="363" t="s">
        <v>270</v>
      </c>
      <c r="J294" s="355">
        <f>H294-L294</f>
        <v>2.5830000000000002</v>
      </c>
      <c r="K294" s="363" t="s">
        <v>271</v>
      </c>
      <c r="L294" s="64">
        <v>2.3940000000000001</v>
      </c>
      <c r="M294" s="363" t="s">
        <v>58</v>
      </c>
      <c r="N294" s="65">
        <v>197</v>
      </c>
      <c r="O294" s="363" t="s">
        <v>60</v>
      </c>
      <c r="P294" s="65">
        <v>197</v>
      </c>
      <c r="Q294" s="363" t="s">
        <v>61</v>
      </c>
      <c r="R294" s="65">
        <v>394</v>
      </c>
      <c r="S294" s="363" t="s">
        <v>62</v>
      </c>
      <c r="T294" s="65">
        <v>98</v>
      </c>
      <c r="U294" s="363" t="s">
        <v>55</v>
      </c>
      <c r="V294" s="66" t="s">
        <v>119</v>
      </c>
      <c r="W294" s="12"/>
      <c r="X294" s="12"/>
      <c r="Y294" s="12"/>
    </row>
    <row r="295" spans="1:25" x14ac:dyDescent="0.2">
      <c r="A295" s="362" t="s">
        <v>33</v>
      </c>
      <c r="B295" s="370">
        <v>0</v>
      </c>
      <c r="C295" s="371">
        <v>3.6999999999999998E-2</v>
      </c>
      <c r="D295" s="371">
        <v>0.121</v>
      </c>
      <c r="E295" s="371">
        <v>0.32800000000000001</v>
      </c>
      <c r="F295" s="371">
        <v>1.2989999999999999</v>
      </c>
      <c r="G295" s="371">
        <v>1.5449999999999999</v>
      </c>
      <c r="H295" s="371">
        <v>1.7969999999999999</v>
      </c>
      <c r="I295" s="371">
        <v>1.998</v>
      </c>
      <c r="J295" s="371">
        <v>2.2080000000000002</v>
      </c>
      <c r="K295" s="371">
        <v>2.4620000000000002</v>
      </c>
      <c r="L295" s="371">
        <v>2.782</v>
      </c>
      <c r="M295" s="371">
        <v>3.0859999999999999</v>
      </c>
      <c r="N295" s="371">
        <v>3.2130000000000001</v>
      </c>
      <c r="O295" s="371">
        <v>3.258</v>
      </c>
      <c r="P295" s="371">
        <v>3.3279999999999998</v>
      </c>
      <c r="Q295" s="371">
        <v>3.383</v>
      </c>
      <c r="R295" s="371">
        <v>3.4279999999999999</v>
      </c>
      <c r="S295" s="371">
        <v>3.5</v>
      </c>
      <c r="T295" s="371">
        <v>3.5</v>
      </c>
      <c r="U295" s="371">
        <v>3.5</v>
      </c>
      <c r="V295" s="371">
        <v>3.5</v>
      </c>
      <c r="W295" s="371">
        <v>3.5</v>
      </c>
      <c r="X295" s="371">
        <v>3.5</v>
      </c>
      <c r="Y295" s="381">
        <v>1000</v>
      </c>
    </row>
    <row r="296" spans="1:25" x14ac:dyDescent="0.2">
      <c r="A296" s="378" t="s">
        <v>34</v>
      </c>
      <c r="B296" s="372">
        <v>0</v>
      </c>
      <c r="C296" s="373">
        <v>1474.12</v>
      </c>
      <c r="D296" s="373">
        <v>1436.5</v>
      </c>
      <c r="E296" s="373">
        <v>1523.49</v>
      </c>
      <c r="F296" s="373">
        <v>1775.06</v>
      </c>
      <c r="G296" s="373">
        <v>1807.97</v>
      </c>
      <c r="H296" s="373">
        <v>1807.97</v>
      </c>
      <c r="I296" s="373">
        <v>1786.81</v>
      </c>
      <c r="J296" s="373">
        <v>1737.44</v>
      </c>
      <c r="K296" s="373">
        <v>1572.86</v>
      </c>
      <c r="L296" s="373">
        <v>1415.34</v>
      </c>
      <c r="M296" s="373">
        <v>1309.55</v>
      </c>
      <c r="N296" s="373">
        <v>1290.74</v>
      </c>
      <c r="O296" s="373">
        <v>1309.55</v>
      </c>
      <c r="P296" s="373">
        <v>679.45899999999995</v>
      </c>
      <c r="Q296" s="373">
        <v>173.97900000000001</v>
      </c>
      <c r="R296" s="373">
        <v>68.180999999999997</v>
      </c>
      <c r="S296" s="373">
        <v>0</v>
      </c>
      <c r="T296" s="373">
        <v>0</v>
      </c>
      <c r="U296" s="373">
        <v>0</v>
      </c>
      <c r="V296" s="373">
        <v>0</v>
      </c>
      <c r="W296" s="373">
        <v>0</v>
      </c>
      <c r="X296" s="373">
        <v>0</v>
      </c>
      <c r="Y296" s="382">
        <v>0</v>
      </c>
    </row>
    <row r="297" spans="1:25" ht="13.5" thickBot="1" x14ac:dyDescent="0.25">
      <c r="A297" s="379" t="s">
        <v>117</v>
      </c>
      <c r="B297" s="374">
        <f t="shared" ref="B297:X297" si="98">(C296+B296)*(C295-B295)/2</f>
        <v>27.271219999999996</v>
      </c>
      <c r="C297" s="375">
        <f t="shared" si="98"/>
        <v>122.24603999999998</v>
      </c>
      <c r="D297" s="375">
        <f t="shared" si="98"/>
        <v>306.35896500000001</v>
      </c>
      <c r="E297" s="375">
        <f t="shared" si="98"/>
        <v>1601.446025</v>
      </c>
      <c r="F297" s="375">
        <f t="shared" si="98"/>
        <v>440.71268999999995</v>
      </c>
      <c r="G297" s="375">
        <f t="shared" si="98"/>
        <v>455.60844000000003</v>
      </c>
      <c r="H297" s="375">
        <f t="shared" si="98"/>
        <v>361.27539000000007</v>
      </c>
      <c r="I297" s="375">
        <f t="shared" si="98"/>
        <v>370.04625000000033</v>
      </c>
      <c r="J297" s="375">
        <f t="shared" si="98"/>
        <v>420.40810000000005</v>
      </c>
      <c r="K297" s="375">
        <f t="shared" si="98"/>
        <v>478.11199999999974</v>
      </c>
      <c r="L297" s="375">
        <f t="shared" si="98"/>
        <v>414.18327999999974</v>
      </c>
      <c r="M297" s="375">
        <f t="shared" si="98"/>
        <v>165.11841500000028</v>
      </c>
      <c r="N297" s="375">
        <f t="shared" si="98"/>
        <v>58.506524999999904</v>
      </c>
      <c r="O297" s="375">
        <f t="shared" si="98"/>
        <v>69.615314999999839</v>
      </c>
      <c r="P297" s="375">
        <f t="shared" si="98"/>
        <v>23.469545000000068</v>
      </c>
      <c r="Q297" s="375">
        <f t="shared" si="98"/>
        <v>5.4485999999999919</v>
      </c>
      <c r="R297" s="375">
        <f t="shared" si="98"/>
        <v>2.4545160000000021</v>
      </c>
      <c r="S297" s="375">
        <f t="shared" si="98"/>
        <v>0</v>
      </c>
      <c r="T297" s="375">
        <f t="shared" si="98"/>
        <v>0</v>
      </c>
      <c r="U297" s="375">
        <f t="shared" si="98"/>
        <v>0</v>
      </c>
      <c r="V297" s="375">
        <f t="shared" si="98"/>
        <v>0</v>
      </c>
      <c r="W297" s="375">
        <f t="shared" si="98"/>
        <v>0</v>
      </c>
      <c r="X297" s="375">
        <f t="shared" si="98"/>
        <v>0</v>
      </c>
      <c r="Y297" s="369"/>
    </row>
    <row r="298" spans="1:25" ht="13.5" thickBot="1" x14ac:dyDescent="0.25">
      <c r="A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3.5" thickBot="1" x14ac:dyDescent="0.25">
      <c r="A299" s="361" t="s">
        <v>318</v>
      </c>
      <c r="B299" s="359">
        <f>ROW(A299)</f>
        <v>299</v>
      </c>
      <c r="C299" s="363" t="s">
        <v>116</v>
      </c>
      <c r="D299" s="353">
        <f>SUM(B302:Y302)</f>
        <v>7412.4371409999985</v>
      </c>
      <c r="E299" s="363" t="s">
        <v>115</v>
      </c>
      <c r="F299" s="354">
        <f>D299/g/J299</f>
        <v>223.28608637999045</v>
      </c>
      <c r="G299" s="363" t="s">
        <v>57</v>
      </c>
      <c r="H299" s="64">
        <v>6.25</v>
      </c>
      <c r="I299" s="363" t="s">
        <v>270</v>
      </c>
      <c r="J299" s="355">
        <f>H299-L299</f>
        <v>3.3839999999999999</v>
      </c>
      <c r="K299" s="363" t="s">
        <v>271</v>
      </c>
      <c r="L299" s="64">
        <v>2.8660000000000001</v>
      </c>
      <c r="M299" s="363" t="s">
        <v>58</v>
      </c>
      <c r="N299" s="65">
        <v>290</v>
      </c>
      <c r="O299" s="363" t="s">
        <v>60</v>
      </c>
      <c r="P299" s="65">
        <v>290</v>
      </c>
      <c r="Q299" s="363" t="s">
        <v>61</v>
      </c>
      <c r="R299" s="65">
        <v>579</v>
      </c>
      <c r="S299" s="363" t="s">
        <v>62</v>
      </c>
      <c r="T299" s="65">
        <v>98</v>
      </c>
      <c r="U299" s="363" t="s">
        <v>55</v>
      </c>
      <c r="V299" s="66" t="s">
        <v>119</v>
      </c>
      <c r="W299" s="12"/>
      <c r="X299" s="12"/>
      <c r="Y299" s="12"/>
    </row>
    <row r="300" spans="1:25" x14ac:dyDescent="0.2">
      <c r="A300" s="362" t="s">
        <v>33</v>
      </c>
      <c r="B300" s="370">
        <v>0</v>
      </c>
      <c r="C300" s="371">
        <v>1.7000000000000001E-2</v>
      </c>
      <c r="D300" s="371">
        <v>5.1999999999999998E-2</v>
      </c>
      <c r="E300" s="371">
        <v>8.7999999999999995E-2</v>
      </c>
      <c r="F300" s="371">
        <v>0.108</v>
      </c>
      <c r="G300" s="371">
        <v>0.127</v>
      </c>
      <c r="H300" s="371">
        <v>0.17399999999999999</v>
      </c>
      <c r="I300" s="371">
        <v>0.25700000000000001</v>
      </c>
      <c r="J300" s="371">
        <v>0.40300000000000002</v>
      </c>
      <c r="K300" s="371">
        <v>0.76200000000000001</v>
      </c>
      <c r="L300" s="371">
        <v>0.97699999999999998</v>
      </c>
      <c r="M300" s="371">
        <v>1.341</v>
      </c>
      <c r="N300" s="371">
        <v>1.5009999999999999</v>
      </c>
      <c r="O300" s="371">
        <v>1.661</v>
      </c>
      <c r="P300" s="371">
        <v>1.96</v>
      </c>
      <c r="Q300" s="371">
        <v>2.4039999999999999</v>
      </c>
      <c r="R300" s="371">
        <v>2.641</v>
      </c>
      <c r="S300" s="371">
        <v>2.7160000000000002</v>
      </c>
      <c r="T300" s="371">
        <v>2.8210000000000002</v>
      </c>
      <c r="U300" s="371">
        <v>2.8919999999999999</v>
      </c>
      <c r="V300" s="371">
        <v>2.92</v>
      </c>
      <c r="W300" s="371">
        <v>2.97</v>
      </c>
      <c r="X300" s="371">
        <v>3</v>
      </c>
      <c r="Y300" s="381">
        <v>1000</v>
      </c>
    </row>
    <row r="301" spans="1:25" x14ac:dyDescent="0.2">
      <c r="A301" s="378" t="s">
        <v>34</v>
      </c>
      <c r="B301" s="372">
        <v>0</v>
      </c>
      <c r="C301" s="373">
        <v>329.84699999999998</v>
      </c>
      <c r="D301" s="373">
        <v>1003.68</v>
      </c>
      <c r="E301" s="373">
        <v>2346.62</v>
      </c>
      <c r="F301" s="373">
        <v>2549.2399999999998</v>
      </c>
      <c r="G301" s="373">
        <v>2605.79</v>
      </c>
      <c r="H301" s="373">
        <v>2520.9699999999998</v>
      </c>
      <c r="I301" s="373">
        <v>2516.2600000000002</v>
      </c>
      <c r="J301" s="373">
        <v>2596.37</v>
      </c>
      <c r="K301" s="373">
        <v>2808.41</v>
      </c>
      <c r="L301" s="373">
        <v>2954.49</v>
      </c>
      <c r="M301" s="373">
        <v>2959.2</v>
      </c>
      <c r="N301" s="373">
        <v>2907.36</v>
      </c>
      <c r="O301" s="373">
        <v>2869.67</v>
      </c>
      <c r="P301" s="373">
        <v>2695.32</v>
      </c>
      <c r="Q301" s="373">
        <v>2351.34</v>
      </c>
      <c r="R301" s="373">
        <v>2228.8200000000002</v>
      </c>
      <c r="S301" s="373">
        <v>2007.35</v>
      </c>
      <c r="T301" s="373">
        <v>1427.77</v>
      </c>
      <c r="U301" s="373">
        <v>504.19400000000002</v>
      </c>
      <c r="V301" s="373">
        <v>334.55900000000003</v>
      </c>
      <c r="W301" s="373">
        <v>122.515</v>
      </c>
      <c r="X301" s="373">
        <v>0</v>
      </c>
      <c r="Y301" s="382">
        <v>0</v>
      </c>
    </row>
    <row r="302" spans="1:25" ht="13.5" thickBot="1" x14ac:dyDescent="0.25">
      <c r="A302" s="379" t="s">
        <v>117</v>
      </c>
      <c r="B302" s="374">
        <f t="shared" ref="B302:X302" si="99">(C301+B301)*(C300-B300)/2</f>
        <v>2.8036995</v>
      </c>
      <c r="C302" s="375">
        <f t="shared" si="99"/>
        <v>23.336722499999997</v>
      </c>
      <c r="D302" s="375">
        <f t="shared" si="99"/>
        <v>60.305399999999992</v>
      </c>
      <c r="E302" s="375">
        <f t="shared" si="99"/>
        <v>48.958600000000004</v>
      </c>
      <c r="F302" s="375">
        <f t="shared" si="99"/>
        <v>48.972785000000002</v>
      </c>
      <c r="G302" s="375">
        <f t="shared" si="99"/>
        <v>120.47885999999997</v>
      </c>
      <c r="H302" s="375">
        <f t="shared" si="99"/>
        <v>209.04504500000002</v>
      </c>
      <c r="I302" s="375">
        <f t="shared" si="99"/>
        <v>373.22199000000006</v>
      </c>
      <c r="J302" s="375">
        <f t="shared" si="99"/>
        <v>970.15800999999988</v>
      </c>
      <c r="K302" s="375">
        <f t="shared" si="99"/>
        <v>619.51174999999989</v>
      </c>
      <c r="L302" s="375">
        <f t="shared" si="99"/>
        <v>1076.2915799999998</v>
      </c>
      <c r="M302" s="375">
        <f t="shared" si="99"/>
        <v>469.3247999999997</v>
      </c>
      <c r="N302" s="375">
        <f t="shared" si="99"/>
        <v>462.16240000000045</v>
      </c>
      <c r="O302" s="375">
        <f t="shared" si="99"/>
        <v>831.96600499999977</v>
      </c>
      <c r="P302" s="375">
        <f t="shared" si="99"/>
        <v>1120.3585199999998</v>
      </c>
      <c r="Q302" s="375">
        <f t="shared" si="99"/>
        <v>542.74896000000024</v>
      </c>
      <c r="R302" s="375">
        <f t="shared" si="99"/>
        <v>158.85637500000038</v>
      </c>
      <c r="S302" s="375">
        <f t="shared" si="99"/>
        <v>180.34379999999996</v>
      </c>
      <c r="T302" s="375">
        <f t="shared" si="99"/>
        <v>68.584721999999744</v>
      </c>
      <c r="U302" s="375">
        <f t="shared" si="99"/>
        <v>11.742542000000011</v>
      </c>
      <c r="V302" s="375">
        <f t="shared" si="99"/>
        <v>11.42685000000006</v>
      </c>
      <c r="W302" s="375">
        <f t="shared" si="99"/>
        <v>1.8377249999999881</v>
      </c>
      <c r="X302" s="375">
        <f t="shared" si="99"/>
        <v>0</v>
      </c>
      <c r="Y302" s="369"/>
    </row>
    <row r="303" spans="1:25" ht="13.5" thickBot="1" x14ac:dyDescent="0.25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3.5" thickBot="1" x14ac:dyDescent="0.25">
      <c r="A304" s="361" t="s">
        <v>552</v>
      </c>
      <c r="B304" s="359">
        <f>ROW(A304)</f>
        <v>304</v>
      </c>
      <c r="C304" s="363" t="s">
        <v>116</v>
      </c>
      <c r="D304" s="353">
        <f>SUM(B307:Y307)</f>
        <v>17734.977350500001</v>
      </c>
      <c r="E304" s="363" t="s">
        <v>115</v>
      </c>
      <c r="F304" s="354">
        <f>D304/g/J304</f>
        <v>192.73420306179892</v>
      </c>
      <c r="G304" s="363" t="s">
        <v>57</v>
      </c>
      <c r="H304" s="64">
        <v>14.747999999999999</v>
      </c>
      <c r="I304" s="363" t="s">
        <v>270</v>
      </c>
      <c r="J304" s="355">
        <f>H304-L304</f>
        <v>9.379999999999999</v>
      </c>
      <c r="K304" s="363" t="s">
        <v>271</v>
      </c>
      <c r="L304" s="64">
        <v>5.3680000000000003</v>
      </c>
      <c r="M304" s="363" t="s">
        <v>58</v>
      </c>
      <c r="N304" s="65">
        <v>500</v>
      </c>
      <c r="O304" s="363" t="s">
        <v>60</v>
      </c>
      <c r="P304" s="65">
        <v>500</v>
      </c>
      <c r="Q304" s="363" t="s">
        <v>61</v>
      </c>
      <c r="R304" s="65">
        <v>1046</v>
      </c>
      <c r="S304" s="363" t="s">
        <v>62</v>
      </c>
      <c r="T304" s="65">
        <v>98</v>
      </c>
      <c r="U304" s="363" t="s">
        <v>55</v>
      </c>
      <c r="V304" s="66" t="s">
        <v>119</v>
      </c>
      <c r="W304" s="12"/>
      <c r="X304" s="12"/>
      <c r="Y304" s="12"/>
    </row>
    <row r="305" spans="1:25" x14ac:dyDescent="0.2">
      <c r="A305" s="362" t="s">
        <v>33</v>
      </c>
      <c r="B305" s="370">
        <v>0</v>
      </c>
      <c r="C305" s="371">
        <v>3.0000000000000001E-3</v>
      </c>
      <c r="D305" s="371">
        <v>0.05</v>
      </c>
      <c r="E305" s="371">
        <v>7.8E-2</v>
      </c>
      <c r="F305" s="371">
        <v>0.121</v>
      </c>
      <c r="G305" s="371">
        <v>0.65200000000000002</v>
      </c>
      <c r="H305" s="371">
        <v>1.123</v>
      </c>
      <c r="I305" s="371">
        <v>1.655</v>
      </c>
      <c r="J305" s="371">
        <v>2.3530000000000002</v>
      </c>
      <c r="K305" s="371">
        <v>3.0350000000000001</v>
      </c>
      <c r="L305" s="371">
        <v>3.7</v>
      </c>
      <c r="M305" s="371">
        <v>3.7330000000000001</v>
      </c>
      <c r="N305" s="371">
        <v>3.887</v>
      </c>
      <c r="O305" s="371">
        <v>4.0359999999999996</v>
      </c>
      <c r="P305" s="371">
        <v>4.1970000000000001</v>
      </c>
      <c r="Q305" s="371">
        <v>4.2619999999999996</v>
      </c>
      <c r="R305" s="371">
        <v>4.3</v>
      </c>
      <c r="S305" s="371">
        <v>5</v>
      </c>
      <c r="T305" s="371">
        <v>5</v>
      </c>
      <c r="U305" s="371">
        <v>5</v>
      </c>
      <c r="V305" s="371">
        <v>5</v>
      </c>
      <c r="W305" s="371">
        <v>5</v>
      </c>
      <c r="X305" s="371">
        <v>5</v>
      </c>
      <c r="Y305" s="381">
        <v>1000</v>
      </c>
    </row>
    <row r="306" spans="1:25" x14ac:dyDescent="0.2">
      <c r="A306" s="378" t="s">
        <v>34</v>
      </c>
      <c r="B306" s="372">
        <v>0</v>
      </c>
      <c r="C306" s="373">
        <v>203.87700000000001</v>
      </c>
      <c r="D306" s="373">
        <v>2362.8789999999999</v>
      </c>
      <c r="E306" s="373">
        <v>3946.8449999999998</v>
      </c>
      <c r="F306" s="373">
        <v>4281.4120000000003</v>
      </c>
      <c r="G306" s="373">
        <v>4370.2809999999999</v>
      </c>
      <c r="H306" s="373">
        <v>4453.9229999999998</v>
      </c>
      <c r="I306" s="373">
        <v>4772.8069999999998</v>
      </c>
      <c r="J306" s="373">
        <v>4621.2060000000001</v>
      </c>
      <c r="K306" s="373">
        <v>4511.4269999999997</v>
      </c>
      <c r="L306" s="373">
        <v>4375.509</v>
      </c>
      <c r="M306" s="373">
        <v>4182.0870000000004</v>
      </c>
      <c r="N306" s="373">
        <v>2969.2820000000002</v>
      </c>
      <c r="O306" s="373">
        <v>1589.193</v>
      </c>
      <c r="P306" s="373">
        <v>533.21600000000001</v>
      </c>
      <c r="Q306" s="373">
        <v>240.47</v>
      </c>
      <c r="R306" s="373">
        <v>0</v>
      </c>
      <c r="S306" s="373">
        <v>0</v>
      </c>
      <c r="T306" s="373">
        <v>0</v>
      </c>
      <c r="U306" s="373">
        <v>0</v>
      </c>
      <c r="V306" s="373">
        <v>0</v>
      </c>
      <c r="W306" s="373">
        <v>0</v>
      </c>
      <c r="X306" s="373">
        <v>0</v>
      </c>
      <c r="Y306" s="382">
        <v>0</v>
      </c>
    </row>
    <row r="307" spans="1:25" ht="13.5" thickBot="1" x14ac:dyDescent="0.25">
      <c r="A307" s="379" t="s">
        <v>117</v>
      </c>
      <c r="B307" s="374">
        <f t="shared" ref="B307" si="100">(C306+B306)*(C305-B305)/2</f>
        <v>0.30581550000000002</v>
      </c>
      <c r="C307" s="375">
        <f t="shared" ref="C307" si="101">(D306+C306)*(D305-C305)/2</f>
        <v>60.318765999999997</v>
      </c>
      <c r="D307" s="375">
        <f t="shared" ref="D307" si="102">(E306+D306)*(E305-D305)/2</f>
        <v>88.336135999999996</v>
      </c>
      <c r="E307" s="375">
        <f t="shared" ref="E307" si="103">(F306+E306)*(F305-E305)/2</f>
        <v>176.90752549999999</v>
      </c>
      <c r="F307" s="375">
        <f t="shared" ref="F307" si="104">(G306+F306)*(G305-F305)/2</f>
        <v>2297.0244914999998</v>
      </c>
      <c r="G307" s="375">
        <f t="shared" ref="G307" si="105">(H306+G306)*(H305-G305)/2</f>
        <v>2078.100042</v>
      </c>
      <c r="H307" s="375">
        <f t="shared" ref="H307" si="106">(I306+H306)*(I305-H305)/2</f>
        <v>2454.3101799999999</v>
      </c>
      <c r="I307" s="375">
        <f t="shared" ref="I307" si="107">(J306+I306)*(J305-I305)/2</f>
        <v>3278.5105370000006</v>
      </c>
      <c r="J307" s="375">
        <f t="shared" ref="J307" si="108">(K306+J306)*(K305-J305)/2</f>
        <v>3114.2278529999999</v>
      </c>
      <c r="K307" s="375">
        <f t="shared" ref="K307" si="109">(L306+K306)*(L305-K305)/2</f>
        <v>2954.9062199999998</v>
      </c>
      <c r="L307" s="375">
        <f t="shared" ref="L307" si="110">(M306+L306)*(M305-L305)/2</f>
        <v>141.20033399999969</v>
      </c>
      <c r="M307" s="375">
        <f t="shared" ref="M307" si="111">(N306+M306)*(N305-M305)/2</f>
        <v>550.65541299999973</v>
      </c>
      <c r="N307" s="375">
        <f t="shared" ref="N307" si="112">(O306+N306)*(O305-N305)/2</f>
        <v>339.60638749999907</v>
      </c>
      <c r="O307" s="375">
        <f t="shared" ref="O307" si="113">(P306+O306)*(P305-O305)/2</f>
        <v>170.85392450000052</v>
      </c>
      <c r="P307" s="375">
        <f t="shared" ref="P307" si="114">(Q306+P306)*(Q305-P305)/2</f>
        <v>25.14479499999981</v>
      </c>
      <c r="Q307" s="375">
        <f t="shared" ref="Q307" si="115">(R306+Q306)*(R305-Q305)/2</f>
        <v>4.568930000000031</v>
      </c>
      <c r="R307" s="375">
        <f t="shared" ref="R307" si="116">(S306+R306)*(S305-R305)/2</f>
        <v>0</v>
      </c>
      <c r="S307" s="375">
        <f t="shared" ref="S307" si="117">(T306+S306)*(T305-S305)/2</f>
        <v>0</v>
      </c>
      <c r="T307" s="375">
        <f t="shared" ref="T307" si="118">(U306+T306)*(U305-T305)/2</f>
        <v>0</v>
      </c>
      <c r="U307" s="375">
        <f t="shared" ref="U307" si="119">(V306+U306)*(V305-U305)/2</f>
        <v>0</v>
      </c>
      <c r="V307" s="375">
        <f t="shared" ref="V307" si="120">(W306+V306)*(W305-V305)/2</f>
        <v>0</v>
      </c>
      <c r="W307" s="375">
        <f t="shared" ref="W307" si="121">(X306+W306)*(X305-W305)/2</f>
        <v>0</v>
      </c>
      <c r="X307" s="375">
        <f t="shared" ref="X307" si="122">(Y306+X306)*(Y305-X305)/2</f>
        <v>0</v>
      </c>
      <c r="Y307" s="369"/>
    </row>
    <row r="308" spans="1:25" ht="13.5" thickBot="1" x14ac:dyDescent="0.25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3.5" thickBot="1" x14ac:dyDescent="0.25">
      <c r="A309" s="361" t="s">
        <v>45</v>
      </c>
      <c r="B309" s="359">
        <f>ROW(A309)</f>
        <v>309</v>
      </c>
      <c r="C309" s="363" t="s">
        <v>116</v>
      </c>
      <c r="D309" s="353">
        <f>SUM(B312:Y312)</f>
        <v>1E-3</v>
      </c>
      <c r="E309" s="363" t="s">
        <v>115</v>
      </c>
      <c r="F309" s="354">
        <f>D309/g/J309</f>
        <v>1.019367991845056</v>
      </c>
      <c r="G309" s="363" t="s">
        <v>57</v>
      </c>
      <c r="H309" s="64">
        <v>1E-4</v>
      </c>
      <c r="I309" s="363" t="s">
        <v>270</v>
      </c>
      <c r="J309" s="355">
        <f>H309-L309</f>
        <v>1E-4</v>
      </c>
      <c r="K309" s="363" t="s">
        <v>271</v>
      </c>
      <c r="L309" s="64">
        <v>0</v>
      </c>
      <c r="M309" s="363" t="s">
        <v>58</v>
      </c>
      <c r="N309" s="65">
        <v>0</v>
      </c>
      <c r="O309" s="363" t="s">
        <v>60</v>
      </c>
      <c r="P309" s="65">
        <v>0</v>
      </c>
      <c r="Q309" s="363" t="s">
        <v>61</v>
      </c>
      <c r="R309" s="65">
        <v>0</v>
      </c>
      <c r="S309" s="363" t="s">
        <v>62</v>
      </c>
      <c r="T309" s="65">
        <v>0</v>
      </c>
      <c r="U309" s="363" t="s">
        <v>55</v>
      </c>
      <c r="V309" s="66" t="s">
        <v>119</v>
      </c>
      <c r="W309" s="12"/>
      <c r="X309" s="12"/>
      <c r="Y309" s="12"/>
    </row>
    <row r="310" spans="1:25" x14ac:dyDescent="0.2">
      <c r="A310" s="362" t="s">
        <v>33</v>
      </c>
      <c r="B310" s="370">
        <v>0</v>
      </c>
      <c r="C310" s="371">
        <v>0.1</v>
      </c>
      <c r="D310" s="371">
        <v>0.2</v>
      </c>
      <c r="E310" s="371">
        <v>1</v>
      </c>
      <c r="F310" s="371">
        <v>1</v>
      </c>
      <c r="G310" s="371">
        <v>1</v>
      </c>
      <c r="H310" s="371">
        <v>1</v>
      </c>
      <c r="I310" s="371">
        <v>1</v>
      </c>
      <c r="J310" s="371">
        <v>1</v>
      </c>
      <c r="K310" s="371">
        <v>1</v>
      </c>
      <c r="L310" s="371">
        <v>1</v>
      </c>
      <c r="M310" s="371">
        <v>1</v>
      </c>
      <c r="N310" s="371">
        <v>1</v>
      </c>
      <c r="O310" s="371">
        <v>1</v>
      </c>
      <c r="P310" s="371">
        <v>1</v>
      </c>
      <c r="Q310" s="371">
        <v>1</v>
      </c>
      <c r="R310" s="371">
        <v>1</v>
      </c>
      <c r="S310" s="371">
        <v>1</v>
      </c>
      <c r="T310" s="371">
        <v>1</v>
      </c>
      <c r="U310" s="371">
        <v>1</v>
      </c>
      <c r="V310" s="371">
        <v>1</v>
      </c>
      <c r="W310" s="371">
        <v>1</v>
      </c>
      <c r="X310" s="371">
        <v>1</v>
      </c>
      <c r="Y310" s="381">
        <v>1000</v>
      </c>
    </row>
    <row r="311" spans="1:25" x14ac:dyDescent="0.2">
      <c r="A311" s="378" t="s">
        <v>34</v>
      </c>
      <c r="B311" s="372">
        <v>0</v>
      </c>
      <c r="C311" s="373">
        <v>0.01</v>
      </c>
      <c r="D311" s="373">
        <v>0</v>
      </c>
      <c r="E311" s="373">
        <v>0</v>
      </c>
      <c r="F311" s="373">
        <v>0</v>
      </c>
      <c r="G311" s="373">
        <v>0</v>
      </c>
      <c r="H311" s="373">
        <v>0</v>
      </c>
      <c r="I311" s="373">
        <v>0</v>
      </c>
      <c r="J311" s="373">
        <v>0</v>
      </c>
      <c r="K311" s="373">
        <v>0</v>
      </c>
      <c r="L311" s="373">
        <v>0</v>
      </c>
      <c r="M311" s="373">
        <v>0</v>
      </c>
      <c r="N311" s="373">
        <v>0</v>
      </c>
      <c r="O311" s="373">
        <v>0</v>
      </c>
      <c r="P311" s="373">
        <v>0</v>
      </c>
      <c r="Q311" s="373">
        <v>0</v>
      </c>
      <c r="R311" s="373">
        <v>0</v>
      </c>
      <c r="S311" s="373">
        <v>0</v>
      </c>
      <c r="T311" s="373">
        <v>0</v>
      </c>
      <c r="U311" s="373">
        <v>0</v>
      </c>
      <c r="V311" s="373">
        <v>0</v>
      </c>
      <c r="W311" s="373">
        <v>0</v>
      </c>
      <c r="X311" s="373">
        <v>0</v>
      </c>
      <c r="Y311" s="382">
        <v>0</v>
      </c>
    </row>
    <row r="312" spans="1:25" ht="13.5" thickBot="1" x14ac:dyDescent="0.25">
      <c r="A312" s="379" t="s">
        <v>117</v>
      </c>
      <c r="B312" s="374">
        <f t="shared" ref="B312:G312" si="123">(C311+B311)*(C310-B310)/2</f>
        <v>5.0000000000000001E-4</v>
      </c>
      <c r="C312" s="375">
        <f t="shared" si="123"/>
        <v>5.0000000000000001E-4</v>
      </c>
      <c r="D312" s="375">
        <f t="shared" si="123"/>
        <v>0</v>
      </c>
      <c r="E312" s="375">
        <f t="shared" si="123"/>
        <v>0</v>
      </c>
      <c r="F312" s="375">
        <f t="shared" si="123"/>
        <v>0</v>
      </c>
      <c r="G312" s="375">
        <f t="shared" si="123"/>
        <v>0</v>
      </c>
      <c r="H312" s="375">
        <f t="shared" ref="H312:V312" si="124">(I311+H311)*(I310-H310)/2</f>
        <v>0</v>
      </c>
      <c r="I312" s="375">
        <f t="shared" si="124"/>
        <v>0</v>
      </c>
      <c r="J312" s="375">
        <f>(K311+J311)*(K310-J310)/2</f>
        <v>0</v>
      </c>
      <c r="K312" s="375">
        <f t="shared" si="124"/>
        <v>0</v>
      </c>
      <c r="L312" s="375">
        <f t="shared" si="124"/>
        <v>0</v>
      </c>
      <c r="M312" s="375">
        <f t="shared" si="124"/>
        <v>0</v>
      </c>
      <c r="N312" s="375">
        <f t="shared" si="124"/>
        <v>0</v>
      </c>
      <c r="O312" s="375">
        <f t="shared" si="124"/>
        <v>0</v>
      </c>
      <c r="P312" s="375">
        <f t="shared" si="124"/>
        <v>0</v>
      </c>
      <c r="Q312" s="375">
        <f t="shared" si="124"/>
        <v>0</v>
      </c>
      <c r="R312" s="375">
        <f t="shared" si="124"/>
        <v>0</v>
      </c>
      <c r="S312" s="375">
        <f>(T311+S311)*(T310-S310)/2</f>
        <v>0</v>
      </c>
      <c r="T312" s="375">
        <f t="shared" si="124"/>
        <v>0</v>
      </c>
      <c r="U312" s="375">
        <f t="shared" si="124"/>
        <v>0</v>
      </c>
      <c r="V312" s="375">
        <f t="shared" si="124"/>
        <v>0</v>
      </c>
      <c r="W312" s="375">
        <f>(X311+W311)*(X310-W310)/2</f>
        <v>0</v>
      </c>
      <c r="X312" s="375">
        <f>(Y311+X311)*(Y310-X310)/2</f>
        <v>0</v>
      </c>
      <c r="Y312" s="369"/>
    </row>
    <row r="314" spans="1:25" x14ac:dyDescent="0.2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6" spans="1:25" x14ac:dyDescent="0.2">
      <c r="A316" s="397" t="str">
        <f>IF(Lang="Français","Liste des propu affichés :","Motor list (shown):")</f>
        <v>Liste des propu affichés :</v>
      </c>
      <c r="C316" s="643" t="s">
        <v>275</v>
      </c>
      <c r="D316" s="644"/>
      <c r="F316" s="643" t="s">
        <v>182</v>
      </c>
      <c r="G316" s="644"/>
      <c r="H316" s="12"/>
      <c r="I316" s="643" t="s">
        <v>397</v>
      </c>
      <c r="J316" s="644"/>
      <c r="K316" s="12"/>
      <c r="L316" s="643" t="s">
        <v>183</v>
      </c>
      <c r="M316" s="644"/>
      <c r="O316" s="643" t="s">
        <v>396</v>
      </c>
      <c r="P316" s="644"/>
      <c r="R316" s="643" t="s">
        <v>119</v>
      </c>
      <c r="S316" s="644"/>
    </row>
    <row r="317" spans="1:25" x14ac:dyDescent="0.2">
      <c r="A317" s="398" t="str">
        <f t="array" ref="A317:A346">IF(RIGHT(Type_fusee,1)=".",Liste_fusex, IF(LEFT(Type_fusee,4)="Mini",Liste_minif, IF(LEFT(Type_fusee,5)="Micro",Liste_µfu, IF(RIGHT(Type_fusee,1)=" ",Liste_H2O, IF(LEFT(Type_fusee,1)="R",Liste_RC, IF(LEFT(Type_fusee,1)=",",Liste_minifT))))))</f>
        <v>Barasinga (Pro54-5G C)</v>
      </c>
      <c r="C317" s="635" t="str">
        <f>A26</f>
        <v>H2O 1.5L 300g 6bar</v>
      </c>
      <c r="D317" s="636"/>
      <c r="F317" s="635" t="str">
        <f>A67</f>
        <v>µ-propu A8-3</v>
      </c>
      <c r="G317" s="636"/>
      <c r="H317" s="473"/>
      <c r="I317" s="633" t="str">
        <f>A148</f>
        <v>p29-1G 56F31</v>
      </c>
      <c r="J317" s="634"/>
      <c r="K317" s="473"/>
      <c r="L317" s="633" t="str">
        <f>A148</f>
        <v>p29-1G 56F31</v>
      </c>
      <c r="M317" s="634"/>
      <c r="O317" s="635" t="str">
        <f>A108</f>
        <v>p24-1G 24E22</v>
      </c>
      <c r="P317" s="636"/>
      <c r="R317" s="635" t="str">
        <f>A279</f>
        <v>Barasinga (Pro54-5G C)</v>
      </c>
      <c r="S317" s="636"/>
    </row>
    <row r="318" spans="1:25" x14ac:dyDescent="0.2">
      <c r="A318" s="398" t="str">
        <v>Orignal (Pro75-3G C)</v>
      </c>
      <c r="C318" s="635" t="str">
        <f>A31</f>
        <v>H2O 1.5L 450g 6bar</v>
      </c>
      <c r="D318" s="636"/>
      <c r="F318" s="635" t="str">
        <f>A72</f>
        <v>µ-propu B4-4</v>
      </c>
      <c r="G318" s="636"/>
      <c r="H318" s="473"/>
      <c r="I318" s="633" t="str">
        <f>A153</f>
        <v>p29-1G 56F120</v>
      </c>
      <c r="J318" s="634"/>
      <c r="K318" s="473"/>
      <c r="L318" s="633" t="str">
        <f>A153</f>
        <v>p29-1G 56F120</v>
      </c>
      <c r="M318" s="634"/>
      <c r="O318" s="635" t="str">
        <f>A113</f>
        <v>p24-1G 25E75 (Rufina)</v>
      </c>
      <c r="P318" s="636"/>
      <c r="R318" s="635" t="str">
        <f>A289</f>
        <v>Orignal (Pro75-3G C)</v>
      </c>
      <c r="S318" s="636"/>
    </row>
    <row r="319" spans="1:25" x14ac:dyDescent="0.2">
      <c r="A319" s="398" t="str">
        <v xml:space="preserve"> </v>
      </c>
      <c r="C319" s="635" t="str">
        <f>A36</f>
        <v>H2O 1.5L 600g 6bar</v>
      </c>
      <c r="D319" s="636"/>
      <c r="F319" s="635" t="str">
        <f>A77</f>
        <v>µ-propu C6-3</v>
      </c>
      <c r="G319" s="636"/>
      <c r="H319" s="473"/>
      <c r="I319" s="633" t="str">
        <f>A158</f>
        <v>p29-1G 57F59</v>
      </c>
      <c r="J319" s="634"/>
      <c r="K319" s="473"/>
      <c r="L319" s="633" t="str">
        <f>A158</f>
        <v>p29-1G 57F59</v>
      </c>
      <c r="M319" s="634"/>
      <c r="O319" s="635" t="str">
        <f>A118</f>
        <v>p24-1G 26E31</v>
      </c>
      <c r="P319" s="636"/>
      <c r="R319" s="635" t="s">
        <v>184</v>
      </c>
      <c r="S319" s="636"/>
    </row>
    <row r="320" spans="1:25" x14ac:dyDescent="0.2">
      <c r="A320" s="398" t="str">
        <v xml:space="preserve"> </v>
      </c>
      <c r="C320" s="635" t="str">
        <f>A41</f>
        <v>H2O 1.5L 750g 6bar</v>
      </c>
      <c r="D320" s="636"/>
      <c r="F320" s="635" t="str">
        <f>A82</f>
        <v>µ-propu C6-3 x2</v>
      </c>
      <c r="G320" s="636"/>
      <c r="H320" s="473"/>
      <c r="I320" s="633" t="str">
        <f>A183</f>
        <v>p24-3G 74F85</v>
      </c>
      <c r="J320" s="634"/>
      <c r="K320" s="473"/>
      <c r="L320" s="633" t="str">
        <f>A228</f>
        <v>p29-2G 116G126</v>
      </c>
      <c r="M320" s="634"/>
      <c r="O320" s="635" t="str">
        <f>A123</f>
        <v>p24-2G 50E51</v>
      </c>
      <c r="P320" s="636"/>
      <c r="R320" s="635" t="s">
        <v>184</v>
      </c>
      <c r="S320" s="636"/>
    </row>
    <row r="321" spans="1:19" x14ac:dyDescent="0.2">
      <c r="A321" s="398" t="str">
        <v xml:space="preserve"> </v>
      </c>
      <c r="C321" s="635" t="str">
        <f>A46</f>
        <v>H2O 2.0L 400g 6bar</v>
      </c>
      <c r="D321" s="636"/>
      <c r="F321" s="635" t="str">
        <f>A87</f>
        <v>µ-propu C6-3 x3</v>
      </c>
      <c r="G321" s="636"/>
      <c r="H321" s="473"/>
      <c r="I321" s="633" t="str">
        <f>A188</f>
        <v>p24-3G 75F51</v>
      </c>
      <c r="J321" s="634"/>
      <c r="K321" s="473"/>
      <c r="L321" s="633" t="s">
        <v>184</v>
      </c>
      <c r="M321" s="634"/>
      <c r="O321" s="635" t="str">
        <f>A128</f>
        <v>p24-1G 53E70</v>
      </c>
      <c r="P321" s="636"/>
      <c r="R321" s="635" t="s">
        <v>184</v>
      </c>
      <c r="S321" s="636"/>
    </row>
    <row r="322" spans="1:19" x14ac:dyDescent="0.2">
      <c r="A322" s="398" t="str">
        <v xml:space="preserve"> </v>
      </c>
      <c r="C322" s="635" t="str">
        <f>A51</f>
        <v>H2O 2.0L 600g 6bar</v>
      </c>
      <c r="D322" s="636"/>
      <c r="F322" s="635" t="s">
        <v>184</v>
      </c>
      <c r="G322" s="636"/>
      <c r="H322" s="473"/>
      <c r="I322" s="633" t="s">
        <v>184</v>
      </c>
      <c r="J322" s="634"/>
      <c r="K322" s="473"/>
      <c r="L322" s="635" t="str">
        <f>A198</f>
        <v>Pandora (Pro24-6G BS)</v>
      </c>
      <c r="M322" s="636"/>
      <c r="O322" s="635" t="str">
        <f>A133</f>
        <v>p29-1G 41F36</v>
      </c>
      <c r="P322" s="636"/>
      <c r="R322" s="635" t="s">
        <v>184</v>
      </c>
      <c r="S322" s="636"/>
    </row>
    <row r="323" spans="1:19" x14ac:dyDescent="0.2">
      <c r="A323" s="398" t="str">
        <v xml:space="preserve"> </v>
      </c>
      <c r="C323" s="635" t="str">
        <f>A56</f>
        <v>H2O 2.0L 800g 6bar</v>
      </c>
      <c r="D323" s="636"/>
      <c r="F323" s="635" t="s">
        <v>184</v>
      </c>
      <c r="G323" s="636"/>
      <c r="H323" s="473"/>
      <c r="I323" s="633" t="s">
        <v>184</v>
      </c>
      <c r="J323" s="634"/>
      <c r="K323" s="473"/>
      <c r="L323" s="635" t="s">
        <v>184</v>
      </c>
      <c r="M323" s="636"/>
      <c r="O323" s="635" t="str">
        <f>A138</f>
        <v>p29-1G 51F36</v>
      </c>
      <c r="P323" s="636"/>
      <c r="R323" s="635" t="s">
        <v>184</v>
      </c>
      <c r="S323" s="636"/>
    </row>
    <row r="324" spans="1:19" x14ac:dyDescent="0.2">
      <c r="A324" s="398" t="str">
        <v xml:space="preserve"> </v>
      </c>
      <c r="C324" s="635" t="str">
        <f>A61</f>
        <v>H2O 2.0L 1000g 6bar</v>
      </c>
      <c r="D324" s="636"/>
      <c r="F324" s="635" t="s">
        <v>184</v>
      </c>
      <c r="G324" s="636"/>
      <c r="H324" s="473"/>
      <c r="I324" s="633" t="s">
        <v>184</v>
      </c>
      <c r="J324" s="634"/>
      <c r="K324" s="473"/>
      <c r="L324" s="635" t="str">
        <f>A92</f>
        <v>Klima D9-7</v>
      </c>
      <c r="M324" s="636"/>
      <c r="O324" s="635" t="str">
        <f>A143</f>
        <v>p29-1G 55F29</v>
      </c>
      <c r="P324" s="636"/>
      <c r="R324" s="635" t="s">
        <v>184</v>
      </c>
      <c r="S324" s="636"/>
    </row>
    <row r="325" spans="1:19" x14ac:dyDescent="0.2">
      <c r="A325" s="398" t="str">
        <v xml:space="preserve"> </v>
      </c>
      <c r="C325" s="635" t="s">
        <v>184</v>
      </c>
      <c r="D325" s="636"/>
      <c r="F325" s="635" t="s">
        <v>184</v>
      </c>
      <c r="G325" s="636"/>
      <c r="H325" s="473"/>
      <c r="I325" s="633" t="s">
        <v>184</v>
      </c>
      <c r="J325" s="634"/>
      <c r="K325" s="473"/>
      <c r="L325" s="635" t="str">
        <f>A97</f>
        <v>Klima D9-7 x2</v>
      </c>
      <c r="M325" s="636"/>
      <c r="O325" s="635" t="str">
        <f>A153</f>
        <v>p29-1G 56F120</v>
      </c>
      <c r="P325" s="636"/>
      <c r="R325" s="635" t="s">
        <v>184</v>
      </c>
      <c r="S325" s="636"/>
    </row>
    <row r="326" spans="1:19" x14ac:dyDescent="0.2">
      <c r="A326" s="398" t="str">
        <v xml:space="preserve"> </v>
      </c>
      <c r="C326" s="635" t="s">
        <v>184</v>
      </c>
      <c r="D326" s="636"/>
      <c r="F326" s="635" t="s">
        <v>184</v>
      </c>
      <c r="G326" s="636"/>
      <c r="H326" s="473"/>
      <c r="I326" s="633" t="s">
        <v>184</v>
      </c>
      <c r="J326" s="634"/>
      <c r="K326" s="473"/>
      <c r="L326" s="635" t="str">
        <f>A102</f>
        <v>Klima D9-7 x3</v>
      </c>
      <c r="M326" s="636"/>
      <c r="O326" s="635" t="str">
        <f>A158</f>
        <v>p29-1G 57F59</v>
      </c>
      <c r="P326" s="636"/>
      <c r="R326" s="635" t="s">
        <v>184</v>
      </c>
      <c r="S326" s="636"/>
    </row>
    <row r="327" spans="1:19" x14ac:dyDescent="0.2">
      <c r="A327" s="398" t="str">
        <v xml:space="preserve"> </v>
      </c>
      <c r="C327" s="635" t="s">
        <v>184</v>
      </c>
      <c r="D327" s="636"/>
      <c r="F327" s="635" t="s">
        <v>184</v>
      </c>
      <c r="G327" s="636"/>
      <c r="H327" s="473"/>
      <c r="I327" s="633" t="s">
        <v>184</v>
      </c>
      <c r="J327" s="634"/>
      <c r="K327" s="473"/>
      <c r="L327" s="635" t="s">
        <v>184</v>
      </c>
      <c r="M327" s="636"/>
      <c r="O327" s="635" t="str">
        <f>A163</f>
        <v>p24-3G 60F50</v>
      </c>
      <c r="P327" s="636"/>
      <c r="R327" s="635" t="s">
        <v>184</v>
      </c>
      <c r="S327" s="636"/>
    </row>
    <row r="328" spans="1:19" x14ac:dyDescent="0.2">
      <c r="A328" s="398" t="str">
        <v xml:space="preserve"> </v>
      </c>
      <c r="C328" s="635" t="s">
        <v>184</v>
      </c>
      <c r="D328" s="636"/>
      <c r="F328" s="635" t="s">
        <v>184</v>
      </c>
      <c r="G328" s="636"/>
      <c r="H328" s="473"/>
      <c r="I328" s="633" t="s">
        <v>184</v>
      </c>
      <c r="J328" s="634"/>
      <c r="K328" s="473"/>
      <c r="L328" s="635" t="s">
        <v>184</v>
      </c>
      <c r="M328" s="636"/>
      <c r="O328" s="635" t="str">
        <f>A168</f>
        <v>p24-3G 68F79</v>
      </c>
      <c r="P328" s="636"/>
      <c r="R328" s="635" t="s">
        <v>184</v>
      </c>
      <c r="S328" s="636"/>
    </row>
    <row r="329" spans="1:19" x14ac:dyDescent="0.2">
      <c r="A329" s="398" t="str">
        <v xml:space="preserve"> </v>
      </c>
      <c r="C329" s="635" t="s">
        <v>184</v>
      </c>
      <c r="D329" s="636"/>
      <c r="F329" s="635" t="s">
        <v>184</v>
      </c>
      <c r="G329" s="636"/>
      <c r="H329" s="473"/>
      <c r="I329" s="633" t="s">
        <v>184</v>
      </c>
      <c r="J329" s="634"/>
      <c r="K329" s="473"/>
      <c r="L329" s="635" t="s">
        <v>184</v>
      </c>
      <c r="M329" s="636"/>
      <c r="O329" s="635" t="str">
        <f>A173</f>
        <v>p24-3G 68F240</v>
      </c>
      <c r="P329" s="636"/>
      <c r="R329" s="635" t="s">
        <v>184</v>
      </c>
      <c r="S329" s="636"/>
    </row>
    <row r="330" spans="1:19" x14ac:dyDescent="0.2">
      <c r="A330" s="398" t="str">
        <v xml:space="preserve"> </v>
      </c>
      <c r="C330" s="635" t="s">
        <v>184</v>
      </c>
      <c r="D330" s="636"/>
      <c r="F330" s="635" t="s">
        <v>184</v>
      </c>
      <c r="G330" s="636"/>
      <c r="H330" s="473"/>
      <c r="I330" s="633" t="s">
        <v>184</v>
      </c>
      <c r="J330" s="634"/>
      <c r="K330" s="473"/>
      <c r="L330" s="635" t="s">
        <v>184</v>
      </c>
      <c r="M330" s="636"/>
      <c r="O330" s="635" t="str">
        <f>A178</f>
        <v>p24-3G 73F30</v>
      </c>
      <c r="P330" s="636"/>
      <c r="R330" s="635" t="s">
        <v>184</v>
      </c>
      <c r="S330" s="636"/>
    </row>
    <row r="331" spans="1:19" x14ac:dyDescent="0.2">
      <c r="A331" s="398" t="str">
        <v xml:space="preserve"> </v>
      </c>
      <c r="C331" s="635" t="s">
        <v>184</v>
      </c>
      <c r="D331" s="636"/>
      <c r="F331" s="635" t="s">
        <v>184</v>
      </c>
      <c r="G331" s="636"/>
      <c r="H331" s="473"/>
      <c r="I331" s="641" t="s">
        <v>184</v>
      </c>
      <c r="J331" s="642"/>
      <c r="K331" s="473"/>
      <c r="L331" s="635" t="s">
        <v>184</v>
      </c>
      <c r="M331" s="636"/>
      <c r="O331" s="635" t="str">
        <f>A183</f>
        <v>p24-3G 74F85</v>
      </c>
      <c r="P331" s="636"/>
      <c r="R331" s="635" t="s">
        <v>184</v>
      </c>
      <c r="S331" s="636"/>
    </row>
    <row r="332" spans="1:19" x14ac:dyDescent="0.2">
      <c r="A332" s="462" t="str">
        <v xml:space="preserve"> </v>
      </c>
      <c r="C332" s="638" t="s">
        <v>184</v>
      </c>
      <c r="D332" s="639"/>
      <c r="F332" s="638" t="s">
        <v>184</v>
      </c>
      <c r="G332" s="639"/>
      <c r="H332" s="473"/>
      <c r="I332" s="638" t="s">
        <v>184</v>
      </c>
      <c r="J332" s="639"/>
      <c r="K332" s="473"/>
      <c r="L332" s="638" t="s">
        <v>184</v>
      </c>
      <c r="M332" s="639"/>
      <c r="O332" s="635" t="str">
        <f>A188</f>
        <v>p24-3G 75F51</v>
      </c>
      <c r="P332" s="636"/>
      <c r="R332" s="638" t="s">
        <v>184</v>
      </c>
      <c r="S332" s="639"/>
    </row>
    <row r="333" spans="1:19" x14ac:dyDescent="0.2">
      <c r="A333" s="398" t="str">
        <v xml:space="preserve"> </v>
      </c>
      <c r="C333" s="645" t="s">
        <v>184</v>
      </c>
      <c r="D333" s="645"/>
      <c r="F333" s="645" t="s">
        <v>184</v>
      </c>
      <c r="G333" s="645"/>
      <c r="I333" s="632" t="s">
        <v>184</v>
      </c>
      <c r="J333" s="632"/>
      <c r="L333" s="632" t="s">
        <v>184</v>
      </c>
      <c r="M333" s="632"/>
      <c r="O333" s="635" t="str">
        <f>A213</f>
        <v>p29-2G 84G88</v>
      </c>
      <c r="P333" s="636"/>
      <c r="R333" s="640" t="s">
        <v>184</v>
      </c>
      <c r="S333" s="640"/>
    </row>
    <row r="334" spans="1:19" x14ac:dyDescent="0.2">
      <c r="A334" s="398" t="str">
        <v>Isard</v>
      </c>
      <c r="C334" s="629" t="s">
        <v>184</v>
      </c>
      <c r="D334" s="629"/>
      <c r="F334" s="629" t="s">
        <v>184</v>
      </c>
      <c r="G334" s="629"/>
      <c r="I334" s="632" t="s">
        <v>184</v>
      </c>
      <c r="J334" s="632"/>
      <c r="L334" s="632" t="s">
        <v>184</v>
      </c>
      <c r="M334" s="632"/>
      <c r="O334" s="635" t="str">
        <f>A218</f>
        <v>p29-2G 93G80</v>
      </c>
      <c r="P334" s="636"/>
      <c r="R334" s="637" t="str">
        <f>A269</f>
        <v>Isard</v>
      </c>
      <c r="S334" s="637"/>
    </row>
    <row r="335" spans="1:19" x14ac:dyDescent="0.2">
      <c r="A335" s="398" t="str">
        <v>Chamois</v>
      </c>
      <c r="C335" s="629" t="s">
        <v>184</v>
      </c>
      <c r="D335" s="629"/>
      <c r="F335" s="629" t="s">
        <v>184</v>
      </c>
      <c r="G335" s="629"/>
      <c r="I335" s="632" t="s">
        <v>184</v>
      </c>
      <c r="J335" s="632"/>
      <c r="L335" s="632" t="s">
        <v>184</v>
      </c>
      <c r="M335" s="632"/>
      <c r="O335" s="635" t="str">
        <f>A223</f>
        <v>p29-2G 110G250</v>
      </c>
      <c r="P335" s="636"/>
      <c r="R335" s="637" t="str">
        <f>A274</f>
        <v>Chamois</v>
      </c>
      <c r="S335" s="637"/>
    </row>
    <row r="336" spans="1:19" x14ac:dyDescent="0.2">
      <c r="A336" s="398" t="str">
        <v>Pro75-2G</v>
      </c>
      <c r="C336" s="629" t="s">
        <v>184</v>
      </c>
      <c r="D336" s="629"/>
      <c r="F336" s="629" t="s">
        <v>184</v>
      </c>
      <c r="G336" s="629"/>
      <c r="I336" s="632" t="s">
        <v>184</v>
      </c>
      <c r="J336" s="632"/>
      <c r="L336" s="632" t="s">
        <v>184</v>
      </c>
      <c r="M336" s="632"/>
      <c r="O336" s="635" t="str">
        <f>A228</f>
        <v>p29-2G 116G126</v>
      </c>
      <c r="P336" s="636"/>
      <c r="R336" s="637" t="str">
        <f>A284</f>
        <v>Pro75-2G</v>
      </c>
      <c r="S336" s="637"/>
    </row>
    <row r="337" spans="1:19" x14ac:dyDescent="0.2">
      <c r="A337" s="398" t="str">
        <v>Pro98-2G WT</v>
      </c>
      <c r="C337" s="629" t="s">
        <v>184</v>
      </c>
      <c r="D337" s="629"/>
      <c r="F337" s="629" t="s">
        <v>184</v>
      </c>
      <c r="G337" s="629"/>
      <c r="I337" s="632" t="s">
        <v>184</v>
      </c>
      <c r="J337" s="632"/>
      <c r="L337" s="632" t="s">
        <v>184</v>
      </c>
      <c r="M337" s="632"/>
      <c r="O337" s="635" t="str">
        <f>A233</f>
        <v>p29-3G 125G131</v>
      </c>
      <c r="P337" s="636"/>
      <c r="R337" s="637" t="str">
        <f>A294</f>
        <v>Pro98-2G WT</v>
      </c>
      <c r="S337" s="637"/>
    </row>
    <row r="338" spans="1:19" x14ac:dyDescent="0.2">
      <c r="A338" s="398" t="str">
        <v>Pro98-3G WT</v>
      </c>
      <c r="C338" s="629" t="s">
        <v>184</v>
      </c>
      <c r="D338" s="629"/>
      <c r="F338" s="629" t="s">
        <v>184</v>
      </c>
      <c r="G338" s="629"/>
      <c r="I338" s="632" t="s">
        <v>184</v>
      </c>
      <c r="J338" s="632"/>
      <c r="L338" s="632" t="s">
        <v>184</v>
      </c>
      <c r="M338" s="632"/>
      <c r="O338" s="635" t="str">
        <f>A248</f>
        <v>p38-1G 128G185</v>
      </c>
      <c r="P338" s="636"/>
      <c r="R338" s="637" t="str">
        <f>A299</f>
        <v>Pro98-3G WT</v>
      </c>
      <c r="S338" s="637"/>
    </row>
    <row r="339" spans="1:19" x14ac:dyDescent="0.2">
      <c r="A339" s="398" t="str">
        <v>Aucun (2e ét. inerte)</v>
      </c>
      <c r="C339" s="629" t="s">
        <v>184</v>
      </c>
      <c r="D339" s="629"/>
      <c r="F339" s="629" t="s">
        <v>184</v>
      </c>
      <c r="G339" s="629"/>
      <c r="I339" s="632" t="s">
        <v>184</v>
      </c>
      <c r="J339" s="632"/>
      <c r="L339" s="632" t="s">
        <v>184</v>
      </c>
      <c r="M339" s="632"/>
      <c r="O339" s="635" t="str">
        <f>A243</f>
        <v>p38-1G 137G58</v>
      </c>
      <c r="P339" s="636"/>
      <c r="R339" s="637" t="str">
        <f>A309</f>
        <v>Aucun (2e ét. inerte)</v>
      </c>
      <c r="S339" s="637"/>
    </row>
    <row r="340" spans="1:19" x14ac:dyDescent="0.2">
      <c r="A340" s="398" t="str">
        <v xml:space="preserve"> </v>
      </c>
      <c r="C340" s="629" t="s">
        <v>184</v>
      </c>
      <c r="D340" s="629"/>
      <c r="F340" s="629" t="s">
        <v>184</v>
      </c>
      <c r="G340" s="629"/>
      <c r="I340" s="632" t="s">
        <v>184</v>
      </c>
      <c r="J340" s="632"/>
      <c r="L340" s="632" t="s">
        <v>184</v>
      </c>
      <c r="M340" s="632"/>
      <c r="O340" s="635" t="str">
        <f>A253</f>
        <v>p38-1G 141G78</v>
      </c>
      <c r="P340" s="636"/>
      <c r="R340" s="632" t="s">
        <v>184</v>
      </c>
      <c r="S340" s="632"/>
    </row>
    <row r="341" spans="1:19" x14ac:dyDescent="0.2">
      <c r="A341" s="398" t="str">
        <v xml:space="preserve"> </v>
      </c>
      <c r="C341" s="629" t="s">
        <v>184</v>
      </c>
      <c r="D341" s="629"/>
      <c r="F341" s="629" t="s">
        <v>184</v>
      </c>
      <c r="G341" s="629"/>
      <c r="I341" s="629" t="s">
        <v>184</v>
      </c>
      <c r="J341" s="629"/>
      <c r="L341" s="632" t="s">
        <v>184</v>
      </c>
      <c r="M341" s="632"/>
      <c r="O341" s="635" t="str">
        <f>A193</f>
        <v>p24-6G 140G145 PK</v>
      </c>
      <c r="P341" s="636"/>
      <c r="R341" s="629" t="s">
        <v>184</v>
      </c>
      <c r="S341" s="629"/>
    </row>
    <row r="342" spans="1:19" x14ac:dyDescent="0.2">
      <c r="A342" s="398" t="str">
        <v xml:space="preserve"> </v>
      </c>
      <c r="C342" s="629" t="s">
        <v>184</v>
      </c>
      <c r="D342" s="629"/>
      <c r="F342" s="629" t="s">
        <v>184</v>
      </c>
      <c r="G342" s="629"/>
      <c r="I342" s="629" t="s">
        <v>184</v>
      </c>
      <c r="J342" s="629"/>
      <c r="L342" s="632" t="s">
        <v>184</v>
      </c>
      <c r="M342" s="632"/>
      <c r="O342" s="635" t="str">
        <f>A198</f>
        <v>Pandora (Pro24-6G BS)</v>
      </c>
      <c r="P342" s="636"/>
      <c r="R342" s="629" t="s">
        <v>184</v>
      </c>
      <c r="S342" s="629"/>
    </row>
    <row r="343" spans="1:19" x14ac:dyDescent="0.2">
      <c r="A343" s="398" t="str">
        <v xml:space="preserve"> </v>
      </c>
      <c r="C343" s="629" t="s">
        <v>184</v>
      </c>
      <c r="D343" s="629"/>
      <c r="F343" s="629" t="s">
        <v>184</v>
      </c>
      <c r="G343" s="629"/>
      <c r="I343" s="629" t="s">
        <v>184</v>
      </c>
      <c r="J343" s="629"/>
      <c r="L343" s="629" t="s">
        <v>184</v>
      </c>
      <c r="M343" s="629"/>
      <c r="O343" s="633" t="str">
        <f>A203</f>
        <v>p24-6G 142G117 WT</v>
      </c>
      <c r="P343" s="634"/>
      <c r="R343" s="629" t="s">
        <v>184</v>
      </c>
      <c r="S343" s="629"/>
    </row>
    <row r="344" spans="1:19" x14ac:dyDescent="0.2">
      <c r="A344" s="398" t="str">
        <v xml:space="preserve"> </v>
      </c>
      <c r="C344" s="629" t="s">
        <v>184</v>
      </c>
      <c r="D344" s="629"/>
      <c r="F344" s="629" t="s">
        <v>184</v>
      </c>
      <c r="G344" s="629"/>
      <c r="I344" s="629" t="s">
        <v>184</v>
      </c>
      <c r="J344" s="629"/>
      <c r="L344" s="629" t="s">
        <v>184</v>
      </c>
      <c r="M344" s="629"/>
      <c r="O344" s="633" t="str">
        <f>A208</f>
        <v>p24-6G 139G107 DT</v>
      </c>
      <c r="P344" s="634"/>
      <c r="R344" s="629" t="s">
        <v>184</v>
      </c>
      <c r="S344" s="629"/>
    </row>
    <row r="345" spans="1:19" x14ac:dyDescent="0.2">
      <c r="A345" s="398" t="str">
        <v xml:space="preserve"> </v>
      </c>
      <c r="C345" s="629" t="s">
        <v>184</v>
      </c>
      <c r="D345" s="629"/>
      <c r="F345" s="629" t="s">
        <v>184</v>
      </c>
      <c r="G345" s="629"/>
      <c r="I345" s="629" t="s">
        <v>184</v>
      </c>
      <c r="J345" s="629"/>
      <c r="L345" s="629" t="s">
        <v>184</v>
      </c>
      <c r="M345" s="629"/>
      <c r="O345" s="633" t="str">
        <f>A263</f>
        <v>Cariacou</v>
      </c>
      <c r="P345" s="634"/>
      <c r="R345" s="629" t="s">
        <v>184</v>
      </c>
      <c r="S345" s="629"/>
    </row>
    <row r="346" spans="1:19" x14ac:dyDescent="0.2">
      <c r="A346" s="474" t="str">
        <v xml:space="preserve"> </v>
      </c>
      <c r="C346" s="629" t="s">
        <v>184</v>
      </c>
      <c r="D346" s="629"/>
      <c r="F346" s="629" t="s">
        <v>184</v>
      </c>
      <c r="G346" s="629"/>
      <c r="I346" s="629" t="s">
        <v>184</v>
      </c>
      <c r="J346" s="629"/>
      <c r="L346" s="629" t="s">
        <v>184</v>
      </c>
      <c r="M346" s="629"/>
      <c r="O346" s="630" t="str">
        <f>A258</f>
        <v>Wapiti</v>
      </c>
      <c r="P346" s="631"/>
      <c r="R346" s="629" t="s">
        <v>184</v>
      </c>
      <c r="S346" s="629"/>
    </row>
  </sheetData>
  <sheetProtection password="C6AC" sheet="1" objects="1" scenarios="1"/>
  <dataConsolidate/>
  <mergeCells count="186">
    <mergeCell ref="C333:D333"/>
    <mergeCell ref="L343:M343"/>
    <mergeCell ref="L344:M344"/>
    <mergeCell ref="F338:G338"/>
    <mergeCell ref="C341:D341"/>
    <mergeCell ref="C342:D342"/>
    <mergeCell ref="C343:D343"/>
    <mergeCell ref="I342:J342"/>
    <mergeCell ref="I343:J343"/>
    <mergeCell ref="L341:M341"/>
    <mergeCell ref="L342:M342"/>
    <mergeCell ref="C344:D344"/>
    <mergeCell ref="L338:M338"/>
    <mergeCell ref="F333:G333"/>
    <mergeCell ref="L335:M335"/>
    <mergeCell ref="L336:M336"/>
    <mergeCell ref="I333:J333"/>
    <mergeCell ref="I334:J334"/>
    <mergeCell ref="L339:M339"/>
    <mergeCell ref="L340:M340"/>
    <mergeCell ref="I340:J340"/>
    <mergeCell ref="I339:J339"/>
    <mergeCell ref="F334:G334"/>
    <mergeCell ref="F335:G335"/>
    <mergeCell ref="C345:D345"/>
    <mergeCell ref="C346:D346"/>
    <mergeCell ref="C335:D335"/>
    <mergeCell ref="C336:D336"/>
    <mergeCell ref="C337:D337"/>
    <mergeCell ref="C338:D338"/>
    <mergeCell ref="C339:D339"/>
    <mergeCell ref="C340:D340"/>
    <mergeCell ref="C334:D334"/>
    <mergeCell ref="R316:S316"/>
    <mergeCell ref="R317:S317"/>
    <mergeCell ref="R318:S318"/>
    <mergeCell ref="R319:S319"/>
    <mergeCell ref="R320:S320"/>
    <mergeCell ref="C328:D328"/>
    <mergeCell ref="O328:P328"/>
    <mergeCell ref="R327:S327"/>
    <mergeCell ref="R326:S326"/>
    <mergeCell ref="C321:D321"/>
    <mergeCell ref="O321:P321"/>
    <mergeCell ref="R321:S321"/>
    <mergeCell ref="R325:S325"/>
    <mergeCell ref="R324:S324"/>
    <mergeCell ref="R323:S323"/>
    <mergeCell ref="I321:J321"/>
    <mergeCell ref="I322:J322"/>
    <mergeCell ref="I323:J323"/>
    <mergeCell ref="I324:J324"/>
    <mergeCell ref="I325:J325"/>
    <mergeCell ref="I326:J326"/>
    <mergeCell ref="I327:J327"/>
    <mergeCell ref="L323:M323"/>
    <mergeCell ref="L324:M324"/>
    <mergeCell ref="L317:M317"/>
    <mergeCell ref="C332:D332"/>
    <mergeCell ref="R322:S322"/>
    <mergeCell ref="R328:S328"/>
    <mergeCell ref="R332:S332"/>
    <mergeCell ref="F328:G328"/>
    <mergeCell ref="F322:G322"/>
    <mergeCell ref="O326:P326"/>
    <mergeCell ref="F323:G323"/>
    <mergeCell ref="O331:P331"/>
    <mergeCell ref="R330:S330"/>
    <mergeCell ref="R329:S329"/>
    <mergeCell ref="O329:P329"/>
    <mergeCell ref="R331:S331"/>
    <mergeCell ref="L331:M331"/>
    <mergeCell ref="L332:M332"/>
    <mergeCell ref="L329:M329"/>
    <mergeCell ref="L330:M330"/>
    <mergeCell ref="L325:M325"/>
    <mergeCell ref="C329:D329"/>
    <mergeCell ref="C330:D330"/>
    <mergeCell ref="I332:J332"/>
    <mergeCell ref="C331:D331"/>
    <mergeCell ref="F325:G325"/>
    <mergeCell ref="L316:M316"/>
    <mergeCell ref="C327:D327"/>
    <mergeCell ref="C326:D326"/>
    <mergeCell ref="C325:D325"/>
    <mergeCell ref="C324:D324"/>
    <mergeCell ref="C323:D323"/>
    <mergeCell ref="C322:D322"/>
    <mergeCell ref="O316:P316"/>
    <mergeCell ref="F318:G318"/>
    <mergeCell ref="F317:G317"/>
    <mergeCell ref="O318:P318"/>
    <mergeCell ref="O317:P317"/>
    <mergeCell ref="L318:M318"/>
    <mergeCell ref="C316:D316"/>
    <mergeCell ref="C317:D317"/>
    <mergeCell ref="C318:D318"/>
    <mergeCell ref="C319:D319"/>
    <mergeCell ref="C320:D320"/>
    <mergeCell ref="F316:G316"/>
    <mergeCell ref="L320:M320"/>
    <mergeCell ref="I316:J316"/>
    <mergeCell ref="I317:J317"/>
    <mergeCell ref="I318:J318"/>
    <mergeCell ref="I319:J319"/>
    <mergeCell ref="F331:G331"/>
    <mergeCell ref="F324:G324"/>
    <mergeCell ref="F321:G321"/>
    <mergeCell ref="F320:G320"/>
    <mergeCell ref="O323:P323"/>
    <mergeCell ref="O320:P320"/>
    <mergeCell ref="O319:P319"/>
    <mergeCell ref="O324:P324"/>
    <mergeCell ref="F319:G319"/>
    <mergeCell ref="O322:P322"/>
    <mergeCell ref="I320:J320"/>
    <mergeCell ref="L319:M319"/>
    <mergeCell ref="L326:M326"/>
    <mergeCell ref="L327:M327"/>
    <mergeCell ref="L321:M321"/>
    <mergeCell ref="L322:M322"/>
    <mergeCell ref="O325:P325"/>
    <mergeCell ref="O330:P330"/>
    <mergeCell ref="F327:G327"/>
    <mergeCell ref="F326:G326"/>
    <mergeCell ref="F336:G336"/>
    <mergeCell ref="F337:G337"/>
    <mergeCell ref="O327:P327"/>
    <mergeCell ref="O333:P333"/>
    <mergeCell ref="L328:M328"/>
    <mergeCell ref="I336:J336"/>
    <mergeCell ref="O332:P332"/>
    <mergeCell ref="L333:M333"/>
    <mergeCell ref="I341:J341"/>
    <mergeCell ref="O337:P337"/>
    <mergeCell ref="F339:G339"/>
    <mergeCell ref="F340:G340"/>
    <mergeCell ref="O338:P338"/>
    <mergeCell ref="O336:P336"/>
    <mergeCell ref="I328:J328"/>
    <mergeCell ref="I329:J329"/>
    <mergeCell ref="I330:J330"/>
    <mergeCell ref="I331:J331"/>
    <mergeCell ref="I335:J335"/>
    <mergeCell ref="L337:M337"/>
    <mergeCell ref="O341:P341"/>
    <mergeCell ref="L334:M334"/>
    <mergeCell ref="F329:G329"/>
    <mergeCell ref="F330:G330"/>
    <mergeCell ref="R340:S340"/>
    <mergeCell ref="R341:S341"/>
    <mergeCell ref="R343:S343"/>
    <mergeCell ref="R344:S344"/>
    <mergeCell ref="R345:S345"/>
    <mergeCell ref="O345:P345"/>
    <mergeCell ref="O340:P340"/>
    <mergeCell ref="R339:S339"/>
    <mergeCell ref="F332:G332"/>
    <mergeCell ref="O343:P343"/>
    <mergeCell ref="R338:S338"/>
    <mergeCell ref="R336:S336"/>
    <mergeCell ref="R337:S337"/>
    <mergeCell ref="R334:S334"/>
    <mergeCell ref="F341:G341"/>
    <mergeCell ref="O342:P342"/>
    <mergeCell ref="O335:P335"/>
    <mergeCell ref="O334:P334"/>
    <mergeCell ref="O339:P339"/>
    <mergeCell ref="O344:P344"/>
    <mergeCell ref="R335:S335"/>
    <mergeCell ref="R333:S333"/>
    <mergeCell ref="I337:J337"/>
    <mergeCell ref="I338:J338"/>
    <mergeCell ref="R346:S346"/>
    <mergeCell ref="R342:S342"/>
    <mergeCell ref="F342:G342"/>
    <mergeCell ref="F343:G343"/>
    <mergeCell ref="F344:G344"/>
    <mergeCell ref="F345:G345"/>
    <mergeCell ref="F346:G346"/>
    <mergeCell ref="O346:P346"/>
    <mergeCell ref="L345:M345"/>
    <mergeCell ref="L346:M346"/>
    <mergeCell ref="I344:J344"/>
    <mergeCell ref="I346:J346"/>
    <mergeCell ref="I345:J345"/>
  </mergeCells>
  <phoneticPr fontId="8" type="noConversion"/>
  <pageMargins left="0.39370078740157483" right="0.39370078740157483" top="0.39370078740157483" bottom="0.39370078740157483" header="0" footer="0"/>
  <pageSetup scale="44" firstPageNumber="0" fitToHeight="3" orientation="landscape" horizontalDpi="300" verticalDpi="300" r:id="rId1"/>
  <headerFooter alignWithMargins="0"/>
  <ignoredErrors>
    <ignoredError sqref="R317:S318 C317:D324 F317:G321 O322:P339 O342:P342 R334:S339 O340:O341 O317:P319 O320:P321 P341 M324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>
    <pageSetUpPr fitToPage="1"/>
  </sheetPr>
  <dimension ref="A1:IN1075"/>
  <sheetViews>
    <sheetView showGridLines="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B219" sqref="B219"/>
    </sheetView>
  </sheetViews>
  <sheetFormatPr baseColWidth="10" defaultColWidth="11.42578125" defaultRowHeight="12.75" x14ac:dyDescent="0.2"/>
  <cols>
    <col min="1" max="1" width="4.42578125" style="7" bestFit="1" customWidth="1"/>
    <col min="2" max="2" width="6" style="7" bestFit="1" customWidth="1"/>
    <col min="3" max="3" width="1.42578125" style="8" customWidth="1"/>
    <col min="4" max="4" width="7.140625" style="7" customWidth="1"/>
    <col min="5" max="6" width="7.42578125" style="7" customWidth="1"/>
    <col min="7" max="7" width="7.140625" style="7" customWidth="1"/>
    <col min="8" max="8" width="7.42578125" style="7" customWidth="1"/>
    <col min="9" max="9" width="7.140625" style="7" customWidth="1"/>
    <col min="10" max="12" width="7.42578125" style="7" bestFit="1" customWidth="1"/>
    <col min="13" max="13" width="5.7109375" style="7" customWidth="1"/>
    <col min="14" max="14" width="6.42578125" style="7" customWidth="1"/>
    <col min="15" max="15" width="1.42578125" style="8" customWidth="1"/>
    <col min="16" max="16" width="4" style="7" customWidth="1"/>
    <col min="17" max="17" width="8.42578125" style="7" customWidth="1"/>
    <col min="18" max="18" width="5.7109375" style="7" customWidth="1"/>
    <col min="19" max="19" width="5.28515625" style="7" customWidth="1"/>
    <col min="20" max="20" width="6" style="7" customWidth="1"/>
    <col min="21" max="21" width="8.7109375" style="7" customWidth="1"/>
    <col min="22" max="22" width="6.7109375" style="7" customWidth="1"/>
    <col min="23" max="23" width="7.140625" style="7" customWidth="1"/>
    <col min="24" max="24" width="1.42578125" style="8" customWidth="1"/>
    <col min="25" max="25" width="15.7109375" style="7" customWidth="1"/>
    <col min="26" max="26" width="5.7109375" style="7" customWidth="1"/>
    <col min="27" max="27" width="7.7109375" style="7" customWidth="1"/>
    <col min="28" max="28" width="1.42578125" style="7" customWidth="1"/>
    <col min="29" max="29" width="7.28515625" style="7" bestFit="1" customWidth="1"/>
    <col min="30" max="31" width="6.7109375" style="7" bestFit="1" customWidth="1"/>
    <col min="32" max="32" width="1.85546875" style="7" customWidth="1"/>
    <col min="33" max="238" width="11.42578125" style="7" customWidth="1"/>
    <col min="239" max="239" width="11" style="7" customWidth="1"/>
  </cols>
  <sheetData>
    <row r="1" spans="1:248" ht="13.5" thickBot="1" x14ac:dyDescent="0.25">
      <c r="D1" s="646" t="s">
        <v>266</v>
      </c>
      <c r="E1" s="647"/>
      <c r="F1" s="647"/>
      <c r="G1" s="647"/>
      <c r="H1" s="647"/>
      <c r="I1" s="647"/>
      <c r="J1" s="647"/>
      <c r="K1" s="647"/>
      <c r="L1" s="647"/>
      <c r="M1" s="647"/>
      <c r="N1" s="648"/>
      <c r="P1" s="646" t="s">
        <v>17</v>
      </c>
      <c r="Q1" s="647"/>
      <c r="R1" s="647"/>
      <c r="S1" s="647"/>
      <c r="T1" s="647"/>
      <c r="U1" s="647"/>
      <c r="V1" s="647"/>
      <c r="W1" s="648"/>
      <c r="Y1" s="9"/>
      <c r="Z1" s="9"/>
      <c r="AA1" s="9"/>
      <c r="AC1" s="653" t="s">
        <v>186</v>
      </c>
      <c r="AD1" s="653"/>
      <c r="AE1" s="653"/>
      <c r="AG1" s="649" t="s">
        <v>18</v>
      </c>
      <c r="AH1" s="649"/>
    </row>
    <row r="2" spans="1:248" s="12" customFormat="1" x14ac:dyDescent="0.2">
      <c r="A2" s="330" t="s">
        <v>19</v>
      </c>
      <c r="B2" s="331" t="s">
        <v>2</v>
      </c>
      <c r="C2" s="10"/>
      <c r="D2" s="334" t="s">
        <v>193</v>
      </c>
      <c r="E2" s="335" t="s">
        <v>194</v>
      </c>
      <c r="F2" s="331" t="s">
        <v>195</v>
      </c>
      <c r="G2" s="334" t="s">
        <v>190</v>
      </c>
      <c r="H2" s="335" t="s">
        <v>191</v>
      </c>
      <c r="I2" s="331" t="s">
        <v>192</v>
      </c>
      <c r="J2" s="334" t="s">
        <v>187</v>
      </c>
      <c r="K2" s="335" t="s">
        <v>188</v>
      </c>
      <c r="L2" s="331" t="s">
        <v>189</v>
      </c>
      <c r="M2" s="330" t="s">
        <v>20</v>
      </c>
      <c r="N2" s="331" t="s">
        <v>21</v>
      </c>
      <c r="O2" s="10"/>
      <c r="P2" s="330" t="s">
        <v>26</v>
      </c>
      <c r="Q2" s="331" t="s">
        <v>25</v>
      </c>
      <c r="R2" s="330" t="s">
        <v>22</v>
      </c>
      <c r="S2" s="335" t="s">
        <v>39</v>
      </c>
      <c r="T2" s="331" t="s">
        <v>27</v>
      </c>
      <c r="U2" s="338" t="s">
        <v>28</v>
      </c>
      <c r="V2" s="330" t="s">
        <v>24</v>
      </c>
      <c r="W2" s="331" t="s">
        <v>23</v>
      </c>
      <c r="X2" s="11"/>
      <c r="Y2" s="650" t="s">
        <v>185</v>
      </c>
      <c r="Z2" s="651"/>
      <c r="AA2" s="652"/>
      <c r="AC2" s="330" t="s">
        <v>11</v>
      </c>
      <c r="AD2" s="335" t="s">
        <v>3</v>
      </c>
      <c r="AE2" s="331" t="s">
        <v>29</v>
      </c>
      <c r="AG2" s="345" t="s">
        <v>31</v>
      </c>
      <c r="AH2" s="346" t="s">
        <v>30</v>
      </c>
      <c r="IF2"/>
      <c r="IG2"/>
      <c r="IH2"/>
      <c r="II2"/>
      <c r="IJ2"/>
      <c r="IK2"/>
      <c r="IL2"/>
      <c r="IM2"/>
      <c r="IN2"/>
    </row>
    <row r="3" spans="1:248" s="12" customFormat="1" x14ac:dyDescent="0.2">
      <c r="A3" s="332" t="s">
        <v>154</v>
      </c>
      <c r="B3" s="333" t="s">
        <v>154</v>
      </c>
      <c r="C3" s="10"/>
      <c r="D3" s="336" t="s">
        <v>7</v>
      </c>
      <c r="E3" s="337" t="s">
        <v>7</v>
      </c>
      <c r="F3" s="333" t="s">
        <v>7</v>
      </c>
      <c r="G3" s="336" t="s">
        <v>155</v>
      </c>
      <c r="H3" s="337" t="s">
        <v>155</v>
      </c>
      <c r="I3" s="333" t="s">
        <v>155</v>
      </c>
      <c r="J3" s="336" t="s">
        <v>39</v>
      </c>
      <c r="K3" s="337" t="s">
        <v>39</v>
      </c>
      <c r="L3" s="333" t="s">
        <v>39</v>
      </c>
      <c r="M3" s="332" t="s">
        <v>244</v>
      </c>
      <c r="N3" s="333" t="s">
        <v>156</v>
      </c>
      <c r="O3" s="10"/>
      <c r="P3" s="336" t="s">
        <v>14</v>
      </c>
      <c r="Q3" s="339" t="s">
        <v>227</v>
      </c>
      <c r="R3" s="336" t="s">
        <v>245</v>
      </c>
      <c r="S3" s="340" t="s">
        <v>228</v>
      </c>
      <c r="T3" s="339" t="s">
        <v>227</v>
      </c>
      <c r="U3" s="341" t="s">
        <v>227</v>
      </c>
      <c r="V3" s="336" t="s">
        <v>8</v>
      </c>
      <c r="W3" s="339" t="s">
        <v>227</v>
      </c>
      <c r="X3" s="11"/>
      <c r="Y3" s="342"/>
      <c r="Z3" s="343"/>
      <c r="AA3" s="344"/>
      <c r="AC3" s="336" t="s">
        <v>154</v>
      </c>
      <c r="AD3" s="340" t="s">
        <v>39</v>
      </c>
      <c r="AE3" s="339" t="s">
        <v>39</v>
      </c>
      <c r="AG3" s="342" t="s">
        <v>7</v>
      </c>
      <c r="AH3" s="339" t="s">
        <v>7</v>
      </c>
      <c r="IF3"/>
      <c r="IG3"/>
      <c r="IH3"/>
      <c r="II3"/>
      <c r="IJ3"/>
      <c r="IK3"/>
      <c r="IL3"/>
      <c r="IM3"/>
      <c r="IN3"/>
    </row>
    <row r="4" spans="1:248" x14ac:dyDescent="0.2">
      <c r="A4" s="292" t="s">
        <v>14</v>
      </c>
      <c r="B4" s="349">
        <f>T_ini</f>
        <v>0</v>
      </c>
      <c r="D4" s="292" t="s">
        <v>14</v>
      </c>
      <c r="E4" s="293" t="s">
        <v>14</v>
      </c>
      <c r="F4" s="294" t="s">
        <v>14</v>
      </c>
      <c r="G4" s="292">
        <f>vit_xz*COS(Beta)</f>
        <v>0</v>
      </c>
      <c r="H4" s="293">
        <f>vit_xz*SIN(Beta)</f>
        <v>0</v>
      </c>
      <c r="I4" s="349">
        <f>V_ini</f>
        <v>0</v>
      </c>
      <c r="J4" s="350">
        <f>X_ini</f>
        <v>0</v>
      </c>
      <c r="K4" s="351">
        <f>Z_ini</f>
        <v>0</v>
      </c>
      <c r="L4" s="327">
        <f t="shared" ref="L4:L67" si="0">SQRT(pos_x^2+pos_z^2)</f>
        <v>0</v>
      </c>
      <c r="M4" s="292">
        <f>RADIANS(N4)</f>
        <v>1.4835298641951802</v>
      </c>
      <c r="N4" s="349">
        <f>Beta_rampe</f>
        <v>85</v>
      </c>
      <c r="P4" s="292" t="s">
        <v>14</v>
      </c>
      <c r="Q4" s="294" t="s">
        <v>14</v>
      </c>
      <c r="R4" s="292" t="s">
        <v>14</v>
      </c>
      <c r="S4" s="351">
        <f ca="1">m_tot</f>
        <v>8.3410000000000011</v>
      </c>
      <c r="T4" s="327">
        <f t="shared" ref="T4:T67" ca="1" si="1">m*g</f>
        <v>81.825210000000013</v>
      </c>
      <c r="U4" s="328">
        <f t="shared" ref="U4:U67" ca="1" si="2">IF(pos_xz&lt;L_rampe,Poids*COS(Beta),0)</f>
        <v>7.1315369530331054</v>
      </c>
      <c r="V4" s="329">
        <f t="shared" ref="V4:V67" si="3">Rho_moyen*(20000-Alt_rampe-pos_z)/(20000+Alt_rampe+pos_z)</f>
        <v>1.2250000000000001</v>
      </c>
      <c r="W4" s="327">
        <f t="shared" ref="W4:W67" si="4">1/2*Rho*Sref*Cx*vit_xz^2</f>
        <v>0</v>
      </c>
      <c r="Y4" s="295" t="s">
        <v>14</v>
      </c>
      <c r="Z4" s="296" t="s">
        <v>14</v>
      </c>
      <c r="AA4" s="297" t="s">
        <v>14</v>
      </c>
      <c r="AC4" s="320">
        <f>IF(ABS(t-ROUND(t,0))&lt;0.001,t,-1)</f>
        <v>0</v>
      </c>
      <c r="AD4" s="321">
        <f>IF(ABS(t-ROUND(t,0))&lt;0.001,pos_x,-1)</f>
        <v>0</v>
      </c>
      <c r="AE4" s="322">
        <f t="shared" ref="AE4:AE67" si="5">IF(t&lt;T_para, pos_z, NA())</f>
        <v>0</v>
      </c>
      <c r="AG4" s="292" t="s">
        <v>14</v>
      </c>
      <c r="AH4" s="294" t="s">
        <v>14</v>
      </c>
    </row>
    <row r="5" spans="1:248" x14ac:dyDescent="0.2">
      <c r="A5" s="347">
        <f t="shared" ref="A5:A68" ca="1" si="6">IF(B4+0.01&lt;=T_ini+ROUNDUP(Temps_fin_propu,0), 0.01, IF(K4&gt;0, 0.1, 0.0001))</f>
        <v>0.01</v>
      </c>
      <c r="B5" s="304">
        <f t="shared" ref="B5:B68" ca="1" si="7">B4+pas</f>
        <v>0.01</v>
      </c>
      <c r="D5" s="306">
        <f t="shared" ref="D5:D68" ca="1" si="8">IF(AND(L4&lt;L_rampe,Poussee&lt;Poids*SIN(M4)),0,(-W4+Poussee)/m*COS(M4)-U4/m*SIN(M4))</f>
        <v>1.3918517689509382</v>
      </c>
      <c r="E5" s="307">
        <f t="shared" ref="E5:E68" ca="1" si="9">IF(AND(L4&lt;L_rampe,Poussee&lt;Poids*SIN(M4)),0,(-W4+Poussee)/m*SIN(M4)+U4/m*COS(M4)-Poids/m)</f>
        <v>15.910203596639386</v>
      </c>
      <c r="F5" s="304">
        <f t="shared" ref="F5:F68" ca="1" si="10">SQRT(acc_x^2+acc_z^2)</f>
        <v>15.970968343630537</v>
      </c>
      <c r="G5" s="306">
        <f t="shared" ref="G5:G68" ca="1" si="11">G4+acc_x*pas</f>
        <v>1.3918517689509382E-2</v>
      </c>
      <c r="H5" s="307">
        <f t="shared" ref="H5:H68" ca="1" si="12">H4+acc_z*pas</f>
        <v>0.15910203596639386</v>
      </c>
      <c r="I5" s="304">
        <f t="shared" ref="I5:I68" ca="1" si="13">SQRT(vit_x^2+vit_z^2)</f>
        <v>0.15970968343630534</v>
      </c>
      <c r="J5" s="306">
        <f t="shared" ref="J5:J68" ca="1" si="14">J4+0.5*(vit_x+G4)*pas*(K4&gt;=0)</f>
        <v>6.9592588447546909E-5</v>
      </c>
      <c r="K5" s="307">
        <f t="shared" ref="K5:K68" ca="1" si="15">K4+0.5*(vit_z+H4)*pas</f>
        <v>7.9551017983196934E-4</v>
      </c>
      <c r="L5" s="304">
        <f t="shared" ca="1" si="0"/>
        <v>7.9854841718152679E-4</v>
      </c>
      <c r="M5" s="306">
        <f t="shared" ref="M5:M68" ca="1" si="16">IF(AND(L4&gt;L_rampe,G5&gt;0),ATAN2(G5,H5),$M$4)</f>
        <v>1.4835298641951802</v>
      </c>
      <c r="N5" s="304">
        <f t="shared" ref="N5:N68" ca="1" si="17">DEGREES(Beta)</f>
        <v>85</v>
      </c>
      <c r="P5" s="310">
        <f t="shared" ref="P5:P68" ca="1" si="18">MATCH(t-pas/2-T_ini,CdP_t)</f>
        <v>1</v>
      </c>
      <c r="Q5" s="304">
        <f t="shared" ref="Q5:Q68" ca="1" si="19">(INDEX(CdP,2,i_P+1)-INDEX(CdP,2,i_P+0))/(INDEX(CdP,1,i_P+1)-INDEX(CdP,1,i_P+0))*(t-pas/2-T_ini-INDEX(CdP,1,i_P+0))+INDEX(CdP,2,i_P+0)</f>
        <v>214.70000000000002</v>
      </c>
      <c r="R5" s="306">
        <f t="shared" ref="R5:R68" ca="1" si="20">Poussee/(g*ISP)</f>
        <v>0.10755015641095009</v>
      </c>
      <c r="S5" s="307">
        <f t="shared" ref="S5:S68" ca="1" si="21">S4-Débit*pas</f>
        <v>8.3399244984358916</v>
      </c>
      <c r="T5" s="304">
        <f t="shared" ca="1" si="1"/>
        <v>81.814659329656095</v>
      </c>
      <c r="U5" s="311">
        <f t="shared" ca="1" si="2"/>
        <v>7.1306174015227954</v>
      </c>
      <c r="V5" s="306">
        <f t="shared" ca="1" si="3"/>
        <v>1.2249999025500071</v>
      </c>
      <c r="W5" s="304">
        <f t="shared" ca="1" si="4"/>
        <v>8.5106057982561726E-5</v>
      </c>
      <c r="Y5" s="314" t="str">
        <f t="shared" ref="Y5:Y68" ca="1" si="22">IF(AND(pos_z&lt;=0,K4&gt;0),"Impact balistique","") &amp; IF(AND(H6&lt;0,vit_z&gt;=0),"Apogée","") &amp; IF(AND(Poussee=0,Q4&gt;0),"Fin de propulsion","") &amp; IF(AND(L6&gt;L_rampe,pos_xz&lt;=L_rampe),"Sortie de rampe","")</f>
        <v/>
      </c>
      <c r="Z5" s="315" t="str">
        <f t="shared" ref="Z5:Z68" ca="1" si="23">IF(ABS(t-T_para)&lt;pas/2,"Para","")</f>
        <v/>
      </c>
      <c r="AA5" s="316" t="str">
        <f t="shared" ref="AA5:AA68" ca="1" si="24">IF(ABS(t-T_satellite)&lt;pas/2,"Satellite","")</f>
        <v/>
      </c>
      <c r="AC5" s="310" t="e">
        <f t="shared" ref="AC5:AC68" ca="1" si="25">IF(ABS(t-ROUND(t,0))&lt;0.001,t,NA())</f>
        <v>#N/A</v>
      </c>
      <c r="AD5" s="323" t="e">
        <f t="shared" ref="AD5:AD68" ca="1" si="26">IF(ABS(t-ROUND(t,0))&lt;0.001,pos_x,NA())</f>
        <v>#N/A</v>
      </c>
      <c r="AE5" s="324">
        <f t="shared" ca="1" si="5"/>
        <v>7.9551017983196934E-4</v>
      </c>
      <c r="AG5" s="306">
        <f t="shared" ref="AG5:AG68" ca="1" si="27">IF(AND(L4&lt;L_rampe,Poussee&lt;Poids*SIN(M4)),0,(-W4+Poussee)/m-Poids*SIN(M4)/m)</f>
        <v>15.970968343249938</v>
      </c>
      <c r="AH5" s="304">
        <f t="shared" ref="AH5:AH68" ca="1" si="28">IF(AND(L4&lt;L_rampe,Poussee&lt;Poids*SIN(M4)), g*SIN(M4), (-W4+Poussee)/m)</f>
        <v>25.743638331529962</v>
      </c>
    </row>
    <row r="6" spans="1:248" x14ac:dyDescent="0.2">
      <c r="A6" s="347">
        <f t="shared" ca="1" si="6"/>
        <v>0.01</v>
      </c>
      <c r="B6" s="304">
        <f t="shared" ca="1" si="7"/>
        <v>0.02</v>
      </c>
      <c r="D6" s="306">
        <f t="shared" ca="1" si="8"/>
        <v>3.8675537001364084</v>
      </c>
      <c r="E6" s="307">
        <f t="shared" ca="1" si="9"/>
        <v>44.209002112277702</v>
      </c>
      <c r="F6" s="304">
        <f t="shared" ca="1" si="10"/>
        <v>44.377853028135704</v>
      </c>
      <c r="G6" s="306">
        <f t="shared" ca="1" si="11"/>
        <v>5.2594054690873471E-2</v>
      </c>
      <c r="H6" s="307">
        <f t="shared" ca="1" si="12"/>
        <v>0.60119205708917089</v>
      </c>
      <c r="I6" s="304">
        <f t="shared" ca="1" si="13"/>
        <v>0.60348821371749717</v>
      </c>
      <c r="J6" s="306">
        <f t="shared" ca="1" si="14"/>
        <v>4.0215545034946119E-4</v>
      </c>
      <c r="K6" s="307">
        <f t="shared" ca="1" si="15"/>
        <v>4.5969806451097925E-3</v>
      </c>
      <c r="L6" s="304">
        <f t="shared" ca="1" si="0"/>
        <v>4.6145379029497438E-3</v>
      </c>
      <c r="M6" s="306">
        <f t="shared" ca="1" si="16"/>
        <v>1.4835298641951802</v>
      </c>
      <c r="N6" s="304">
        <f t="shared" ca="1" si="17"/>
        <v>85</v>
      </c>
      <c r="P6" s="310">
        <f t="shared" ca="1" si="18"/>
        <v>2</v>
      </c>
      <c r="Q6" s="304">
        <f t="shared" ca="1" si="19"/>
        <v>451.48888888888888</v>
      </c>
      <c r="R6" s="306">
        <f t="shared" ca="1" si="20"/>
        <v>0.22616534987333983</v>
      </c>
      <c r="S6" s="307">
        <f t="shared" ca="1" si="21"/>
        <v>8.3376628449371584</v>
      </c>
      <c r="T6" s="304">
        <f t="shared" ca="1" si="1"/>
        <v>81.792472508833526</v>
      </c>
      <c r="U6" s="311">
        <f t="shared" ca="1" si="2"/>
        <v>7.1286836926747954</v>
      </c>
      <c r="V6" s="306">
        <f t="shared" ca="1" si="3"/>
        <v>1.2249994368700003</v>
      </c>
      <c r="W6" s="304">
        <f t="shared" ca="1" si="4"/>
        <v>1.2151654062809096E-3</v>
      </c>
      <c r="Y6" s="314" t="str">
        <f t="shared" ca="1" si="22"/>
        <v/>
      </c>
      <c r="Z6" s="315" t="str">
        <f t="shared" ca="1" si="23"/>
        <v/>
      </c>
      <c r="AA6" s="316" t="str">
        <f t="shared" ca="1" si="24"/>
        <v/>
      </c>
      <c r="AC6" s="310" t="e">
        <f t="shared" ca="1" si="25"/>
        <v>#N/A</v>
      </c>
      <c r="AD6" s="323" t="e">
        <f t="shared" ca="1" si="26"/>
        <v>#N/A</v>
      </c>
      <c r="AE6" s="324">
        <f t="shared" ca="1" si="5"/>
        <v>4.5969806451097925E-3</v>
      </c>
      <c r="AG6" s="306">
        <f t="shared" ca="1" si="27"/>
        <v>44.377853027529667</v>
      </c>
      <c r="AH6" s="304">
        <f t="shared" ca="1" si="28"/>
        <v>54.150523015809689</v>
      </c>
    </row>
    <row r="7" spans="1:248" x14ac:dyDescent="0.2">
      <c r="A7" s="347">
        <f t="shared" ca="1" si="6"/>
        <v>0.01</v>
      </c>
      <c r="B7" s="304">
        <f t="shared" ca="1" si="7"/>
        <v>0.03</v>
      </c>
      <c r="D7" s="306">
        <f t="shared" ca="1" si="8"/>
        <v>4.8956673544158029</v>
      </c>
      <c r="E7" s="307">
        <f t="shared" ca="1" si="9"/>
        <v>55.960974675338974</v>
      </c>
      <c r="F7" s="304">
        <f t="shared" ca="1" si="10"/>
        <v>56.17471179684879</v>
      </c>
      <c r="G7" s="306">
        <f t="shared" ca="1" si="11"/>
        <v>0.1015507282350315</v>
      </c>
      <c r="H7" s="307">
        <f t="shared" ca="1" si="12"/>
        <v>1.1608018038425607</v>
      </c>
      <c r="I7" s="304">
        <f t="shared" ca="1" si="13"/>
        <v>1.1652353316859252</v>
      </c>
      <c r="J7" s="306">
        <f t="shared" ca="1" si="14"/>
        <v>1.172879364978986E-3</v>
      </c>
      <c r="K7" s="307">
        <f t="shared" ca="1" si="15"/>
        <v>1.3406949949768451E-2</v>
      </c>
      <c r="L7" s="304">
        <f t="shared" ca="1" si="0"/>
        <v>1.3458155629966159E-2</v>
      </c>
      <c r="M7" s="306">
        <f t="shared" ca="1" si="16"/>
        <v>1.4835298641951802</v>
      </c>
      <c r="N7" s="304">
        <f t="shared" ca="1" si="17"/>
        <v>85</v>
      </c>
      <c r="P7" s="310">
        <f t="shared" ca="1" si="18"/>
        <v>2</v>
      </c>
      <c r="Q7" s="304">
        <f t="shared" ca="1" si="19"/>
        <v>549.66666666666663</v>
      </c>
      <c r="R7" s="306">
        <f t="shared" ca="1" si="20"/>
        <v>0.27534576606374267</v>
      </c>
      <c r="S7" s="307">
        <f t="shared" ca="1" si="21"/>
        <v>8.3349093872765216</v>
      </c>
      <c r="T7" s="304">
        <f t="shared" ca="1" si="1"/>
        <v>81.765461089182679</v>
      </c>
      <c r="U7" s="311">
        <f t="shared" ca="1" si="2"/>
        <v>7.1263294923324567</v>
      </c>
      <c r="V7" s="306">
        <f t="shared" ca="1" si="3"/>
        <v>1.2249983576497321</v>
      </c>
      <c r="W7" s="304">
        <f t="shared" ca="1" si="4"/>
        <v>4.5302765968912454E-3</v>
      </c>
      <c r="Y7" s="314" t="str">
        <f t="shared" ca="1" si="22"/>
        <v/>
      </c>
      <c r="Z7" s="315" t="str">
        <f t="shared" ca="1" si="23"/>
        <v/>
      </c>
      <c r="AA7" s="316" t="str">
        <f t="shared" ca="1" si="24"/>
        <v/>
      </c>
      <c r="AC7" s="310" t="e">
        <f t="shared" ca="1" si="25"/>
        <v>#N/A</v>
      </c>
      <c r="AD7" s="323" t="e">
        <f t="shared" ca="1" si="26"/>
        <v>#N/A</v>
      </c>
      <c r="AE7" s="324">
        <f t="shared" ca="1" si="5"/>
        <v>1.3406949949768451E-2</v>
      </c>
      <c r="AG7" s="306">
        <f t="shared" ca="1" si="27"/>
        <v>56.174711796138702</v>
      </c>
      <c r="AH7" s="304">
        <f t="shared" ca="1" si="28"/>
        <v>65.947381784418724</v>
      </c>
    </row>
    <row r="8" spans="1:248" x14ac:dyDescent="0.2">
      <c r="A8" s="347">
        <f t="shared" ca="1" si="6"/>
        <v>0.01</v>
      </c>
      <c r="B8" s="304">
        <f t="shared" ca="1" si="7"/>
        <v>0.04</v>
      </c>
      <c r="D8" s="306">
        <f t="shared" ca="1" si="8"/>
        <v>5.9248376435327863</v>
      </c>
      <c r="E8" s="307">
        <f t="shared" ca="1" si="9"/>
        <v>67.725025238549293</v>
      </c>
      <c r="F8" s="304">
        <f t="shared" ca="1" si="10"/>
        <v>67.983694697069552</v>
      </c>
      <c r="G8" s="306">
        <f t="shared" ca="1" si="11"/>
        <v>0.16079910467035935</v>
      </c>
      <c r="H8" s="307">
        <f t="shared" ca="1" si="12"/>
        <v>1.8380520562280536</v>
      </c>
      <c r="I8" s="304">
        <f t="shared" ca="1" si="13"/>
        <v>1.8450722786565747</v>
      </c>
      <c r="J8" s="306">
        <f t="shared" ca="1" si="14"/>
        <v>2.48462852950594E-3</v>
      </c>
      <c r="K8" s="307">
        <f t="shared" ca="1" si="15"/>
        <v>2.8401219250121523E-2</v>
      </c>
      <c r="L8" s="304">
        <f t="shared" ca="1" si="0"/>
        <v>2.850969368167796E-2</v>
      </c>
      <c r="M8" s="306">
        <f t="shared" ca="1" si="16"/>
        <v>1.4835298641951802</v>
      </c>
      <c r="N8" s="304">
        <f t="shared" ca="1" si="17"/>
        <v>85</v>
      </c>
      <c r="P8" s="310">
        <f t="shared" ca="1" si="18"/>
        <v>2</v>
      </c>
      <c r="Q8" s="304">
        <f t="shared" ca="1" si="19"/>
        <v>647.84444444444443</v>
      </c>
      <c r="R8" s="306">
        <f t="shared" ca="1" si="20"/>
        <v>0.32452618225414559</v>
      </c>
      <c r="S8" s="307">
        <f t="shared" ca="1" si="21"/>
        <v>8.3316641254539796</v>
      </c>
      <c r="T8" s="304">
        <f t="shared" ca="1" si="1"/>
        <v>81.733625070703539</v>
      </c>
      <c r="U8" s="311">
        <f t="shared" ca="1" si="2"/>
        <v>7.1235548004957794</v>
      </c>
      <c r="V8" s="306">
        <f t="shared" ca="1" si="3"/>
        <v>1.2249965208555826</v>
      </c>
      <c r="W8" s="304">
        <f t="shared" ca="1" si="4"/>
        <v>1.1358567049040133E-2</v>
      </c>
      <c r="Y8" s="314" t="str">
        <f t="shared" ca="1" si="22"/>
        <v/>
      </c>
      <c r="Z8" s="315" t="str">
        <f t="shared" ca="1" si="23"/>
        <v/>
      </c>
      <c r="AA8" s="316" t="str">
        <f t="shared" ca="1" si="24"/>
        <v/>
      </c>
      <c r="AC8" s="310" t="e">
        <f t="shared" ca="1" si="25"/>
        <v>#N/A</v>
      </c>
      <c r="AD8" s="323" t="e">
        <f t="shared" ca="1" si="26"/>
        <v>#N/A</v>
      </c>
      <c r="AE8" s="324">
        <f t="shared" ca="1" si="5"/>
        <v>2.8401219250121523E-2</v>
      </c>
      <c r="AG8" s="306">
        <f t="shared" ca="1" si="27"/>
        <v>67.983694696253835</v>
      </c>
      <c r="AH8" s="304">
        <f t="shared" ca="1" si="28"/>
        <v>77.756364684533864</v>
      </c>
    </row>
    <row r="9" spans="1:248" x14ac:dyDescent="0.2">
      <c r="A9" s="347">
        <f t="shared" ca="1" si="6"/>
        <v>0.01</v>
      </c>
      <c r="B9" s="304">
        <f t="shared" ca="1" si="7"/>
        <v>0.05</v>
      </c>
      <c r="D9" s="306">
        <f t="shared" ca="1" si="8"/>
        <v>6.9552342356320018</v>
      </c>
      <c r="E9" s="307">
        <f t="shared" ca="1" si="9"/>
        <v>79.503093221201439</v>
      </c>
      <c r="F9" s="304">
        <f t="shared" ca="1" si="10"/>
        <v>79.806748555567367</v>
      </c>
      <c r="G9" s="306">
        <f t="shared" ca="1" si="11"/>
        <v>0.23035144702667937</v>
      </c>
      <c r="H9" s="307">
        <f t="shared" ca="1" si="12"/>
        <v>2.6330829884400679</v>
      </c>
      <c r="I9" s="304">
        <f t="shared" ca="1" si="13"/>
        <v>2.6431397642122074</v>
      </c>
      <c r="J9" s="306">
        <f t="shared" ca="1" si="14"/>
        <v>4.4403812879911337E-3</v>
      </c>
      <c r="K9" s="307">
        <f t="shared" ca="1" si="15"/>
        <v>5.0756894473462134E-2</v>
      </c>
      <c r="L9" s="304">
        <f t="shared" ca="1" si="0"/>
        <v>5.0950753896021134E-2</v>
      </c>
      <c r="M9" s="306">
        <f t="shared" ca="1" si="16"/>
        <v>1.4835298641951802</v>
      </c>
      <c r="N9" s="304">
        <f t="shared" ca="1" si="17"/>
        <v>85</v>
      </c>
      <c r="P9" s="310">
        <f t="shared" ca="1" si="18"/>
        <v>2</v>
      </c>
      <c r="Q9" s="304">
        <f t="shared" ca="1" si="19"/>
        <v>746.02222222222224</v>
      </c>
      <c r="R9" s="306">
        <f t="shared" ca="1" si="20"/>
        <v>0.37370659844454851</v>
      </c>
      <c r="S9" s="307">
        <f t="shared" ca="1" si="21"/>
        <v>8.327927059469534</v>
      </c>
      <c r="T9" s="304">
        <f t="shared" ca="1" si="1"/>
        <v>81.696964453396134</v>
      </c>
      <c r="U9" s="311">
        <f t="shared" ca="1" si="2"/>
        <v>7.1203596171647652</v>
      </c>
      <c r="V9" s="306">
        <f t="shared" ca="1" si="3"/>
        <v>1.2249937822962065</v>
      </c>
      <c r="W9" s="304">
        <f t="shared" ca="1" si="4"/>
        <v>2.3309666730402561E-2</v>
      </c>
      <c r="Y9" s="314" t="str">
        <f t="shared" ca="1" si="22"/>
        <v/>
      </c>
      <c r="Z9" s="315" t="str">
        <f t="shared" ca="1" si="23"/>
        <v/>
      </c>
      <c r="AA9" s="316" t="str">
        <f t="shared" ca="1" si="24"/>
        <v/>
      </c>
      <c r="AC9" s="310" t="e">
        <f t="shared" ca="1" si="25"/>
        <v>#N/A</v>
      </c>
      <c r="AD9" s="323" t="e">
        <f t="shared" ca="1" si="26"/>
        <v>#N/A</v>
      </c>
      <c r="AE9" s="324">
        <f t="shared" ca="1" si="5"/>
        <v>5.0756894473462134E-2</v>
      </c>
      <c r="AG9" s="306">
        <f t="shared" ca="1" si="27"/>
        <v>79.806748554645111</v>
      </c>
      <c r="AH9" s="304">
        <f t="shared" ca="1" si="28"/>
        <v>89.57941854292514</v>
      </c>
    </row>
    <row r="10" spans="1:248" x14ac:dyDescent="0.2">
      <c r="A10" s="347">
        <f t="shared" ca="1" si="6"/>
        <v>0.01</v>
      </c>
      <c r="B10" s="304">
        <f t="shared" ca="1" si="7"/>
        <v>6.0000000000000005E-2</v>
      </c>
      <c r="D10" s="306">
        <f t="shared" ca="1" si="8"/>
        <v>7.9870245706897212</v>
      </c>
      <c r="E10" s="307">
        <f t="shared" ca="1" si="9"/>
        <v>91.29709257493343</v>
      </c>
      <c r="F10" s="304">
        <f t="shared" ca="1" si="10"/>
        <v>91.645794634171651</v>
      </c>
      <c r="G10" s="306">
        <f t="shared" ca="1" si="11"/>
        <v>0.31022169273357658</v>
      </c>
      <c r="H10" s="307">
        <f t="shared" ca="1" si="12"/>
        <v>3.5460539141894021</v>
      </c>
      <c r="I10" s="304">
        <f t="shared" ca="1" si="13"/>
        <v>3.5595977105538861</v>
      </c>
      <c r="J10" s="306">
        <f t="shared" ca="1" si="14"/>
        <v>7.1432469867924141E-3</v>
      </c>
      <c r="K10" s="307">
        <f t="shared" ca="1" si="15"/>
        <v>8.1652578986609478E-2</v>
      </c>
      <c r="L10" s="304">
        <f t="shared" ca="1" si="0"/>
        <v>8.196444126985078E-2</v>
      </c>
      <c r="M10" s="306">
        <f t="shared" ca="1" si="16"/>
        <v>1.4835298641951802</v>
      </c>
      <c r="N10" s="304">
        <f t="shared" ca="1" si="17"/>
        <v>85</v>
      </c>
      <c r="P10" s="310">
        <f t="shared" ca="1" si="18"/>
        <v>2</v>
      </c>
      <c r="Q10" s="304">
        <f t="shared" ca="1" si="19"/>
        <v>844.2</v>
      </c>
      <c r="R10" s="306">
        <f t="shared" ca="1" si="20"/>
        <v>0.42288701463495137</v>
      </c>
      <c r="S10" s="307">
        <f t="shared" ca="1" si="21"/>
        <v>8.3236981893231849</v>
      </c>
      <c r="T10" s="304">
        <f t="shared" ca="1" si="1"/>
        <v>81.655479237260451</v>
      </c>
      <c r="U10" s="311">
        <f t="shared" ca="1" si="2"/>
        <v>7.1167439423394123</v>
      </c>
      <c r="V10" s="306">
        <f t="shared" ca="1" si="3"/>
        <v>1.2249899975999106</v>
      </c>
      <c r="W10" s="304">
        <f t="shared" ca="1" si="4"/>
        <v>4.2276234985765847E-2</v>
      </c>
      <c r="Y10" s="314" t="str">
        <f t="shared" ca="1" si="22"/>
        <v/>
      </c>
      <c r="Z10" s="315" t="str">
        <f t="shared" ca="1" si="23"/>
        <v/>
      </c>
      <c r="AA10" s="316" t="str">
        <f t="shared" ca="1" si="24"/>
        <v/>
      </c>
      <c r="AC10" s="310" t="e">
        <f t="shared" ca="1" si="25"/>
        <v>#N/A</v>
      </c>
      <c r="AD10" s="323" t="e">
        <f t="shared" ca="1" si="26"/>
        <v>#N/A</v>
      </c>
      <c r="AE10" s="324">
        <f t="shared" ca="1" si="5"/>
        <v>8.1652578986609478E-2</v>
      </c>
      <c r="AG10" s="306">
        <f t="shared" ca="1" si="27"/>
        <v>91.645794633142202</v>
      </c>
      <c r="AH10" s="304">
        <f t="shared" ca="1" si="28"/>
        <v>101.41846462142223</v>
      </c>
    </row>
    <row r="11" spans="1:248" x14ac:dyDescent="0.2">
      <c r="A11" s="347">
        <f t="shared" ca="1" si="6"/>
        <v>0.01</v>
      </c>
      <c r="B11" s="304">
        <f t="shared" ca="1" si="7"/>
        <v>7.0000000000000007E-2</v>
      </c>
      <c r="D11" s="306">
        <f t="shared" ca="1" si="8"/>
        <v>9.020373938500688</v>
      </c>
      <c r="E11" s="307">
        <f t="shared" ca="1" si="9"/>
        <v>103.10891267518454</v>
      </c>
      <c r="F11" s="304">
        <f t="shared" ca="1" si="10"/>
        <v>103.5027295246324</v>
      </c>
      <c r="G11" s="306">
        <f t="shared" ca="1" si="11"/>
        <v>0.40042543211858345</v>
      </c>
      <c r="H11" s="307">
        <f t="shared" ca="1" si="12"/>
        <v>4.5771430409412472</v>
      </c>
      <c r="I11" s="304">
        <f t="shared" ca="1" si="13"/>
        <v>4.5946250058001734</v>
      </c>
      <c r="J11" s="306">
        <f t="shared" ca="1" si="14"/>
        <v>1.0696482611053213E-2</v>
      </c>
      <c r="K11" s="307">
        <f t="shared" ca="1" si="15"/>
        <v>0.12226856376226272</v>
      </c>
      <c r="L11" s="304">
        <f t="shared" ca="1" si="0"/>
        <v>0.1227355548516202</v>
      </c>
      <c r="M11" s="306">
        <f t="shared" ca="1" si="16"/>
        <v>1.4835298641951802</v>
      </c>
      <c r="N11" s="304">
        <f t="shared" ca="1" si="17"/>
        <v>85</v>
      </c>
      <c r="P11" s="310">
        <f t="shared" ca="1" si="18"/>
        <v>2</v>
      </c>
      <c r="Q11" s="304">
        <f t="shared" ca="1" si="19"/>
        <v>942.37777777777774</v>
      </c>
      <c r="R11" s="306">
        <f t="shared" ca="1" si="20"/>
        <v>0.47206743082535424</v>
      </c>
      <c r="S11" s="307">
        <f t="shared" ca="1" si="21"/>
        <v>8.3189775150149305</v>
      </c>
      <c r="T11" s="304">
        <f t="shared" ca="1" si="1"/>
        <v>81.609169422296475</v>
      </c>
      <c r="U11" s="311">
        <f t="shared" ca="1" si="2"/>
        <v>7.1127077760197199</v>
      </c>
      <c r="V11" s="306">
        <f t="shared" ca="1" si="3"/>
        <v>1.2249850221925049</v>
      </c>
      <c r="W11" s="304">
        <f t="shared" ca="1" si="4"/>
        <v>7.0435701686142493E-2</v>
      </c>
      <c r="Y11" s="314" t="str">
        <f t="shared" ca="1" si="22"/>
        <v/>
      </c>
      <c r="Z11" s="315" t="str">
        <f t="shared" ca="1" si="23"/>
        <v/>
      </c>
      <c r="AA11" s="316" t="str">
        <f t="shared" ca="1" si="24"/>
        <v/>
      </c>
      <c r="AC11" s="310" t="e">
        <f t="shared" ca="1" si="25"/>
        <v>#N/A</v>
      </c>
      <c r="AD11" s="323" t="e">
        <f t="shared" ca="1" si="26"/>
        <v>#N/A</v>
      </c>
      <c r="AE11" s="324">
        <f t="shared" ca="1" si="5"/>
        <v>0.12226856376226272</v>
      </c>
      <c r="AG11" s="306">
        <f t="shared" ca="1" si="27"/>
        <v>103.50272952349526</v>
      </c>
      <c r="AH11" s="304">
        <f t="shared" ca="1" si="28"/>
        <v>113.27539951177529</v>
      </c>
    </row>
    <row r="12" spans="1:248" x14ac:dyDescent="0.2">
      <c r="A12" s="347">
        <f t="shared" ca="1" si="6"/>
        <v>0.01</v>
      </c>
      <c r="B12" s="304">
        <f t="shared" ca="1" si="7"/>
        <v>0.08</v>
      </c>
      <c r="D12" s="306">
        <f t="shared" ca="1" si="8"/>
        <v>10.055445552734453</v>
      </c>
      <c r="E12" s="307">
        <f t="shared" ca="1" si="9"/>
        <v>114.94041916772599</v>
      </c>
      <c r="F12" s="304">
        <f t="shared" ca="1" si="10"/>
        <v>115.37942599838397</v>
      </c>
      <c r="G12" s="306">
        <f t="shared" ca="1" si="11"/>
        <v>0.50097988764592793</v>
      </c>
      <c r="H12" s="307">
        <f t="shared" ca="1" si="12"/>
        <v>5.7265472326185076</v>
      </c>
      <c r="I12" s="304">
        <f t="shared" ca="1" si="13"/>
        <v>5.748419265783979</v>
      </c>
      <c r="J12" s="306">
        <f t="shared" ca="1" si="14"/>
        <v>1.520350920987577E-2</v>
      </c>
      <c r="K12" s="307">
        <f t="shared" ca="1" si="15"/>
        <v>0.17378701513006151</v>
      </c>
      <c r="L12" s="304">
        <f t="shared" ca="1" si="0"/>
        <v>0.17445077620954</v>
      </c>
      <c r="M12" s="306">
        <f t="shared" ca="1" si="16"/>
        <v>1.4835298641951802</v>
      </c>
      <c r="N12" s="304">
        <f t="shared" ca="1" si="17"/>
        <v>85</v>
      </c>
      <c r="P12" s="310">
        <f t="shared" ca="1" si="18"/>
        <v>2</v>
      </c>
      <c r="Q12" s="304">
        <f t="shared" ca="1" si="19"/>
        <v>1040.5555555555557</v>
      </c>
      <c r="R12" s="306">
        <f t="shared" ca="1" si="20"/>
        <v>0.52124784701575722</v>
      </c>
      <c r="S12" s="307">
        <f t="shared" ca="1" si="21"/>
        <v>8.3137650365447726</v>
      </c>
      <c r="T12" s="304">
        <f t="shared" ca="1" si="1"/>
        <v>81.55803500850422</v>
      </c>
      <c r="U12" s="311">
        <f t="shared" ca="1" si="2"/>
        <v>7.1082511182056898</v>
      </c>
      <c r="V12" s="306">
        <f t="shared" ca="1" si="3"/>
        <v>1.2249787112756318</v>
      </c>
      <c r="W12" s="304">
        <f t="shared" ca="1" si="4"/>
        <v>0.11025221841939448</v>
      </c>
      <c r="Y12" s="314" t="str">
        <f t="shared" ca="1" si="22"/>
        <v/>
      </c>
      <c r="Z12" s="315" t="str">
        <f t="shared" ca="1" si="23"/>
        <v/>
      </c>
      <c r="AA12" s="316" t="str">
        <f t="shared" ca="1" si="24"/>
        <v/>
      </c>
      <c r="AC12" s="310" t="e">
        <f t="shared" ca="1" si="25"/>
        <v>#N/A</v>
      </c>
      <c r="AD12" s="323" t="e">
        <f t="shared" ca="1" si="26"/>
        <v>#N/A</v>
      </c>
      <c r="AE12" s="324">
        <f t="shared" ca="1" si="5"/>
        <v>0.17378701513006151</v>
      </c>
      <c r="AG12" s="306">
        <f t="shared" ca="1" si="27"/>
        <v>115.37942599713868</v>
      </c>
      <c r="AH12" s="304">
        <f t="shared" ca="1" si="28"/>
        <v>125.15209598541871</v>
      </c>
    </row>
    <row r="13" spans="1:248" x14ac:dyDescent="0.2">
      <c r="A13" s="347">
        <f t="shared" ca="1" si="6"/>
        <v>0.01</v>
      </c>
      <c r="B13" s="304">
        <f t="shared" ca="1" si="7"/>
        <v>0.09</v>
      </c>
      <c r="D13" s="306">
        <f t="shared" ca="1" si="8"/>
        <v>11.092400621184035</v>
      </c>
      <c r="E13" s="307">
        <f t="shared" ca="1" si="9"/>
        <v>126.79345477167084</v>
      </c>
      <c r="F13" s="304">
        <f t="shared" ca="1" si="10"/>
        <v>127.27773381262169</v>
      </c>
      <c r="G13" s="306">
        <f t="shared" ca="1" si="11"/>
        <v>0.61190389385776833</v>
      </c>
      <c r="H13" s="307">
        <f t="shared" ca="1" si="12"/>
        <v>6.9944817803352155</v>
      </c>
      <c r="I13" s="304">
        <f t="shared" ca="1" si="13"/>
        <v>7.0211966039101616</v>
      </c>
      <c r="J13" s="306">
        <f t="shared" ca="1" si="14"/>
        <v>2.0767928117394252E-2</v>
      </c>
      <c r="K13" s="307">
        <f t="shared" ca="1" si="15"/>
        <v>0.23739216019483012</v>
      </c>
      <c r="L13" s="304">
        <f t="shared" ca="1" si="0"/>
        <v>0.23829885555800964</v>
      </c>
      <c r="M13" s="306">
        <f t="shared" ca="1" si="16"/>
        <v>1.4835298641951802</v>
      </c>
      <c r="N13" s="304">
        <f t="shared" ca="1" si="17"/>
        <v>85</v>
      </c>
      <c r="P13" s="310">
        <f t="shared" ca="1" si="18"/>
        <v>2</v>
      </c>
      <c r="Q13" s="304">
        <f t="shared" ca="1" si="19"/>
        <v>1138.7333333333331</v>
      </c>
      <c r="R13" s="306">
        <f t="shared" ca="1" si="20"/>
        <v>0.57042826320615991</v>
      </c>
      <c r="S13" s="307">
        <f t="shared" ca="1" si="21"/>
        <v>8.3080607539127111</v>
      </c>
      <c r="T13" s="304">
        <f t="shared" ca="1" si="1"/>
        <v>81.5020759958837</v>
      </c>
      <c r="U13" s="311">
        <f t="shared" ca="1" si="2"/>
        <v>7.1033739688973236</v>
      </c>
      <c r="V13" s="306">
        <f t="shared" ca="1" si="3"/>
        <v>1.224970919805547</v>
      </c>
      <c r="W13" s="304">
        <f t="shared" ca="1" si="4"/>
        <v>0.16447881565734485</v>
      </c>
      <c r="Y13" s="314" t="str">
        <f t="shared" ca="1" si="22"/>
        <v/>
      </c>
      <c r="Z13" s="315" t="str">
        <f t="shared" ca="1" si="23"/>
        <v/>
      </c>
      <c r="AA13" s="316" t="str">
        <f t="shared" ca="1" si="24"/>
        <v/>
      </c>
      <c r="AC13" s="310" t="e">
        <f t="shared" ca="1" si="25"/>
        <v>#N/A</v>
      </c>
      <c r="AD13" s="323" t="e">
        <f t="shared" ca="1" si="26"/>
        <v>#N/A</v>
      </c>
      <c r="AE13" s="324">
        <f t="shared" ca="1" si="5"/>
        <v>0.23739216019483012</v>
      </c>
      <c r="AG13" s="306">
        <f t="shared" ca="1" si="27"/>
        <v>127.27773381126789</v>
      </c>
      <c r="AH13" s="304">
        <f t="shared" ca="1" si="28"/>
        <v>137.05040379954792</v>
      </c>
    </row>
    <row r="14" spans="1:248" x14ac:dyDescent="0.2">
      <c r="A14" s="347">
        <f t="shared" ca="1" si="6"/>
        <v>0.01</v>
      </c>
      <c r="B14" s="304">
        <f t="shared" ca="1" si="7"/>
        <v>9.9999999999999992E-2</v>
      </c>
      <c r="D14" s="306">
        <f t="shared" ca="1" si="8"/>
        <v>12.131398412322024</v>
      </c>
      <c r="E14" s="307">
        <f t="shared" ca="1" si="9"/>
        <v>138.66984004027785</v>
      </c>
      <c r="F14" s="304">
        <f t="shared" ca="1" si="10"/>
        <v>139.19948047401161</v>
      </c>
      <c r="G14" s="306">
        <f t="shared" ca="1" si="11"/>
        <v>0.73321787798098859</v>
      </c>
      <c r="H14" s="307">
        <f t="shared" ca="1" si="12"/>
        <v>8.381180180737994</v>
      </c>
      <c r="I14" s="304">
        <f t="shared" ca="1" si="13"/>
        <v>8.4131914086502455</v>
      </c>
      <c r="J14" s="306">
        <f t="shared" ca="1" si="14"/>
        <v>2.7493536976588039E-2</v>
      </c>
      <c r="K14" s="307">
        <f t="shared" ca="1" si="15"/>
        <v>0.31427047000019614</v>
      </c>
      <c r="L14" s="304">
        <f t="shared" ca="1" si="0"/>
        <v>0.31547079562081054</v>
      </c>
      <c r="M14" s="306">
        <f t="shared" ca="1" si="16"/>
        <v>1.4835298641951802</v>
      </c>
      <c r="N14" s="304">
        <f t="shared" ca="1" si="17"/>
        <v>85</v>
      </c>
      <c r="P14" s="310">
        <f t="shared" ca="1" si="18"/>
        <v>2</v>
      </c>
      <c r="Q14" s="304">
        <f t="shared" ca="1" si="19"/>
        <v>1236.911111111111</v>
      </c>
      <c r="R14" s="306">
        <f t="shared" ca="1" si="20"/>
        <v>0.61960867939656283</v>
      </c>
      <c r="S14" s="307">
        <f t="shared" ca="1" si="21"/>
        <v>8.3018646671187462</v>
      </c>
      <c r="T14" s="304">
        <f t="shared" ca="1" si="1"/>
        <v>81.441292384434902</v>
      </c>
      <c r="U14" s="311">
        <f t="shared" ca="1" si="2"/>
        <v>7.098076328094618</v>
      </c>
      <c r="V14" s="306">
        <f t="shared" ca="1" si="3"/>
        <v>1.2249615024723568</v>
      </c>
      <c r="W14" s="304">
        <f t="shared" ca="1" si="4"/>
        <v>0.23615976203093061</v>
      </c>
      <c r="Y14" s="314" t="str">
        <f t="shared" ca="1" si="22"/>
        <v/>
      </c>
      <c r="Z14" s="315" t="str">
        <f t="shared" ca="1" si="23"/>
        <v/>
      </c>
      <c r="AA14" s="316" t="str">
        <f t="shared" ca="1" si="24"/>
        <v/>
      </c>
      <c r="AC14" s="310" t="e">
        <f t="shared" ca="1" si="25"/>
        <v>#N/A</v>
      </c>
      <c r="AD14" s="323" t="e">
        <f t="shared" ca="1" si="26"/>
        <v>#N/A</v>
      </c>
      <c r="AE14" s="324">
        <f t="shared" ca="1" si="5"/>
        <v>0.31427047000019614</v>
      </c>
      <c r="AG14" s="306">
        <f t="shared" ca="1" si="27"/>
        <v>139.19948047254894</v>
      </c>
      <c r="AH14" s="304">
        <f t="shared" ca="1" si="28"/>
        <v>148.97215046082897</v>
      </c>
    </row>
    <row r="15" spans="1:248" x14ac:dyDescent="0.2">
      <c r="A15" s="347">
        <f t="shared" ca="1" si="6"/>
        <v>0.01</v>
      </c>
      <c r="B15" s="304">
        <f t="shared" ca="1" si="7"/>
        <v>0.10999999999999999</v>
      </c>
      <c r="D15" s="306">
        <f t="shared" ca="1" si="8"/>
        <v>12.580227014180602</v>
      </c>
      <c r="E15" s="307">
        <f t="shared" ca="1" si="9"/>
        <v>143.80022793754631</v>
      </c>
      <c r="F15" s="304">
        <f t="shared" ca="1" si="10"/>
        <v>144.34946368663304</v>
      </c>
      <c r="G15" s="306">
        <f t="shared" ca="1" si="11"/>
        <v>0.85902014812279459</v>
      </c>
      <c r="H15" s="307">
        <f t="shared" ca="1" si="12"/>
        <v>9.8191824601134563</v>
      </c>
      <c r="I15" s="304">
        <f t="shared" ca="1" si="13"/>
        <v>9.8566860455165486</v>
      </c>
      <c r="J15" s="306">
        <f t="shared" ca="1" si="14"/>
        <v>3.5454727107106954E-2</v>
      </c>
      <c r="K15" s="307">
        <f t="shared" ca="1" si="15"/>
        <v>0.40527228320445341</v>
      </c>
      <c r="L15" s="304">
        <f t="shared" ca="1" si="0"/>
        <v>0.40682018289164334</v>
      </c>
      <c r="M15" s="306">
        <f t="shared" ca="1" si="16"/>
        <v>1.4835298641951802</v>
      </c>
      <c r="N15" s="304">
        <f t="shared" ca="1" si="17"/>
        <v>85</v>
      </c>
      <c r="P15" s="310">
        <f t="shared" ca="1" si="18"/>
        <v>3</v>
      </c>
      <c r="Q15" s="304">
        <f t="shared" ca="1" si="19"/>
        <v>1278.75</v>
      </c>
      <c r="R15" s="306">
        <f t="shared" ca="1" si="20"/>
        <v>0.64056712860038389</v>
      </c>
      <c r="S15" s="307">
        <f t="shared" ca="1" si="21"/>
        <v>8.2954589958327425</v>
      </c>
      <c r="T15" s="304">
        <f t="shared" ca="1" si="1"/>
        <v>81.378452749119205</v>
      </c>
      <c r="U15" s="311">
        <f t="shared" ca="1" si="2"/>
        <v>7.0925994930046867</v>
      </c>
      <c r="V15" s="306">
        <f t="shared" ca="1" si="3"/>
        <v>1.2249503551512915</v>
      </c>
      <c r="W15" s="304">
        <f t="shared" ca="1" si="4"/>
        <v>0.32414718794016889</v>
      </c>
      <c r="Y15" s="314" t="str">
        <f t="shared" ca="1" si="22"/>
        <v/>
      </c>
      <c r="Z15" s="315" t="str">
        <f t="shared" ca="1" si="23"/>
        <v/>
      </c>
      <c r="AA15" s="316" t="str">
        <f t="shared" ca="1" si="24"/>
        <v/>
      </c>
      <c r="AC15" s="310" t="e">
        <f t="shared" ca="1" si="25"/>
        <v>#N/A</v>
      </c>
      <c r="AD15" s="323" t="e">
        <f t="shared" ca="1" si="26"/>
        <v>#N/A</v>
      </c>
      <c r="AE15" s="324">
        <f t="shared" ca="1" si="5"/>
        <v>0.40527228320445341</v>
      </c>
      <c r="AG15" s="306">
        <f t="shared" ca="1" si="27"/>
        <v>144.3494636851232</v>
      </c>
      <c r="AH15" s="304">
        <f t="shared" ca="1" si="28"/>
        <v>154.12213367340323</v>
      </c>
    </row>
    <row r="16" spans="1:248" x14ac:dyDescent="0.2">
      <c r="A16" s="347">
        <f t="shared" ca="1" si="6"/>
        <v>0.01</v>
      </c>
      <c r="B16" s="304">
        <f t="shared" ca="1" si="7"/>
        <v>0.11999999999999998</v>
      </c>
      <c r="D16" s="306">
        <f t="shared" ca="1" si="8"/>
        <v>12.437111822174366</v>
      </c>
      <c r="E16" s="307">
        <f t="shared" ca="1" si="9"/>
        <v>142.16433363301738</v>
      </c>
      <c r="F16" s="304">
        <f t="shared" ca="1" si="10"/>
        <v>142.70732114295029</v>
      </c>
      <c r="G16" s="306">
        <f t="shared" ca="1" si="11"/>
        <v>0.98339126634453822</v>
      </c>
      <c r="H16" s="307">
        <f t="shared" ca="1" si="12"/>
        <v>11.24082579644363</v>
      </c>
      <c r="I16" s="304">
        <f t="shared" ca="1" si="13"/>
        <v>11.283759256946032</v>
      </c>
      <c r="J16" s="306">
        <f t="shared" ca="1" si="14"/>
        <v>4.4666784179443614E-2</v>
      </c>
      <c r="K16" s="307">
        <f t="shared" ca="1" si="15"/>
        <v>0.51057232448723888</v>
      </c>
      <c r="L16" s="304">
        <f t="shared" ca="1" si="0"/>
        <v>0.5125224094039551</v>
      </c>
      <c r="M16" s="306">
        <f t="shared" ca="1" si="16"/>
        <v>1.4835298641951802</v>
      </c>
      <c r="N16" s="304">
        <f t="shared" ca="1" si="17"/>
        <v>85</v>
      </c>
      <c r="P16" s="310">
        <f t="shared" ca="1" si="18"/>
        <v>3</v>
      </c>
      <c r="Q16" s="304">
        <f t="shared" ca="1" si="19"/>
        <v>1264.25</v>
      </c>
      <c r="R16" s="306">
        <f t="shared" ca="1" si="20"/>
        <v>0.63330361081762288</v>
      </c>
      <c r="S16" s="307">
        <f t="shared" ca="1" si="21"/>
        <v>8.2891259597245668</v>
      </c>
      <c r="T16" s="304">
        <f t="shared" ca="1" si="1"/>
        <v>81.316325664898002</v>
      </c>
      <c r="U16" s="311">
        <f t="shared" ca="1" si="2"/>
        <v>7.0871847608346412</v>
      </c>
      <c r="V16" s="306">
        <f t="shared" ca="1" si="3"/>
        <v>1.2249374564868996</v>
      </c>
      <c r="W16" s="304">
        <f t="shared" ca="1" si="4"/>
        <v>0.42479897621980783</v>
      </c>
      <c r="Y16" s="314" t="str">
        <f t="shared" ca="1" si="22"/>
        <v/>
      </c>
      <c r="Z16" s="315" t="str">
        <f t="shared" ca="1" si="23"/>
        <v/>
      </c>
      <c r="AA16" s="316" t="str">
        <f t="shared" ca="1" si="24"/>
        <v/>
      </c>
      <c r="AC16" s="310" t="e">
        <f t="shared" ca="1" si="25"/>
        <v>#N/A</v>
      </c>
      <c r="AD16" s="323" t="e">
        <f t="shared" ca="1" si="26"/>
        <v>#N/A</v>
      </c>
      <c r="AE16" s="324">
        <f t="shared" ca="1" si="5"/>
        <v>0.51057232448723888</v>
      </c>
      <c r="AG16" s="306">
        <f t="shared" ca="1" si="27"/>
        <v>142.7073211414552</v>
      </c>
      <c r="AH16" s="304">
        <f t="shared" ca="1" si="28"/>
        <v>152.47999112973523</v>
      </c>
    </row>
    <row r="17" spans="1:34" x14ac:dyDescent="0.2">
      <c r="A17" s="347">
        <f t="shared" ca="1" si="6"/>
        <v>0.01</v>
      </c>
      <c r="B17" s="304">
        <f t="shared" ca="1" si="7"/>
        <v>0.12999999999999998</v>
      </c>
      <c r="D17" s="306">
        <f t="shared" ca="1" si="8"/>
        <v>12.289016449566621</v>
      </c>
      <c r="E17" s="307">
        <f t="shared" ca="1" si="9"/>
        <v>140.47151287151593</v>
      </c>
      <c r="F17" s="304">
        <f t="shared" ca="1" si="10"/>
        <v>141.00803471331051</v>
      </c>
      <c r="G17" s="306">
        <f t="shared" ca="1" si="11"/>
        <v>1.1062814308402045</v>
      </c>
      <c r="H17" s="307">
        <f t="shared" ca="1" si="12"/>
        <v>12.645540925158789</v>
      </c>
      <c r="I17" s="304">
        <f t="shared" ca="1" si="13"/>
        <v>12.693839604079123</v>
      </c>
      <c r="J17" s="306">
        <f t="shared" ca="1" si="14"/>
        <v>5.5115147665367327E-2</v>
      </c>
      <c r="K17" s="307">
        <f t="shared" ca="1" si="15"/>
        <v>0.63000415809525101</v>
      </c>
      <c r="L17" s="304">
        <f t="shared" ca="1" si="0"/>
        <v>0.63241040370907975</v>
      </c>
      <c r="M17" s="306">
        <f t="shared" ca="1" si="16"/>
        <v>1.4835298641951802</v>
      </c>
      <c r="N17" s="304">
        <f t="shared" ca="1" si="17"/>
        <v>85</v>
      </c>
      <c r="P17" s="310">
        <f t="shared" ca="1" si="18"/>
        <v>4</v>
      </c>
      <c r="Q17" s="304">
        <f t="shared" ca="1" si="19"/>
        <v>1249.3214285714287</v>
      </c>
      <c r="R17" s="306">
        <f t="shared" ca="1" si="20"/>
        <v>0.62582540778019913</v>
      </c>
      <c r="S17" s="307">
        <f t="shared" ca="1" si="21"/>
        <v>8.2828677056467654</v>
      </c>
      <c r="T17" s="304">
        <f t="shared" ca="1" si="1"/>
        <v>81.254932192394776</v>
      </c>
      <c r="U17" s="311">
        <f t="shared" ca="1" si="2"/>
        <v>7.0818339671387651</v>
      </c>
      <c r="V17" s="306">
        <f t="shared" ca="1" si="3"/>
        <v>1.2249228269216015</v>
      </c>
      <c r="W17" s="304">
        <f t="shared" ca="1" si="4"/>
        <v>0.53759678621349949</v>
      </c>
      <c r="Y17" s="314" t="str">
        <f t="shared" ca="1" si="22"/>
        <v/>
      </c>
      <c r="Z17" s="315" t="str">
        <f t="shared" ca="1" si="23"/>
        <v/>
      </c>
      <c r="AA17" s="316" t="str">
        <f t="shared" ca="1" si="24"/>
        <v/>
      </c>
      <c r="AC17" s="310" t="e">
        <f t="shared" ca="1" si="25"/>
        <v>#N/A</v>
      </c>
      <c r="AD17" s="323" t="e">
        <f t="shared" ca="1" si="26"/>
        <v>#N/A</v>
      </c>
      <c r="AE17" s="324">
        <f t="shared" ca="1" si="5"/>
        <v>0.63000415809525101</v>
      </c>
      <c r="AG17" s="306">
        <f t="shared" ca="1" si="27"/>
        <v>141.00803471183073</v>
      </c>
      <c r="AH17" s="304">
        <f t="shared" ca="1" si="28"/>
        <v>150.78070470011076</v>
      </c>
    </row>
    <row r="18" spans="1:34" x14ac:dyDescent="0.2">
      <c r="A18" s="347">
        <f t="shared" ca="1" si="6"/>
        <v>0.01</v>
      </c>
      <c r="B18" s="304">
        <f t="shared" ca="1" si="7"/>
        <v>0.13999999999999999</v>
      </c>
      <c r="D18" s="306">
        <f t="shared" ca="1" si="8"/>
        <v>12.135935703050901</v>
      </c>
      <c r="E18" s="307">
        <f t="shared" ca="1" si="9"/>
        <v>138.72170628742666</v>
      </c>
      <c r="F18" s="304">
        <f t="shared" ca="1" si="10"/>
        <v>139.25154480537606</v>
      </c>
      <c r="G18" s="306">
        <f t="shared" ca="1" si="11"/>
        <v>1.2276407878707134</v>
      </c>
      <c r="H18" s="307">
        <f t="shared" ca="1" si="12"/>
        <v>14.032757988033056</v>
      </c>
      <c r="I18" s="304">
        <f t="shared" ca="1" si="13"/>
        <v>14.086355052132875</v>
      </c>
      <c r="J18" s="306">
        <f t="shared" ca="1" si="14"/>
        <v>6.6784758758921925E-2</v>
      </c>
      <c r="K18" s="307">
        <f t="shared" ca="1" si="15"/>
        <v>0.76339565266121023</v>
      </c>
      <c r="L18" s="304">
        <f t="shared" ca="1" si="0"/>
        <v>0.76631137699013874</v>
      </c>
      <c r="M18" s="306">
        <f t="shared" ca="1" si="16"/>
        <v>1.4835298641951802</v>
      </c>
      <c r="N18" s="304">
        <f t="shared" ca="1" si="17"/>
        <v>85</v>
      </c>
      <c r="P18" s="310">
        <f t="shared" ca="1" si="18"/>
        <v>4</v>
      </c>
      <c r="Q18" s="304">
        <f t="shared" ca="1" si="19"/>
        <v>1233.9642857142858</v>
      </c>
      <c r="R18" s="306">
        <f t="shared" ca="1" si="20"/>
        <v>0.61813251948811243</v>
      </c>
      <c r="S18" s="307">
        <f t="shared" ca="1" si="21"/>
        <v>8.2766863804518849</v>
      </c>
      <c r="T18" s="304">
        <f t="shared" ca="1" si="1"/>
        <v>81.194293392232993</v>
      </c>
      <c r="U18" s="311">
        <f t="shared" ca="1" si="2"/>
        <v>7.0765489474713377</v>
      </c>
      <c r="V18" s="306">
        <f t="shared" ca="1" si="3"/>
        <v>1.2249064876018967</v>
      </c>
      <c r="W18" s="304">
        <f t="shared" ca="1" si="4"/>
        <v>0.66200629543793521</v>
      </c>
      <c r="Y18" s="314" t="str">
        <f t="shared" ca="1" si="22"/>
        <v/>
      </c>
      <c r="Z18" s="315" t="str">
        <f t="shared" ca="1" si="23"/>
        <v/>
      </c>
      <c r="AA18" s="316" t="str">
        <f t="shared" ca="1" si="24"/>
        <v/>
      </c>
      <c r="AC18" s="310" t="e">
        <f t="shared" ca="1" si="25"/>
        <v>#N/A</v>
      </c>
      <c r="AD18" s="323" t="e">
        <f t="shared" ca="1" si="26"/>
        <v>#N/A</v>
      </c>
      <c r="AE18" s="324">
        <f t="shared" ca="1" si="5"/>
        <v>0.76339565266121023</v>
      </c>
      <c r="AG18" s="306">
        <f t="shared" ca="1" si="27"/>
        <v>139.25154480391203</v>
      </c>
      <c r="AH18" s="304">
        <f t="shared" ca="1" si="28"/>
        <v>149.02421479219205</v>
      </c>
    </row>
    <row r="19" spans="1:34" x14ac:dyDescent="0.2">
      <c r="A19" s="347">
        <f t="shared" ca="1" si="6"/>
        <v>0.01</v>
      </c>
      <c r="B19" s="304">
        <f t="shared" ca="1" si="7"/>
        <v>0.15</v>
      </c>
      <c r="D19" s="306">
        <f t="shared" ca="1" si="8"/>
        <v>11.982384389722169</v>
      </c>
      <c r="E19" s="307">
        <f t="shared" ca="1" si="9"/>
        <v>136.96652090468254</v>
      </c>
      <c r="F19" s="304">
        <f t="shared" ca="1" si="10"/>
        <v>137.4896555541394</v>
      </c>
      <c r="G19" s="306">
        <f t="shared" ca="1" si="11"/>
        <v>1.3474646317679351</v>
      </c>
      <c r="H19" s="307">
        <f t="shared" ca="1" si="12"/>
        <v>15.402423197079882</v>
      </c>
      <c r="I19" s="304">
        <f t="shared" ca="1" si="13"/>
        <v>15.461251607674262</v>
      </c>
      <c r="J19" s="306">
        <f t="shared" ca="1" si="14"/>
        <v>7.9660285857115168E-2</v>
      </c>
      <c r="K19" s="307">
        <f t="shared" ca="1" si="15"/>
        <v>0.91057155858677497</v>
      </c>
      <c r="L19" s="304">
        <f t="shared" ca="1" si="0"/>
        <v>0.91404941028917353</v>
      </c>
      <c r="M19" s="306">
        <f t="shared" ca="1" si="16"/>
        <v>1.4835298641951802</v>
      </c>
      <c r="N19" s="304">
        <f t="shared" ca="1" si="17"/>
        <v>85</v>
      </c>
      <c r="P19" s="310">
        <f t="shared" ca="1" si="18"/>
        <v>4</v>
      </c>
      <c r="Q19" s="304">
        <f t="shared" ca="1" si="19"/>
        <v>1218.6071428571429</v>
      </c>
      <c r="R19" s="306">
        <f t="shared" ca="1" si="20"/>
        <v>0.61043963119602562</v>
      </c>
      <c r="S19" s="307">
        <f t="shared" ca="1" si="21"/>
        <v>8.2705819841399251</v>
      </c>
      <c r="T19" s="304">
        <f t="shared" ca="1" si="1"/>
        <v>81.134409264412668</v>
      </c>
      <c r="U19" s="311">
        <f t="shared" ca="1" si="2"/>
        <v>7.0713297018323615</v>
      </c>
      <c r="V19" s="306">
        <f t="shared" ca="1" si="3"/>
        <v>1.224888460062328</v>
      </c>
      <c r="W19" s="304">
        <f t="shared" ca="1" si="4"/>
        <v>0.7975313460925425</v>
      </c>
      <c r="Y19" s="314" t="str">
        <f t="shared" ca="1" si="22"/>
        <v/>
      </c>
      <c r="Z19" s="315" t="str">
        <f t="shared" ca="1" si="23"/>
        <v/>
      </c>
      <c r="AA19" s="316" t="str">
        <f t="shared" ca="1" si="24"/>
        <v/>
      </c>
      <c r="AC19" s="310" t="e">
        <f t="shared" ca="1" si="25"/>
        <v>#N/A</v>
      </c>
      <c r="AD19" s="323" t="e">
        <f t="shared" ca="1" si="26"/>
        <v>#N/A</v>
      </c>
      <c r="AE19" s="324">
        <f t="shared" ca="1" si="5"/>
        <v>0.91057155858677497</v>
      </c>
      <c r="AG19" s="306">
        <f t="shared" ca="1" si="27"/>
        <v>137.48965555269115</v>
      </c>
      <c r="AH19" s="304">
        <f t="shared" ca="1" si="28"/>
        <v>147.26232554097118</v>
      </c>
    </row>
    <row r="20" spans="1:34" x14ac:dyDescent="0.2">
      <c r="A20" s="347">
        <f t="shared" ca="1" si="6"/>
        <v>0.01</v>
      </c>
      <c r="B20" s="304">
        <f t="shared" ca="1" si="7"/>
        <v>0.16</v>
      </c>
      <c r="D20" s="306">
        <f t="shared" ca="1" si="8"/>
        <v>11.828370987111258</v>
      </c>
      <c r="E20" s="307">
        <f t="shared" ca="1" si="9"/>
        <v>135.20605362386848</v>
      </c>
      <c r="F20" s="304">
        <f t="shared" ca="1" si="10"/>
        <v>135.72246423031501</v>
      </c>
      <c r="G20" s="306">
        <f t="shared" ca="1" si="11"/>
        <v>1.4657483416390478</v>
      </c>
      <c r="H20" s="307">
        <f t="shared" ca="1" si="12"/>
        <v>16.754483733318565</v>
      </c>
      <c r="I20" s="304">
        <f t="shared" ca="1" si="13"/>
        <v>16.818476249977405</v>
      </c>
      <c r="J20" s="306">
        <f t="shared" ca="1" si="14"/>
        <v>9.3726350724150087E-2</v>
      </c>
      <c r="K20" s="307">
        <f t="shared" ca="1" si="15"/>
        <v>1.0713560932387671</v>
      </c>
      <c r="L20" s="304">
        <f t="shared" ca="1" si="0"/>
        <v>1.0754480495774308</v>
      </c>
      <c r="M20" s="306">
        <f t="shared" ca="1" si="16"/>
        <v>1.4835298641951802</v>
      </c>
      <c r="N20" s="304">
        <f t="shared" ca="1" si="17"/>
        <v>85</v>
      </c>
      <c r="P20" s="310">
        <f t="shared" ca="1" si="18"/>
        <v>4</v>
      </c>
      <c r="Q20" s="304">
        <f t="shared" ca="1" si="19"/>
        <v>1203.25</v>
      </c>
      <c r="R20" s="306">
        <f t="shared" ca="1" si="20"/>
        <v>0.60274674290393893</v>
      </c>
      <c r="S20" s="307">
        <f t="shared" ca="1" si="21"/>
        <v>8.264554516710886</v>
      </c>
      <c r="T20" s="304">
        <f t="shared" ca="1" si="1"/>
        <v>81.0752798089338</v>
      </c>
      <c r="U20" s="311">
        <f t="shared" ca="1" si="2"/>
        <v>7.0661762302218367</v>
      </c>
      <c r="V20" s="306">
        <f t="shared" ca="1" si="3"/>
        <v>1.2248687659085007</v>
      </c>
      <c r="W20" s="304">
        <f t="shared" ca="1" si="4"/>
        <v>0.94368005439342684</v>
      </c>
      <c r="Y20" s="314" t="str">
        <f t="shared" ca="1" si="22"/>
        <v/>
      </c>
      <c r="Z20" s="315" t="str">
        <f t="shared" ca="1" si="23"/>
        <v/>
      </c>
      <c r="AA20" s="316" t="str">
        <f t="shared" ca="1" si="24"/>
        <v/>
      </c>
      <c r="AC20" s="310" t="e">
        <f t="shared" ca="1" si="25"/>
        <v>#N/A</v>
      </c>
      <c r="AD20" s="323" t="e">
        <f t="shared" ca="1" si="26"/>
        <v>#N/A</v>
      </c>
      <c r="AE20" s="324">
        <f t="shared" ca="1" si="5"/>
        <v>1.0713560932387671</v>
      </c>
      <c r="AG20" s="306">
        <f t="shared" ca="1" si="27"/>
        <v>135.72246422888256</v>
      </c>
      <c r="AH20" s="304">
        <f t="shared" ca="1" si="28"/>
        <v>145.49513421716259</v>
      </c>
    </row>
    <row r="21" spans="1:34" x14ac:dyDescent="0.2">
      <c r="A21" s="347">
        <f t="shared" ca="1" si="6"/>
        <v>0.01</v>
      </c>
      <c r="B21" s="304">
        <f t="shared" ca="1" si="7"/>
        <v>0.17</v>
      </c>
      <c r="D21" s="306">
        <f t="shared" ca="1" si="8"/>
        <v>11.673903978376995</v>
      </c>
      <c r="E21" s="307">
        <f t="shared" ca="1" si="9"/>
        <v>133.44040140991439</v>
      </c>
      <c r="F21" s="304">
        <f t="shared" ca="1" si="10"/>
        <v>133.95006816920792</v>
      </c>
      <c r="G21" s="306">
        <f t="shared" ca="1" si="11"/>
        <v>1.5824873814228178</v>
      </c>
      <c r="H21" s="307">
        <f t="shared" ca="1" si="12"/>
        <v>18.088887747417708</v>
      </c>
      <c r="I21" s="304">
        <f t="shared" ca="1" si="13"/>
        <v>18.157976931669481</v>
      </c>
      <c r="J21" s="306">
        <f t="shared" ca="1" si="14"/>
        <v>0.10896752933945941</v>
      </c>
      <c r="K21" s="307">
        <f t="shared" ca="1" si="15"/>
        <v>1.2455729506424484</v>
      </c>
      <c r="L21" s="304">
        <f t="shared" ca="1" si="0"/>
        <v>1.2503303154856644</v>
      </c>
      <c r="M21" s="306">
        <f t="shared" ca="1" si="16"/>
        <v>1.4835298641951802</v>
      </c>
      <c r="N21" s="304">
        <f t="shared" ca="1" si="17"/>
        <v>85</v>
      </c>
      <c r="P21" s="310">
        <f t="shared" ca="1" si="18"/>
        <v>4</v>
      </c>
      <c r="Q21" s="304">
        <f t="shared" ca="1" si="19"/>
        <v>1187.8928571428571</v>
      </c>
      <c r="R21" s="306">
        <f t="shared" ca="1" si="20"/>
        <v>0.59505385461185212</v>
      </c>
      <c r="S21" s="307">
        <f t="shared" ca="1" si="21"/>
        <v>8.2586039781647678</v>
      </c>
      <c r="T21" s="304">
        <f t="shared" ca="1" si="1"/>
        <v>81.016905025796376</v>
      </c>
      <c r="U21" s="311">
        <f t="shared" ca="1" si="2"/>
        <v>7.0610885326397606</v>
      </c>
      <c r="V21" s="306">
        <f t="shared" ca="1" si="3"/>
        <v>1.2248474268155978</v>
      </c>
      <c r="W21" s="304">
        <f t="shared" ca="1" si="4"/>
        <v>1.0999649260502038</v>
      </c>
      <c r="Y21" s="314" t="str">
        <f t="shared" ca="1" si="22"/>
        <v/>
      </c>
      <c r="Z21" s="315" t="str">
        <f t="shared" ca="1" si="23"/>
        <v/>
      </c>
      <c r="AA21" s="316" t="str">
        <f t="shared" ca="1" si="24"/>
        <v/>
      </c>
      <c r="AC21" s="310" t="e">
        <f t="shared" ca="1" si="25"/>
        <v>#N/A</v>
      </c>
      <c r="AD21" s="323" t="e">
        <f t="shared" ca="1" si="26"/>
        <v>#N/A</v>
      </c>
      <c r="AE21" s="324">
        <f t="shared" ca="1" si="5"/>
        <v>1.2455729506424484</v>
      </c>
      <c r="AG21" s="306">
        <f t="shared" ca="1" si="27"/>
        <v>133.95006816779127</v>
      </c>
      <c r="AH21" s="304">
        <f t="shared" ca="1" si="28"/>
        <v>143.7227381560713</v>
      </c>
    </row>
    <row r="22" spans="1:34" x14ac:dyDescent="0.2">
      <c r="A22" s="347">
        <f t="shared" ca="1" si="6"/>
        <v>0.01</v>
      </c>
      <c r="B22" s="304">
        <f t="shared" ca="1" si="7"/>
        <v>0.18000000000000002</v>
      </c>
      <c r="D22" s="306">
        <f t="shared" ca="1" si="8"/>
        <v>11.518991850316475</v>
      </c>
      <c r="E22" s="307">
        <f t="shared" ca="1" si="9"/>
        <v>131.66966126935208</v>
      </c>
      <c r="F22" s="304">
        <f t="shared" ca="1" si="10"/>
        <v>132.17256474788394</v>
      </c>
      <c r="G22" s="306">
        <f t="shared" ca="1" si="11"/>
        <v>1.6976772999259826</v>
      </c>
      <c r="H22" s="307">
        <f t="shared" ca="1" si="12"/>
        <v>19.405584360111227</v>
      </c>
      <c r="I22" s="304">
        <f t="shared" ca="1" si="13"/>
        <v>19.479702579148313</v>
      </c>
      <c r="J22" s="306">
        <f t="shared" ca="1" si="14"/>
        <v>0.12536835274620342</v>
      </c>
      <c r="K22" s="307">
        <f t="shared" ca="1" si="15"/>
        <v>1.4330453111800932</v>
      </c>
      <c r="L22" s="304">
        <f t="shared" ca="1" si="0"/>
        <v>1.4385187130397528</v>
      </c>
      <c r="M22" s="306">
        <f t="shared" ca="1" si="16"/>
        <v>1.4835298641951802</v>
      </c>
      <c r="N22" s="304">
        <f t="shared" ca="1" si="17"/>
        <v>85</v>
      </c>
      <c r="P22" s="310">
        <f t="shared" ca="1" si="18"/>
        <v>4</v>
      </c>
      <c r="Q22" s="304">
        <f t="shared" ca="1" si="19"/>
        <v>1172.5357142857142</v>
      </c>
      <c r="R22" s="306">
        <f t="shared" ca="1" si="20"/>
        <v>0.58736096631976542</v>
      </c>
      <c r="S22" s="307">
        <f t="shared" ca="1" si="21"/>
        <v>8.2527303685015703</v>
      </c>
      <c r="T22" s="304">
        <f t="shared" ca="1" si="1"/>
        <v>80.95928491500041</v>
      </c>
      <c r="U22" s="311">
        <f t="shared" ca="1" si="2"/>
        <v>7.0560666090861357</v>
      </c>
      <c r="V22" s="306">
        <f t="shared" ca="1" si="3"/>
        <v>1.2248244645268951</v>
      </c>
      <c r="W22" s="304">
        <f t="shared" ca="1" si="4"/>
        <v>1.2659029699461106</v>
      </c>
      <c r="Y22" s="314" t="str">
        <f t="shared" ca="1" si="22"/>
        <v/>
      </c>
      <c r="Z22" s="315" t="str">
        <f t="shared" ca="1" si="23"/>
        <v/>
      </c>
      <c r="AA22" s="316" t="str">
        <f t="shared" ca="1" si="24"/>
        <v/>
      </c>
      <c r="AC22" s="310" t="e">
        <f t="shared" ca="1" si="25"/>
        <v>#N/A</v>
      </c>
      <c r="AD22" s="323" t="e">
        <f t="shared" ca="1" si="26"/>
        <v>#N/A</v>
      </c>
      <c r="AE22" s="324">
        <f t="shared" ca="1" si="5"/>
        <v>1.4330453111800932</v>
      </c>
      <c r="AG22" s="306">
        <f t="shared" ca="1" si="27"/>
        <v>132.17256474648315</v>
      </c>
      <c r="AH22" s="304">
        <f t="shared" ca="1" si="28"/>
        <v>141.94523473476318</v>
      </c>
    </row>
    <row r="23" spans="1:34" x14ac:dyDescent="0.2">
      <c r="A23" s="347">
        <f t="shared" ca="1" si="6"/>
        <v>0.01</v>
      </c>
      <c r="B23" s="304">
        <f t="shared" ca="1" si="7"/>
        <v>0.19000000000000003</v>
      </c>
      <c r="D23" s="306">
        <f t="shared" ca="1" si="8"/>
        <v>11.363643091385107</v>
      </c>
      <c r="E23" s="307">
        <f t="shared" ca="1" si="9"/>
        <v>129.89393022768445</v>
      </c>
      <c r="F23" s="304">
        <f t="shared" ca="1" si="10"/>
        <v>130.39005136245225</v>
      </c>
      <c r="G23" s="306">
        <f t="shared" ca="1" si="11"/>
        <v>1.8113137308398337</v>
      </c>
      <c r="H23" s="307">
        <f t="shared" ca="1" si="12"/>
        <v>20.704523662388073</v>
      </c>
      <c r="I23" s="304">
        <f t="shared" ca="1" si="13"/>
        <v>20.783603092772836</v>
      </c>
      <c r="J23" s="306">
        <f t="shared" ca="1" si="14"/>
        <v>0.14291330790003251</v>
      </c>
      <c r="K23" s="307">
        <f t="shared" ca="1" si="15"/>
        <v>1.6335958512925897</v>
      </c>
      <c r="L23" s="304">
        <f t="shared" ca="1" si="0"/>
        <v>1.639835241399358</v>
      </c>
      <c r="M23" s="306">
        <f t="shared" ca="1" si="16"/>
        <v>1.4835298641951802</v>
      </c>
      <c r="N23" s="304">
        <f t="shared" ca="1" si="17"/>
        <v>85</v>
      </c>
      <c r="P23" s="310">
        <f t="shared" ca="1" si="18"/>
        <v>4</v>
      </c>
      <c r="Q23" s="304">
        <f t="shared" ca="1" si="19"/>
        <v>1157.1785714285713</v>
      </c>
      <c r="R23" s="306">
        <f t="shared" ca="1" si="20"/>
        <v>0.57966807802767872</v>
      </c>
      <c r="S23" s="307">
        <f t="shared" ca="1" si="21"/>
        <v>8.2469336877212935</v>
      </c>
      <c r="T23" s="304">
        <f t="shared" ca="1" si="1"/>
        <v>80.902419476545887</v>
      </c>
      <c r="U23" s="311">
        <f t="shared" ca="1" si="2"/>
        <v>7.0511104595609604</v>
      </c>
      <c r="V23" s="306">
        <f t="shared" ca="1" si="3"/>
        <v>1.2247999008522734</v>
      </c>
      <c r="W23" s="304">
        <f t="shared" ca="1" si="4"/>
        <v>1.441015809992952</v>
      </c>
      <c r="Y23" s="314" t="str">
        <f t="shared" ca="1" si="22"/>
        <v/>
      </c>
      <c r="Z23" s="315" t="str">
        <f t="shared" ca="1" si="23"/>
        <v/>
      </c>
      <c r="AA23" s="316" t="str">
        <f t="shared" ca="1" si="24"/>
        <v/>
      </c>
      <c r="AC23" s="310" t="e">
        <f t="shared" ca="1" si="25"/>
        <v>#N/A</v>
      </c>
      <c r="AD23" s="323" t="e">
        <f t="shared" ca="1" si="26"/>
        <v>#N/A</v>
      </c>
      <c r="AE23" s="324">
        <f t="shared" ca="1" si="5"/>
        <v>1.6335958512925897</v>
      </c>
      <c r="AG23" s="306">
        <f t="shared" ca="1" si="27"/>
        <v>130.39005136106732</v>
      </c>
      <c r="AH23" s="304">
        <f t="shared" ca="1" si="28"/>
        <v>140.16272134934735</v>
      </c>
    </row>
    <row r="24" spans="1:34" x14ac:dyDescent="0.2">
      <c r="A24" s="347">
        <f t="shared" ca="1" si="6"/>
        <v>0.01</v>
      </c>
      <c r="B24" s="304">
        <f t="shared" ca="1" si="7"/>
        <v>0.20000000000000004</v>
      </c>
      <c r="D24" s="306">
        <f t="shared" ca="1" si="8"/>
        <v>11.207866189727232</v>
      </c>
      <c r="E24" s="307">
        <f t="shared" ca="1" si="9"/>
        <v>128.11330530687491</v>
      </c>
      <c r="F24" s="304">
        <f t="shared" ca="1" si="10"/>
        <v>128.60262540546898</v>
      </c>
      <c r="G24" s="306">
        <f t="shared" ca="1" si="11"/>
        <v>1.9233923927371059</v>
      </c>
      <c r="H24" s="307">
        <f t="shared" ca="1" si="12"/>
        <v>21.985656715456823</v>
      </c>
      <c r="I24" s="304">
        <f t="shared" ca="1" si="13"/>
        <v>22.069629346827526</v>
      </c>
      <c r="J24" s="306">
        <f t="shared" ca="1" si="14"/>
        <v>0.16158683851791722</v>
      </c>
      <c r="K24" s="307">
        <f t="shared" ca="1" si="15"/>
        <v>1.8470467531818142</v>
      </c>
      <c r="L24" s="304">
        <f t="shared" ca="1" si="0"/>
        <v>1.8541014035973591</v>
      </c>
      <c r="M24" s="306">
        <f t="shared" ca="1" si="16"/>
        <v>1.4835298641951802</v>
      </c>
      <c r="N24" s="304">
        <f t="shared" ca="1" si="17"/>
        <v>85</v>
      </c>
      <c r="P24" s="310">
        <f t="shared" ca="1" si="18"/>
        <v>4</v>
      </c>
      <c r="Q24" s="304">
        <f t="shared" ca="1" si="19"/>
        <v>1141.8214285714284</v>
      </c>
      <c r="R24" s="306">
        <f t="shared" ca="1" si="20"/>
        <v>0.57197518973559192</v>
      </c>
      <c r="S24" s="307">
        <f t="shared" ca="1" si="21"/>
        <v>8.2412139358239376</v>
      </c>
      <c r="T24" s="304">
        <f t="shared" ca="1" si="1"/>
        <v>80.846308710432837</v>
      </c>
      <c r="U24" s="311">
        <f t="shared" ca="1" si="2"/>
        <v>7.0462200840642373</v>
      </c>
      <c r="V24" s="306">
        <f t="shared" ca="1" si="3"/>
        <v>1.2247737576667439</v>
      </c>
      <c r="W24" s="304">
        <f t="shared" ca="1" si="4"/>
        <v>1.624829795133713</v>
      </c>
      <c r="Y24" s="314" t="str">
        <f t="shared" ca="1" si="22"/>
        <v/>
      </c>
      <c r="Z24" s="315" t="str">
        <f t="shared" ca="1" si="23"/>
        <v/>
      </c>
      <c r="AA24" s="316" t="str">
        <f t="shared" ca="1" si="24"/>
        <v/>
      </c>
      <c r="AC24" s="310" t="e">
        <f t="shared" ca="1" si="25"/>
        <v>#N/A</v>
      </c>
      <c r="AD24" s="323" t="e">
        <f t="shared" ca="1" si="26"/>
        <v>#N/A</v>
      </c>
      <c r="AE24" s="324">
        <f t="shared" ca="1" si="5"/>
        <v>1.8470467531818142</v>
      </c>
      <c r="AG24" s="306">
        <f t="shared" ca="1" si="27"/>
        <v>128.60262540409991</v>
      </c>
      <c r="AH24" s="304">
        <f t="shared" ca="1" si="28"/>
        <v>138.37529539237994</v>
      </c>
    </row>
    <row r="25" spans="1:34" x14ac:dyDescent="0.2">
      <c r="A25" s="347">
        <f t="shared" ca="1" si="6"/>
        <v>0.01</v>
      </c>
      <c r="B25" s="304">
        <f t="shared" ca="1" si="7"/>
        <v>0.21000000000000005</v>
      </c>
      <c r="D25" s="306">
        <f t="shared" ca="1" si="8"/>
        <v>11.051669631217999</v>
      </c>
      <c r="E25" s="307">
        <f t="shared" ca="1" si="9"/>
        <v>126.3278835029661</v>
      </c>
      <c r="F25" s="304">
        <f t="shared" ca="1" si="10"/>
        <v>126.81038424347022</v>
      </c>
      <c r="G25" s="306">
        <f t="shared" ca="1" si="11"/>
        <v>2.0339090890492861</v>
      </c>
      <c r="H25" s="307">
        <f t="shared" ca="1" si="12"/>
        <v>23.248935550486486</v>
      </c>
      <c r="I25" s="304">
        <f t="shared" ca="1" si="13"/>
        <v>23.337733189262227</v>
      </c>
      <c r="J25" s="306">
        <f t="shared" ca="1" si="14"/>
        <v>0.18137334592684917</v>
      </c>
      <c r="K25" s="307">
        <f t="shared" ca="1" si="15"/>
        <v>2.0732197145115308</v>
      </c>
      <c r="L25" s="304">
        <f t="shared" ca="1" si="0"/>
        <v>2.0811382162778074</v>
      </c>
      <c r="M25" s="306">
        <f t="shared" ca="1" si="16"/>
        <v>1.4835298641951802</v>
      </c>
      <c r="N25" s="304">
        <f t="shared" ca="1" si="17"/>
        <v>85</v>
      </c>
      <c r="P25" s="310">
        <f t="shared" ca="1" si="18"/>
        <v>4</v>
      </c>
      <c r="Q25" s="304">
        <f t="shared" ca="1" si="19"/>
        <v>1126.4642857142858</v>
      </c>
      <c r="R25" s="306">
        <f t="shared" ca="1" si="20"/>
        <v>0.56428230144350533</v>
      </c>
      <c r="S25" s="307">
        <f t="shared" ca="1" si="21"/>
        <v>8.2355711128095024</v>
      </c>
      <c r="T25" s="304">
        <f t="shared" ca="1" si="1"/>
        <v>80.79095261666123</v>
      </c>
      <c r="U25" s="311">
        <f t="shared" ca="1" si="2"/>
        <v>7.0413954825959646</v>
      </c>
      <c r="V25" s="306">
        <f t="shared" ca="1" si="3"/>
        <v>1.2247460569089634</v>
      </c>
      <c r="W25" s="304">
        <f t="shared" ca="1" si="4"/>
        <v>1.8168761074669508</v>
      </c>
      <c r="Y25" s="314" t="str">
        <f t="shared" ca="1" si="22"/>
        <v/>
      </c>
      <c r="Z25" s="315" t="str">
        <f t="shared" ca="1" si="23"/>
        <v/>
      </c>
      <c r="AA25" s="316" t="str">
        <f t="shared" ca="1" si="24"/>
        <v/>
      </c>
      <c r="AC25" s="310" t="e">
        <f t="shared" ca="1" si="25"/>
        <v>#N/A</v>
      </c>
      <c r="AD25" s="323" t="e">
        <f t="shared" ca="1" si="26"/>
        <v>#N/A</v>
      </c>
      <c r="AE25" s="324">
        <f t="shared" ca="1" si="5"/>
        <v>2.0732197145115308</v>
      </c>
      <c r="AG25" s="306">
        <f t="shared" ca="1" si="27"/>
        <v>126.81038424211707</v>
      </c>
      <c r="AH25" s="304">
        <f t="shared" ca="1" si="28"/>
        <v>136.5830542303971</v>
      </c>
    </row>
    <row r="26" spans="1:34" x14ac:dyDescent="0.2">
      <c r="A26" s="347">
        <f t="shared" ca="1" si="6"/>
        <v>0.01</v>
      </c>
      <c r="B26" s="304">
        <f t="shared" ca="1" si="7"/>
        <v>0.22000000000000006</v>
      </c>
      <c r="D26" s="306">
        <f t="shared" ca="1" si="8"/>
        <v>10.895061897517234</v>
      </c>
      <c r="E26" s="307">
        <f t="shared" ca="1" si="9"/>
        <v>124.53776176383519</v>
      </c>
      <c r="F26" s="304">
        <f t="shared" ca="1" si="10"/>
        <v>125.01342519464261</v>
      </c>
      <c r="G26" s="306">
        <f t="shared" ca="1" si="11"/>
        <v>2.1428597080244587</v>
      </c>
      <c r="H26" s="307">
        <f t="shared" ca="1" si="12"/>
        <v>24.494313168124837</v>
      </c>
      <c r="I26" s="304">
        <f t="shared" ca="1" si="13"/>
        <v>24.587867441208651</v>
      </c>
      <c r="J26" s="306">
        <f t="shared" ca="1" si="14"/>
        <v>0.20225718991221789</v>
      </c>
      <c r="K26" s="307">
        <f t="shared" ca="1" si="15"/>
        <v>2.3119359581045873</v>
      </c>
      <c r="L26" s="304">
        <f t="shared" ca="1" si="0"/>
        <v>2.320766219430161</v>
      </c>
      <c r="M26" s="306">
        <f t="shared" ca="1" si="16"/>
        <v>1.4835298641951802</v>
      </c>
      <c r="N26" s="304">
        <f t="shared" ca="1" si="17"/>
        <v>85</v>
      </c>
      <c r="P26" s="310">
        <f t="shared" ca="1" si="18"/>
        <v>4</v>
      </c>
      <c r="Q26" s="304">
        <f t="shared" ca="1" si="19"/>
        <v>1111.1071428571427</v>
      </c>
      <c r="R26" s="306">
        <f t="shared" ca="1" si="20"/>
        <v>0.55658941315141852</v>
      </c>
      <c r="S26" s="307">
        <f t="shared" ca="1" si="21"/>
        <v>8.230005218677988</v>
      </c>
      <c r="T26" s="304">
        <f t="shared" ca="1" si="1"/>
        <v>80.736351195231066</v>
      </c>
      <c r="U26" s="311">
        <f t="shared" ca="1" si="2"/>
        <v>7.0366366551561406</v>
      </c>
      <c r="V26" s="306">
        <f t="shared" ca="1" si="3"/>
        <v>1.2247168205797665</v>
      </c>
      <c r="W26" s="304">
        <f t="shared" ca="1" si="4"/>
        <v>2.016690868468392</v>
      </c>
      <c r="Y26" s="314" t="str">
        <f t="shared" ca="1" si="22"/>
        <v/>
      </c>
      <c r="Z26" s="315" t="str">
        <f t="shared" ca="1" si="23"/>
        <v/>
      </c>
      <c r="AA26" s="316" t="str">
        <f t="shared" ca="1" si="24"/>
        <v/>
      </c>
      <c r="AC26" s="310" t="e">
        <f t="shared" ca="1" si="25"/>
        <v>#N/A</v>
      </c>
      <c r="AD26" s="323" t="e">
        <f t="shared" ca="1" si="26"/>
        <v>#N/A</v>
      </c>
      <c r="AE26" s="324">
        <f t="shared" ca="1" si="5"/>
        <v>2.3119359581045873</v>
      </c>
      <c r="AG26" s="306">
        <f t="shared" ca="1" si="27"/>
        <v>125.01342519330535</v>
      </c>
      <c r="AH26" s="304">
        <f t="shared" ca="1" si="28"/>
        <v>134.78609518158538</v>
      </c>
    </row>
    <row r="27" spans="1:34" x14ac:dyDescent="0.2">
      <c r="A27" s="347">
        <f t="shared" ca="1" si="6"/>
        <v>0.01</v>
      </c>
      <c r="B27" s="304">
        <f t="shared" ca="1" si="7"/>
        <v>0.23000000000000007</v>
      </c>
      <c r="D27" s="306">
        <f t="shared" ca="1" si="8"/>
        <v>10.738051464136023</v>
      </c>
      <c r="E27" s="307">
        <f t="shared" ca="1" si="9"/>
        <v>122.74303696709464</v>
      </c>
      <c r="F27" s="304">
        <f t="shared" ca="1" si="10"/>
        <v>123.21184550663948</v>
      </c>
      <c r="G27" s="306">
        <f t="shared" ca="1" si="11"/>
        <v>2.2502402226658189</v>
      </c>
      <c r="H27" s="307">
        <f t="shared" ca="1" si="12"/>
        <v>25.721743537795781</v>
      </c>
      <c r="I27" s="304">
        <f t="shared" ca="1" si="13"/>
        <v>25.819985896275043</v>
      </c>
      <c r="J27" s="306">
        <f t="shared" ca="1" si="14"/>
        <v>0.22422268956566926</v>
      </c>
      <c r="K27" s="307">
        <f t="shared" ca="1" si="15"/>
        <v>2.5630162416341902</v>
      </c>
      <c r="L27" s="304">
        <f t="shared" ca="1" si="0"/>
        <v>2.5728054861175789</v>
      </c>
      <c r="M27" s="306">
        <f t="shared" ca="1" si="16"/>
        <v>1.4835298641951802</v>
      </c>
      <c r="N27" s="304">
        <f t="shared" ca="1" si="17"/>
        <v>85</v>
      </c>
      <c r="P27" s="310">
        <f t="shared" ca="1" si="18"/>
        <v>4</v>
      </c>
      <c r="Q27" s="304">
        <f t="shared" ca="1" si="19"/>
        <v>1095.75</v>
      </c>
      <c r="R27" s="306">
        <f t="shared" ca="1" si="20"/>
        <v>0.54889652485933182</v>
      </c>
      <c r="S27" s="307">
        <f t="shared" ca="1" si="21"/>
        <v>8.2245162534293943</v>
      </c>
      <c r="T27" s="304">
        <f t="shared" ca="1" si="1"/>
        <v>80.68250444614236</v>
      </c>
      <c r="U27" s="311">
        <f t="shared" ca="1" si="2"/>
        <v>7.0319436017447678</v>
      </c>
      <c r="V27" s="306">
        <f t="shared" ca="1" si="3"/>
        <v>1.2246860707406895</v>
      </c>
      <c r="W27" s="304">
        <f t="shared" ca="1" si="4"/>
        <v>2.2238152432864107</v>
      </c>
      <c r="Y27" s="314" t="str">
        <f t="shared" ca="1" si="22"/>
        <v/>
      </c>
      <c r="Z27" s="315" t="str">
        <f t="shared" ca="1" si="23"/>
        <v/>
      </c>
      <c r="AA27" s="316" t="str">
        <f t="shared" ca="1" si="24"/>
        <v/>
      </c>
      <c r="AC27" s="310" t="e">
        <f t="shared" ca="1" si="25"/>
        <v>#N/A</v>
      </c>
      <c r="AD27" s="323" t="e">
        <f t="shared" ca="1" si="26"/>
        <v>#N/A</v>
      </c>
      <c r="AE27" s="324">
        <f t="shared" ca="1" si="5"/>
        <v>2.5630162416341902</v>
      </c>
      <c r="AG27" s="306">
        <f t="shared" ca="1" si="27"/>
        <v>123.21184550531817</v>
      </c>
      <c r="AH27" s="304">
        <f t="shared" ca="1" si="28"/>
        <v>132.9845154935982</v>
      </c>
    </row>
    <row r="28" spans="1:34" x14ac:dyDescent="0.2">
      <c r="A28" s="347">
        <f t="shared" ca="1" si="6"/>
        <v>0.01</v>
      </c>
      <c r="B28" s="304">
        <f t="shared" ca="1" si="7"/>
        <v>0.24000000000000007</v>
      </c>
      <c r="D28" s="306">
        <f t="shared" ca="1" si="8"/>
        <v>10.580646798516621</v>
      </c>
      <c r="E28" s="307">
        <f t="shared" ca="1" si="9"/>
        <v>120.94380589814551</v>
      </c>
      <c r="F28" s="304">
        <f t="shared" ca="1" si="10"/>
        <v>121.40574233455047</v>
      </c>
      <c r="G28" s="306">
        <f t="shared" ca="1" si="11"/>
        <v>2.3560466906509849</v>
      </c>
      <c r="H28" s="307">
        <f t="shared" ca="1" si="12"/>
        <v>26.931181596777236</v>
      </c>
      <c r="I28" s="304">
        <f t="shared" ca="1" si="13"/>
        <v>27.034043319620547</v>
      </c>
      <c r="J28" s="306">
        <f t="shared" ca="1" si="14"/>
        <v>0.24725412413225328</v>
      </c>
      <c r="K28" s="307">
        <f t="shared" ca="1" si="15"/>
        <v>2.8262808673070552</v>
      </c>
      <c r="L28" s="304">
        <f t="shared" ca="1" si="0"/>
        <v>2.8370756321970565</v>
      </c>
      <c r="M28" s="306">
        <f t="shared" ca="1" si="16"/>
        <v>1.4835298641951802</v>
      </c>
      <c r="N28" s="304">
        <f t="shared" ca="1" si="17"/>
        <v>85</v>
      </c>
      <c r="P28" s="310">
        <f t="shared" ca="1" si="18"/>
        <v>4</v>
      </c>
      <c r="Q28" s="304">
        <f t="shared" ca="1" si="19"/>
        <v>1080.3928571428571</v>
      </c>
      <c r="R28" s="306">
        <f t="shared" ca="1" si="20"/>
        <v>0.54120363656724513</v>
      </c>
      <c r="S28" s="307">
        <f t="shared" ca="1" si="21"/>
        <v>8.2191042170637214</v>
      </c>
      <c r="T28" s="304">
        <f t="shared" ca="1" si="1"/>
        <v>80.629412369395112</v>
      </c>
      <c r="U28" s="311">
        <f t="shared" ca="1" si="2"/>
        <v>7.0273163223618456</v>
      </c>
      <c r="V28" s="306">
        <f t="shared" ca="1" si="3"/>
        <v>1.2246538295125062</v>
      </c>
      <c r="W28" s="304">
        <f t="shared" ca="1" si="4"/>
        <v>2.4377955430894227</v>
      </c>
      <c r="Y28" s="314" t="str">
        <f t="shared" ca="1" si="22"/>
        <v/>
      </c>
      <c r="Z28" s="315" t="str">
        <f t="shared" ca="1" si="23"/>
        <v/>
      </c>
      <c r="AA28" s="316" t="str">
        <f t="shared" ca="1" si="24"/>
        <v/>
      </c>
      <c r="AC28" s="310" t="e">
        <f t="shared" ca="1" si="25"/>
        <v>#N/A</v>
      </c>
      <c r="AD28" s="323" t="e">
        <f t="shared" ca="1" si="26"/>
        <v>#N/A</v>
      </c>
      <c r="AE28" s="324">
        <f t="shared" ca="1" si="5"/>
        <v>2.8262808673070552</v>
      </c>
      <c r="AG28" s="306">
        <f t="shared" ca="1" si="27"/>
        <v>121.40574233324509</v>
      </c>
      <c r="AH28" s="304">
        <f t="shared" ca="1" si="28"/>
        <v>131.17841232152512</v>
      </c>
    </row>
    <row r="29" spans="1:34" x14ac:dyDescent="0.2">
      <c r="A29" s="347">
        <f t="shared" ca="1" si="6"/>
        <v>0.01</v>
      </c>
      <c r="B29" s="304">
        <f t="shared" ca="1" si="7"/>
        <v>0.25000000000000006</v>
      </c>
      <c r="D29" s="306">
        <f t="shared" ca="1" si="8"/>
        <v>10.422856358126459</v>
      </c>
      <c r="E29" s="307">
        <f t="shared" ca="1" si="9"/>
        <v>119.14016522839157</v>
      </c>
      <c r="F29" s="304">
        <f t="shared" ca="1" si="10"/>
        <v>119.59521271903228</v>
      </c>
      <c r="G29" s="306">
        <f t="shared" ca="1" si="11"/>
        <v>2.4602752542322497</v>
      </c>
      <c r="H29" s="307">
        <f t="shared" ca="1" si="12"/>
        <v>28.122583249061151</v>
      </c>
      <c r="I29" s="304">
        <f t="shared" ca="1" si="13"/>
        <v>28.229995446810872</v>
      </c>
      <c r="J29" s="306">
        <f t="shared" ca="1" si="14"/>
        <v>0.27133573385666948</v>
      </c>
      <c r="K29" s="307">
        <f t="shared" ca="1" si="15"/>
        <v>3.1015496915362473</v>
      </c>
      <c r="L29" s="304">
        <f t="shared" ca="1" si="0"/>
        <v>3.1133958260292132</v>
      </c>
      <c r="M29" s="306">
        <f t="shared" ca="1" si="16"/>
        <v>1.4835298641951802</v>
      </c>
      <c r="N29" s="304">
        <f t="shared" ca="1" si="17"/>
        <v>85</v>
      </c>
      <c r="P29" s="310">
        <f t="shared" ca="1" si="18"/>
        <v>4</v>
      </c>
      <c r="Q29" s="304">
        <f t="shared" ca="1" si="19"/>
        <v>1065.0357142857142</v>
      </c>
      <c r="R29" s="306">
        <f t="shared" ca="1" si="20"/>
        <v>0.53351074827515843</v>
      </c>
      <c r="S29" s="307">
        <f t="shared" ca="1" si="21"/>
        <v>8.2137691095809693</v>
      </c>
      <c r="T29" s="304">
        <f t="shared" ca="1" si="1"/>
        <v>80.577074964989308</v>
      </c>
      <c r="U29" s="311">
        <f t="shared" ca="1" si="2"/>
        <v>7.0227548170073728</v>
      </c>
      <c r="V29" s="306">
        <f t="shared" ca="1" si="3"/>
        <v>1.2246201190737656</v>
      </c>
      <c r="W29" s="304">
        <f t="shared" ca="1" si="4"/>
        <v>2.6581833254444827</v>
      </c>
      <c r="Y29" s="314" t="str">
        <f t="shared" ca="1" si="22"/>
        <v/>
      </c>
      <c r="Z29" s="315" t="str">
        <f t="shared" ca="1" si="23"/>
        <v/>
      </c>
      <c r="AA29" s="316" t="str">
        <f t="shared" ca="1" si="24"/>
        <v/>
      </c>
      <c r="AC29" s="310" t="e">
        <f t="shared" ca="1" si="25"/>
        <v>#N/A</v>
      </c>
      <c r="AD29" s="323" t="e">
        <f t="shared" ca="1" si="26"/>
        <v>#N/A</v>
      </c>
      <c r="AE29" s="324">
        <f t="shared" ca="1" si="5"/>
        <v>3.1015496915362473</v>
      </c>
      <c r="AG29" s="306">
        <f t="shared" ca="1" si="27"/>
        <v>119.59521271774287</v>
      </c>
      <c r="AH29" s="304">
        <f t="shared" ca="1" si="28"/>
        <v>129.3678827060229</v>
      </c>
    </row>
    <row r="30" spans="1:34" x14ac:dyDescent="0.2">
      <c r="A30" s="347">
        <f t="shared" ca="1" si="6"/>
        <v>0.01</v>
      </c>
      <c r="B30" s="304">
        <f t="shared" ca="1" si="7"/>
        <v>0.26000000000000006</v>
      </c>
      <c r="D30" s="306">
        <f t="shared" ca="1" si="8"/>
        <v>10.264688588566845</v>
      </c>
      <c r="E30" s="307">
        <f t="shared" ca="1" si="9"/>
        <v>117.33221149362149</v>
      </c>
      <c r="F30" s="304">
        <f t="shared" ca="1" si="10"/>
        <v>117.78035356460846</v>
      </c>
      <c r="G30" s="306">
        <f t="shared" ca="1" si="11"/>
        <v>2.5629221401179181</v>
      </c>
      <c r="H30" s="307">
        <f t="shared" ca="1" si="12"/>
        <v>29.295905363997367</v>
      </c>
      <c r="I30" s="304">
        <f t="shared" ca="1" si="13"/>
        <v>29.407798982456956</v>
      </c>
      <c r="J30" s="306">
        <f t="shared" ca="1" si="14"/>
        <v>0.29645172082842031</v>
      </c>
      <c r="K30" s="307">
        <f t="shared" ca="1" si="15"/>
        <v>3.3886421346015396</v>
      </c>
      <c r="L30" s="304">
        <f t="shared" ca="1" si="0"/>
        <v>3.4015847981755516</v>
      </c>
      <c r="M30" s="306">
        <f t="shared" ca="1" si="16"/>
        <v>1.4835298641951802</v>
      </c>
      <c r="N30" s="304">
        <f t="shared" ca="1" si="17"/>
        <v>85</v>
      </c>
      <c r="P30" s="310">
        <f t="shared" ca="1" si="18"/>
        <v>4</v>
      </c>
      <c r="Q30" s="304">
        <f t="shared" ca="1" si="19"/>
        <v>1049.6785714285713</v>
      </c>
      <c r="R30" s="306">
        <f t="shared" ca="1" si="20"/>
        <v>0.52581785998307162</v>
      </c>
      <c r="S30" s="307">
        <f t="shared" ca="1" si="21"/>
        <v>8.2085109309811379</v>
      </c>
      <c r="T30" s="304">
        <f t="shared" ca="1" si="1"/>
        <v>80.525492232924961</v>
      </c>
      <c r="U30" s="311">
        <f t="shared" ca="1" si="2"/>
        <v>7.0182590856813514</v>
      </c>
      <c r="V30" s="306">
        <f t="shared" ca="1" si="3"/>
        <v>1.2245849616593316</v>
      </c>
      <c r="W30" s="304">
        <f t="shared" ca="1" si="4"/>
        <v>2.8845354927076987</v>
      </c>
      <c r="Y30" s="314" t="str">
        <f t="shared" ca="1" si="22"/>
        <v/>
      </c>
      <c r="Z30" s="315" t="str">
        <f t="shared" ca="1" si="23"/>
        <v/>
      </c>
      <c r="AA30" s="316" t="str">
        <f t="shared" ca="1" si="24"/>
        <v/>
      </c>
      <c r="AC30" s="310" t="e">
        <f t="shared" ca="1" si="25"/>
        <v>#N/A</v>
      </c>
      <c r="AD30" s="323" t="e">
        <f t="shared" ca="1" si="26"/>
        <v>#N/A</v>
      </c>
      <c r="AE30" s="324">
        <f t="shared" ca="1" si="5"/>
        <v>3.3886421346015396</v>
      </c>
      <c r="AG30" s="306">
        <f t="shared" ca="1" si="27"/>
        <v>117.78035356333504</v>
      </c>
      <c r="AH30" s="304">
        <f t="shared" ca="1" si="28"/>
        <v>127.55302355161507</v>
      </c>
    </row>
    <row r="31" spans="1:34" x14ac:dyDescent="0.2">
      <c r="A31" s="347">
        <f t="shared" ca="1" si="6"/>
        <v>0.01</v>
      </c>
      <c r="B31" s="304">
        <f t="shared" ca="1" si="7"/>
        <v>0.27000000000000007</v>
      </c>
      <c r="D31" s="306">
        <f t="shared" ca="1" si="8"/>
        <v>10.186008389665892</v>
      </c>
      <c r="E31" s="307">
        <f t="shared" ca="1" si="9"/>
        <v>116.43284970631676</v>
      </c>
      <c r="F31" s="304">
        <f t="shared" ca="1" si="10"/>
        <v>116.87755668924676</v>
      </c>
      <c r="G31" s="306">
        <f t="shared" ca="1" si="11"/>
        <v>2.6647822240145769</v>
      </c>
      <c r="H31" s="307">
        <f t="shared" ca="1" si="12"/>
        <v>30.460233861060534</v>
      </c>
      <c r="I31" s="304">
        <f t="shared" ca="1" si="13"/>
        <v>30.576574549349424</v>
      </c>
      <c r="J31" s="306">
        <f t="shared" ca="1" si="14"/>
        <v>0.32259024264908276</v>
      </c>
      <c r="K31" s="307">
        <f t="shared" ca="1" si="15"/>
        <v>3.6874228307268293</v>
      </c>
      <c r="L31" s="304">
        <f t="shared" ca="1" si="0"/>
        <v>3.7015066658345837</v>
      </c>
      <c r="M31" s="306">
        <f t="shared" ca="1" si="16"/>
        <v>1.4835298641951802</v>
      </c>
      <c r="N31" s="304">
        <f t="shared" ca="1" si="17"/>
        <v>85</v>
      </c>
      <c r="P31" s="310">
        <f t="shared" ca="1" si="18"/>
        <v>5</v>
      </c>
      <c r="Q31" s="304">
        <f t="shared" ca="1" si="19"/>
        <v>1041.8333333333333</v>
      </c>
      <c r="R31" s="306">
        <f t="shared" ca="1" si="20"/>
        <v>0.52188792712688159</v>
      </c>
      <c r="S31" s="307">
        <f t="shared" ca="1" si="21"/>
        <v>8.2032920517098695</v>
      </c>
      <c r="T31" s="304">
        <f t="shared" ca="1" si="1"/>
        <v>80.474295027273826</v>
      </c>
      <c r="U31" s="311">
        <f t="shared" ca="1" si="2"/>
        <v>7.0137969551962218</v>
      </c>
      <c r="V31" s="306">
        <f t="shared" ca="1" si="3"/>
        <v>1.2245483739700427</v>
      </c>
      <c r="W31" s="304">
        <f t="shared" ca="1" si="4"/>
        <v>3.1182830198927558</v>
      </c>
      <c r="Y31" s="314" t="str">
        <f t="shared" ca="1" si="22"/>
        <v>Sortie de rampe</v>
      </c>
      <c r="Z31" s="315" t="str">
        <f t="shared" ca="1" si="23"/>
        <v/>
      </c>
      <c r="AA31" s="316" t="str">
        <f t="shared" ca="1" si="24"/>
        <v/>
      </c>
      <c r="AC31" s="310" t="e">
        <f t="shared" ca="1" si="25"/>
        <v>#N/A</v>
      </c>
      <c r="AD31" s="323" t="e">
        <f t="shared" ca="1" si="26"/>
        <v>#N/A</v>
      </c>
      <c r="AE31" s="324">
        <f t="shared" ca="1" si="5"/>
        <v>3.6874228307268293</v>
      </c>
      <c r="AG31" s="306">
        <f t="shared" ca="1" si="27"/>
        <v>116.87755668798101</v>
      </c>
      <c r="AH31" s="304">
        <f t="shared" ca="1" si="28"/>
        <v>126.65022667626104</v>
      </c>
    </row>
    <row r="32" spans="1:34" x14ac:dyDescent="0.2">
      <c r="A32" s="347">
        <f t="shared" ca="1" si="6"/>
        <v>0.01</v>
      </c>
      <c r="B32" s="304">
        <f t="shared" ca="1" si="7"/>
        <v>0.28000000000000008</v>
      </c>
      <c r="D32" s="306">
        <f t="shared" ca="1" si="8"/>
        <v>10.187004152329676</v>
      </c>
      <c r="E32" s="307">
        <f t="shared" ca="1" si="9"/>
        <v>116.44423329932931</v>
      </c>
      <c r="F32" s="304">
        <f t="shared" ca="1" si="10"/>
        <v>116.88898375068634</v>
      </c>
      <c r="G32" s="306">
        <f t="shared" ca="1" si="11"/>
        <v>2.7666522655378736</v>
      </c>
      <c r="H32" s="307">
        <f t="shared" ca="1" si="12"/>
        <v>31.624676194053826</v>
      </c>
      <c r="I32" s="304">
        <f t="shared" ca="1" si="13"/>
        <v>31.745464386856288</v>
      </c>
      <c r="J32" s="306">
        <f t="shared" ca="1" si="14"/>
        <v>0.34974741509684504</v>
      </c>
      <c r="K32" s="307">
        <f t="shared" ca="1" si="15"/>
        <v>3.9978473810024013</v>
      </c>
      <c r="L32" s="304">
        <f t="shared" ca="1" si="0"/>
        <v>4.0131168605156118</v>
      </c>
      <c r="M32" s="306">
        <f t="shared" ca="1" si="16"/>
        <v>1.4835298641951802</v>
      </c>
      <c r="N32" s="304">
        <f t="shared" ca="1" si="17"/>
        <v>85</v>
      </c>
      <c r="P32" s="310">
        <f t="shared" ca="1" si="18"/>
        <v>5</v>
      </c>
      <c r="Q32" s="304">
        <f t="shared" ca="1" si="19"/>
        <v>1041.5</v>
      </c>
      <c r="R32" s="306">
        <f t="shared" ca="1" si="20"/>
        <v>0.52172094970658833</v>
      </c>
      <c r="S32" s="307">
        <f t="shared" ca="1" si="21"/>
        <v>8.1980748422128045</v>
      </c>
      <c r="T32" s="304">
        <f t="shared" ca="1" si="1"/>
        <v>80.423114202107612</v>
      </c>
      <c r="U32" s="311">
        <f t="shared" ca="1" si="2"/>
        <v>0</v>
      </c>
      <c r="V32" s="306">
        <f t="shared" ca="1" si="3"/>
        <v>1.2245103615708131</v>
      </c>
      <c r="W32" s="304">
        <f t="shared" ca="1" si="4"/>
        <v>3.36114893256019</v>
      </c>
      <c r="Y32" s="314" t="str">
        <f t="shared" ca="1" si="22"/>
        <v/>
      </c>
      <c r="Z32" s="315" t="str">
        <f t="shared" ca="1" si="23"/>
        <v/>
      </c>
      <c r="AA32" s="316" t="str">
        <f t="shared" ca="1" si="24"/>
        <v/>
      </c>
      <c r="AC32" s="310" t="e">
        <f t="shared" ca="1" si="25"/>
        <v>#N/A</v>
      </c>
      <c r="AD32" s="323" t="e">
        <f t="shared" ca="1" si="26"/>
        <v>#N/A</v>
      </c>
      <c r="AE32" s="324">
        <f t="shared" ca="1" si="5"/>
        <v>3.9978473810024013</v>
      </c>
      <c r="AG32" s="306">
        <f t="shared" ca="1" si="27"/>
        <v>116.88898374941991</v>
      </c>
      <c r="AH32" s="304">
        <f t="shared" ca="1" si="28"/>
        <v>126.66165373769994</v>
      </c>
    </row>
    <row r="33" spans="1:34" x14ac:dyDescent="0.2">
      <c r="A33" s="347">
        <f t="shared" ca="1" si="6"/>
        <v>0.01</v>
      </c>
      <c r="B33" s="304">
        <f t="shared" ca="1" si="7"/>
        <v>0.29000000000000009</v>
      </c>
      <c r="D33" s="306">
        <f t="shared" ca="1" si="8"/>
        <v>11.040188459997665</v>
      </c>
      <c r="E33" s="307">
        <f t="shared" ca="1" si="9"/>
        <v>116.37993153011556</v>
      </c>
      <c r="F33" s="304">
        <f t="shared" ca="1" si="10"/>
        <v>116.9024132521936</v>
      </c>
      <c r="G33" s="306">
        <f t="shared" ca="1" si="11"/>
        <v>2.8770541501378504</v>
      </c>
      <c r="H33" s="307">
        <f t="shared" ca="1" si="12"/>
        <v>32.788475509354981</v>
      </c>
      <c r="I33" s="304">
        <f t="shared" ca="1" si="13"/>
        <v>32.914458324730134</v>
      </c>
      <c r="J33" s="306">
        <f t="shared" ca="1" si="14"/>
        <v>0.37796594717522364</v>
      </c>
      <c r="K33" s="307">
        <f t="shared" ca="1" si="15"/>
        <v>4.3199131395194454</v>
      </c>
      <c r="L33" s="304">
        <f t="shared" ca="1" si="0"/>
        <v>4.3364164687235487</v>
      </c>
      <c r="M33" s="306">
        <f t="shared" ca="1" si="16"/>
        <v>1.4832745917578425</v>
      </c>
      <c r="N33" s="304">
        <f t="shared" ca="1" si="17"/>
        <v>84.985373966714533</v>
      </c>
      <c r="P33" s="310">
        <f t="shared" ca="1" si="18"/>
        <v>5</v>
      </c>
      <c r="Q33" s="304">
        <f t="shared" ca="1" si="19"/>
        <v>1041.1666666666667</v>
      </c>
      <c r="R33" s="306">
        <f t="shared" ca="1" si="20"/>
        <v>0.52155397228629496</v>
      </c>
      <c r="S33" s="307">
        <f t="shared" ca="1" si="21"/>
        <v>8.192859302489941</v>
      </c>
      <c r="T33" s="304">
        <f t="shared" ca="1" si="1"/>
        <v>80.371949757426322</v>
      </c>
      <c r="U33" s="311">
        <f t="shared" ca="1" si="2"/>
        <v>0</v>
      </c>
      <c r="V33" s="306">
        <f t="shared" ca="1" si="3"/>
        <v>1.2244709249183288</v>
      </c>
      <c r="W33" s="304">
        <f t="shared" ca="1" si="4"/>
        <v>3.6131319731268903</v>
      </c>
      <c r="Y33" s="314" t="str">
        <f t="shared" ca="1" si="22"/>
        <v/>
      </c>
      <c r="Z33" s="315" t="str">
        <f t="shared" ca="1" si="23"/>
        <v/>
      </c>
      <c r="AA33" s="316" t="str">
        <f t="shared" ca="1" si="24"/>
        <v/>
      </c>
      <c r="AC33" s="310" t="e">
        <f t="shared" ca="1" si="25"/>
        <v>#N/A</v>
      </c>
      <c r="AD33" s="323" t="e">
        <f t="shared" ca="1" si="26"/>
        <v>#N/A</v>
      </c>
      <c r="AE33" s="324">
        <f t="shared" ca="1" si="5"/>
        <v>4.3199131395194454</v>
      </c>
      <c r="AG33" s="306">
        <f t="shared" ca="1" si="27"/>
        <v>116.89928657988671</v>
      </c>
      <c r="AH33" s="304">
        <f t="shared" ca="1" si="28"/>
        <v>126.67195656816673</v>
      </c>
    </row>
    <row r="34" spans="1:34" x14ac:dyDescent="0.2">
      <c r="A34" s="347">
        <f t="shared" ca="1" si="6"/>
        <v>0.01</v>
      </c>
      <c r="B34" s="304">
        <f t="shared" ca="1" si="7"/>
        <v>0.3000000000000001</v>
      </c>
      <c r="D34" s="306">
        <f t="shared" ca="1" si="8"/>
        <v>11.073203038165424</v>
      </c>
      <c r="E34" s="307">
        <f t="shared" ca="1" si="9"/>
        <v>116.38625063699465</v>
      </c>
      <c r="F34" s="304">
        <f t="shared" ca="1" si="10"/>
        <v>116.91182644566705</v>
      </c>
      <c r="G34" s="306">
        <f t="shared" ca="1" si="11"/>
        <v>2.9877861805195045</v>
      </c>
      <c r="H34" s="307">
        <f t="shared" ca="1" si="12"/>
        <v>33.952338015724926</v>
      </c>
      <c r="I34" s="304">
        <f t="shared" ca="1" si="13"/>
        <v>34.083546220933989</v>
      </c>
      <c r="J34" s="306">
        <f t="shared" ca="1" si="14"/>
        <v>0.40729014882851039</v>
      </c>
      <c r="K34" s="307">
        <f t="shared" ca="1" si="15"/>
        <v>4.6536172071448449</v>
      </c>
      <c r="L34" s="304">
        <f t="shared" ca="1" si="0"/>
        <v>4.6714064665759221</v>
      </c>
      <c r="M34" s="306">
        <f t="shared" ca="1" si="16"/>
        <v>1.483023006284534</v>
      </c>
      <c r="N34" s="304">
        <f t="shared" ca="1" si="17"/>
        <v>84.970959180907158</v>
      </c>
      <c r="P34" s="310">
        <f t="shared" ca="1" si="18"/>
        <v>5</v>
      </c>
      <c r="Q34" s="304">
        <f t="shared" ca="1" si="19"/>
        <v>1040.8333333333333</v>
      </c>
      <c r="R34" s="306">
        <f t="shared" ca="1" si="20"/>
        <v>0.5213869948660016</v>
      </c>
      <c r="S34" s="307">
        <f t="shared" ca="1" si="21"/>
        <v>8.1876454325412809</v>
      </c>
      <c r="T34" s="304">
        <f t="shared" ca="1" si="1"/>
        <v>80.320801693229967</v>
      </c>
      <c r="U34" s="311">
        <f t="shared" ca="1" si="2"/>
        <v>0</v>
      </c>
      <c r="V34" s="306">
        <f t="shared" ca="1" si="3"/>
        <v>1.224430064505206</v>
      </c>
      <c r="W34" s="304">
        <f t="shared" ca="1" si="4"/>
        <v>3.8742305101220516</v>
      </c>
      <c r="Y34" s="314" t="str">
        <f t="shared" ca="1" si="22"/>
        <v/>
      </c>
      <c r="Z34" s="315" t="str">
        <f t="shared" ca="1" si="23"/>
        <v/>
      </c>
      <c r="AA34" s="316" t="str">
        <f t="shared" ca="1" si="24"/>
        <v/>
      </c>
      <c r="AC34" s="310" t="e">
        <f t="shared" ca="1" si="25"/>
        <v>#N/A</v>
      </c>
      <c r="AD34" s="323" t="e">
        <f t="shared" ca="1" si="26"/>
        <v>#N/A</v>
      </c>
      <c r="AE34" s="324">
        <f t="shared" ca="1" si="5"/>
        <v>4.6536172071448449</v>
      </c>
      <c r="AG34" s="306">
        <f t="shared" ca="1" si="27"/>
        <v>116.90868175405626</v>
      </c>
      <c r="AH34" s="304">
        <f t="shared" ca="1" si="28"/>
        <v>126.68113316654383</v>
      </c>
    </row>
    <row r="35" spans="1:34" x14ac:dyDescent="0.2">
      <c r="A35" s="347">
        <f t="shared" ca="1" si="6"/>
        <v>0.01</v>
      </c>
      <c r="B35" s="304">
        <f t="shared" ca="1" si="7"/>
        <v>0.31000000000000011</v>
      </c>
      <c r="D35" s="306">
        <f t="shared" ca="1" si="8"/>
        <v>11.105657359523747</v>
      </c>
      <c r="E35" s="307">
        <f t="shared" ca="1" si="9"/>
        <v>116.39147821013459</v>
      </c>
      <c r="F35" s="304">
        <f t="shared" ca="1" si="10"/>
        <v>116.92010872953968</v>
      </c>
      <c r="G35" s="306">
        <f t="shared" ca="1" si="11"/>
        <v>3.0988427541147421</v>
      </c>
      <c r="H35" s="307">
        <f t="shared" ca="1" si="12"/>
        <v>35.11625279782627</v>
      </c>
      <c r="I35" s="304">
        <f t="shared" ca="1" si="13"/>
        <v>35.252716731843101</v>
      </c>
      <c r="J35" s="306">
        <f t="shared" ca="1" si="14"/>
        <v>0.4377232935016816</v>
      </c>
      <c r="K35" s="307">
        <f t="shared" ca="1" si="15"/>
        <v>4.9989601612126009</v>
      </c>
      <c r="L35" s="304">
        <f t="shared" ca="1" si="0"/>
        <v>5.0180877209415806</v>
      </c>
      <c r="M35" s="306">
        <f t="shared" ca="1" si="16"/>
        <v>1.4827790673289982</v>
      </c>
      <c r="N35" s="304">
        <f t="shared" ca="1" si="17"/>
        <v>84.956982508296136</v>
      </c>
      <c r="P35" s="310">
        <f t="shared" ca="1" si="18"/>
        <v>5</v>
      </c>
      <c r="Q35" s="304">
        <f t="shared" ca="1" si="19"/>
        <v>1040.5</v>
      </c>
      <c r="R35" s="306">
        <f t="shared" ca="1" si="20"/>
        <v>0.52122001744570823</v>
      </c>
      <c r="S35" s="307">
        <f t="shared" ca="1" si="21"/>
        <v>8.1824332323668241</v>
      </c>
      <c r="T35" s="304">
        <f t="shared" ca="1" si="1"/>
        <v>80.269670009518549</v>
      </c>
      <c r="U35" s="311">
        <f t="shared" ca="1" si="2"/>
        <v>0</v>
      </c>
      <c r="V35" s="306">
        <f t="shared" ca="1" si="3"/>
        <v>1.2243877804033201</v>
      </c>
      <c r="W35" s="304">
        <f t="shared" ca="1" si="4"/>
        <v>4.1444422486369836</v>
      </c>
      <c r="Y35" s="314" t="str">
        <f t="shared" ca="1" si="22"/>
        <v/>
      </c>
      <c r="Z35" s="315" t="str">
        <f t="shared" ca="1" si="23"/>
        <v/>
      </c>
      <c r="AA35" s="316" t="str">
        <f t="shared" ca="1" si="24"/>
        <v/>
      </c>
      <c r="AC35" s="310" t="e">
        <f t="shared" ca="1" si="25"/>
        <v>#N/A</v>
      </c>
      <c r="AD35" s="323" t="e">
        <f t="shared" ca="1" si="26"/>
        <v>#N/A</v>
      </c>
      <c r="AE35" s="324">
        <f t="shared" ca="1" si="5"/>
        <v>4.9989601612126009</v>
      </c>
      <c r="AG35" s="306">
        <f t="shared" ca="1" si="27"/>
        <v>116.91694620312731</v>
      </c>
      <c r="AH35" s="304">
        <f t="shared" ca="1" si="28"/>
        <v>126.68918157368537</v>
      </c>
    </row>
    <row r="36" spans="1:34" x14ac:dyDescent="0.2">
      <c r="A36" s="347">
        <f t="shared" ca="1" si="6"/>
        <v>0.01</v>
      </c>
      <c r="B36" s="304">
        <f t="shared" ca="1" si="7"/>
        <v>0.32000000000000012</v>
      </c>
      <c r="D36" s="306">
        <f t="shared" ca="1" si="8"/>
        <v>11.137050632462437</v>
      </c>
      <c r="E36" s="307">
        <f t="shared" ca="1" si="9"/>
        <v>116.39565690609442</v>
      </c>
      <c r="F36" s="304">
        <f t="shared" ca="1" si="10"/>
        <v>116.92725449351522</v>
      </c>
      <c r="G36" s="306">
        <f t="shared" ca="1" si="11"/>
        <v>3.2102132604393665</v>
      </c>
      <c r="H36" s="307">
        <f t="shared" ca="1" si="12"/>
        <v>36.280209366887213</v>
      </c>
      <c r="I36" s="304">
        <f t="shared" ca="1" si="13"/>
        <v>36.421958498722603</v>
      </c>
      <c r="J36" s="306">
        <f t="shared" ca="1" si="14"/>
        <v>0.46926857357445217</v>
      </c>
      <c r="K36" s="307">
        <f t="shared" ca="1" si="15"/>
        <v>5.3559424720361681</v>
      </c>
      <c r="L36" s="304">
        <f t="shared" ca="1" si="0"/>
        <v>5.3764609882250145</v>
      </c>
      <c r="M36" s="306">
        <f t="shared" ca="1" si="16"/>
        <v>1.4825423049668716</v>
      </c>
      <c r="N36" s="304">
        <f t="shared" ca="1" si="17"/>
        <v>84.943417024198723</v>
      </c>
      <c r="P36" s="310">
        <f t="shared" ca="1" si="18"/>
        <v>5</v>
      </c>
      <c r="Q36" s="304">
        <f t="shared" ca="1" si="19"/>
        <v>1040.1666666666667</v>
      </c>
      <c r="R36" s="306">
        <f t="shared" ca="1" si="20"/>
        <v>0.52105304002541497</v>
      </c>
      <c r="S36" s="307">
        <f t="shared" ca="1" si="21"/>
        <v>8.1772227019665706</v>
      </c>
      <c r="T36" s="304">
        <f t="shared" ca="1" si="1"/>
        <v>80.218554706292068</v>
      </c>
      <c r="U36" s="311">
        <f t="shared" ca="1" si="2"/>
        <v>0</v>
      </c>
      <c r="V36" s="306">
        <f t="shared" ca="1" si="3"/>
        <v>1.2243440727026191</v>
      </c>
      <c r="W36" s="304">
        <f t="shared" ca="1" si="4"/>
        <v>4.4237644728767753</v>
      </c>
      <c r="Y36" s="314" t="str">
        <f t="shared" ca="1" si="22"/>
        <v/>
      </c>
      <c r="Z36" s="315" t="str">
        <f t="shared" ca="1" si="23"/>
        <v/>
      </c>
      <c r="AA36" s="316" t="str">
        <f t="shared" ca="1" si="24"/>
        <v/>
      </c>
      <c r="AC36" s="310" t="e">
        <f t="shared" ca="1" si="25"/>
        <v>#N/A</v>
      </c>
      <c r="AD36" s="323" t="e">
        <f t="shared" ca="1" si="26"/>
        <v>#N/A</v>
      </c>
      <c r="AE36" s="324">
        <f t="shared" ca="1" si="5"/>
        <v>5.3559424720361681</v>
      </c>
      <c r="AG36" s="306">
        <f t="shared" ca="1" si="27"/>
        <v>116.92407460372705</v>
      </c>
      <c r="AH36" s="304">
        <f t="shared" ca="1" si="28"/>
        <v>126.69609990796421</v>
      </c>
    </row>
    <row r="37" spans="1:34" x14ac:dyDescent="0.2">
      <c r="A37" s="347">
        <f t="shared" ca="1" si="6"/>
        <v>0.01</v>
      </c>
      <c r="B37" s="304">
        <f t="shared" ca="1" si="7"/>
        <v>0.33000000000000013</v>
      </c>
      <c r="D37" s="306">
        <f t="shared" ca="1" si="8"/>
        <v>11.16744108234233</v>
      </c>
      <c r="E37" s="307">
        <f t="shared" ca="1" si="9"/>
        <v>116.39878044230169</v>
      </c>
      <c r="F37" s="304">
        <f t="shared" ca="1" si="10"/>
        <v>116.93326228572749</v>
      </c>
      <c r="G37" s="306">
        <f t="shared" ca="1" si="11"/>
        <v>3.3218876712627896</v>
      </c>
      <c r="H37" s="307">
        <f t="shared" ca="1" si="12"/>
        <v>37.444197171310229</v>
      </c>
      <c r="I37" s="304">
        <f t="shared" ca="1" si="13"/>
        <v>37.591260147864752</v>
      </c>
      <c r="J37" s="306">
        <f t="shared" ca="1" si="14"/>
        <v>0.50192907823296296</v>
      </c>
      <c r="K37" s="307">
        <f t="shared" ca="1" si="15"/>
        <v>5.7245645047271552</v>
      </c>
      <c r="L37" s="304">
        <f t="shared" ca="1" si="0"/>
        <v>5.7465269135676937</v>
      </c>
      <c r="M37" s="306">
        <f t="shared" ca="1" si="16"/>
        <v>1.482312291790268</v>
      </c>
      <c r="N37" s="304">
        <f t="shared" ca="1" si="17"/>
        <v>84.930238239946945</v>
      </c>
      <c r="P37" s="310">
        <f t="shared" ca="1" si="18"/>
        <v>5</v>
      </c>
      <c r="Q37" s="304">
        <f t="shared" ca="1" si="19"/>
        <v>1039.8333333333333</v>
      </c>
      <c r="R37" s="306">
        <f t="shared" ca="1" si="20"/>
        <v>0.52088606260512149</v>
      </c>
      <c r="S37" s="307">
        <f t="shared" ca="1" si="21"/>
        <v>8.1720138413405188</v>
      </c>
      <c r="T37" s="304">
        <f t="shared" ca="1" si="1"/>
        <v>80.167455783550494</v>
      </c>
      <c r="U37" s="311">
        <f t="shared" ca="1" si="2"/>
        <v>0</v>
      </c>
      <c r="V37" s="306">
        <f t="shared" ca="1" si="3"/>
        <v>1.2242989415108982</v>
      </c>
      <c r="W37" s="304">
        <f t="shared" ca="1" si="4"/>
        <v>4.7121940456444333</v>
      </c>
      <c r="Y37" s="314" t="str">
        <f t="shared" ca="1" si="22"/>
        <v/>
      </c>
      <c r="Z37" s="315" t="str">
        <f t="shared" ca="1" si="23"/>
        <v/>
      </c>
      <c r="AA37" s="316" t="str">
        <f t="shared" ca="1" si="24"/>
        <v/>
      </c>
      <c r="AC37" s="310" t="e">
        <f t="shared" ca="1" si="25"/>
        <v>#N/A</v>
      </c>
      <c r="AD37" s="323" t="e">
        <f t="shared" ca="1" si="26"/>
        <v>#N/A</v>
      </c>
      <c r="AE37" s="324">
        <f t="shared" ca="1" si="5"/>
        <v>5.7245645047271552</v>
      </c>
      <c r="AG37" s="306">
        <f t="shared" ca="1" si="27"/>
        <v>116.93006547393982</v>
      </c>
      <c r="AH37" s="304">
        <f t="shared" ca="1" si="28"/>
        <v>126.70188633584229</v>
      </c>
    </row>
    <row r="38" spans="1:34" x14ac:dyDescent="0.2">
      <c r="A38" s="347">
        <f t="shared" ca="1" si="6"/>
        <v>0.01</v>
      </c>
      <c r="B38" s="304">
        <f t="shared" ca="1" si="7"/>
        <v>0.34000000000000014</v>
      </c>
      <c r="D38" s="306">
        <f t="shared" ca="1" si="8"/>
        <v>11.196881625046142</v>
      </c>
      <c r="E38" s="307">
        <f t="shared" ca="1" si="9"/>
        <v>116.40084297912772</v>
      </c>
      <c r="F38" s="304">
        <f t="shared" ca="1" si="10"/>
        <v>116.93813066907151</v>
      </c>
      <c r="G38" s="306">
        <f t="shared" ca="1" si="11"/>
        <v>3.4338564875132511</v>
      </c>
      <c r="H38" s="307">
        <f t="shared" ca="1" si="12"/>
        <v>38.608205601101503</v>
      </c>
      <c r="I38" s="304">
        <f t="shared" ca="1" si="13"/>
        <v>38.760610290780541</v>
      </c>
      <c r="J38" s="306">
        <f t="shared" ca="1" si="14"/>
        <v>0.53570779902684318</v>
      </c>
      <c r="K38" s="307">
        <f t="shared" ca="1" si="15"/>
        <v>6.1048265185892134</v>
      </c>
      <c r="L38" s="304">
        <f t="shared" ca="1" si="0"/>
        <v>6.1282860302052056</v>
      </c>
      <c r="M38" s="306">
        <f t="shared" ca="1" si="16"/>
        <v>1.4820886378968749</v>
      </c>
      <c r="N38" s="304">
        <f t="shared" ca="1" si="17"/>
        <v>84.917423815783849</v>
      </c>
      <c r="P38" s="310">
        <f t="shared" ca="1" si="18"/>
        <v>5</v>
      </c>
      <c r="Q38" s="304">
        <f t="shared" ca="1" si="19"/>
        <v>1039.5</v>
      </c>
      <c r="R38" s="306">
        <f t="shared" ca="1" si="20"/>
        <v>0.52071908518482812</v>
      </c>
      <c r="S38" s="307">
        <f t="shared" ca="1" si="21"/>
        <v>8.1668066504886703</v>
      </c>
      <c r="T38" s="304">
        <f t="shared" ca="1" si="1"/>
        <v>80.116373241293857</v>
      </c>
      <c r="U38" s="311">
        <f t="shared" ca="1" si="2"/>
        <v>0</v>
      </c>
      <c r="V38" s="306">
        <f t="shared" ca="1" si="3"/>
        <v>1.2242523869538704</v>
      </c>
      <c r="W38" s="304">
        <f t="shared" ca="1" si="4"/>
        <v>5.0097274078632781</v>
      </c>
      <c r="Y38" s="314" t="str">
        <f t="shared" ca="1" si="22"/>
        <v/>
      </c>
      <c r="Z38" s="315" t="str">
        <f t="shared" ca="1" si="23"/>
        <v/>
      </c>
      <c r="AA38" s="316" t="str">
        <f t="shared" ca="1" si="24"/>
        <v/>
      </c>
      <c r="AC38" s="310" t="e">
        <f t="shared" ca="1" si="25"/>
        <v>#N/A</v>
      </c>
      <c r="AD38" s="323" t="e">
        <f t="shared" ca="1" si="26"/>
        <v>#N/A</v>
      </c>
      <c r="AE38" s="324">
        <f t="shared" ca="1" si="5"/>
        <v>6.1048265185892134</v>
      </c>
      <c r="AG38" s="306">
        <f t="shared" ca="1" si="27"/>
        <v>116.93491734923111</v>
      </c>
      <c r="AH38" s="304">
        <f t="shared" ca="1" si="28"/>
        <v>126.70653907209102</v>
      </c>
    </row>
    <row r="39" spans="1:34" x14ac:dyDescent="0.2">
      <c r="A39" s="347">
        <f t="shared" ca="1" si="6"/>
        <v>0.01</v>
      </c>
      <c r="B39" s="304">
        <f t="shared" ca="1" si="7"/>
        <v>0.35000000000000014</v>
      </c>
      <c r="D39" s="306">
        <f t="shared" ca="1" si="8"/>
        <v>11.22542049440205</v>
      </c>
      <c r="E39" s="307">
        <f t="shared" ca="1" si="9"/>
        <v>116.4018390744249</v>
      </c>
      <c r="F39" s="304">
        <f t="shared" ca="1" si="10"/>
        <v>116.94185822529268</v>
      </c>
      <c r="G39" s="306">
        <f t="shared" ca="1" si="11"/>
        <v>3.5461106924572716</v>
      </c>
      <c r="H39" s="307">
        <f t="shared" ca="1" si="12"/>
        <v>39.772223991845749</v>
      </c>
      <c r="I39" s="304">
        <f t="shared" ca="1" si="13"/>
        <v>39.929997524426547</v>
      </c>
      <c r="J39" s="306">
        <f t="shared" ca="1" si="14"/>
        <v>0.57060763492669575</v>
      </c>
      <c r="K39" s="307">
        <f t="shared" ca="1" si="15"/>
        <v>6.4967286665539499</v>
      </c>
      <c r="L39" s="304">
        <f t="shared" ca="1" si="0"/>
        <v>6.5217387589400193</v>
      </c>
      <c r="M39" s="306">
        <f t="shared" ca="1" si="16"/>
        <v>1.4818709865987931</v>
      </c>
      <c r="N39" s="304">
        <f t="shared" ca="1" si="17"/>
        <v>84.904953314998224</v>
      </c>
      <c r="P39" s="310">
        <f t="shared" ca="1" si="18"/>
        <v>5</v>
      </c>
      <c r="Q39" s="304">
        <f t="shared" ca="1" si="19"/>
        <v>1039.1666666666667</v>
      </c>
      <c r="R39" s="306">
        <f t="shared" ca="1" si="20"/>
        <v>0.52055210776453487</v>
      </c>
      <c r="S39" s="307">
        <f t="shared" ca="1" si="21"/>
        <v>8.1616011294110251</v>
      </c>
      <c r="T39" s="304">
        <f t="shared" ca="1" si="1"/>
        <v>80.065307079522157</v>
      </c>
      <c r="U39" s="311">
        <f t="shared" ca="1" si="2"/>
        <v>0</v>
      </c>
      <c r="V39" s="306">
        <f t="shared" ca="1" si="3"/>
        <v>1.2242044091752333</v>
      </c>
      <c r="W39" s="304">
        <f t="shared" ca="1" si="4"/>
        <v>5.3163605781346996</v>
      </c>
      <c r="Y39" s="314" t="str">
        <f t="shared" ca="1" si="22"/>
        <v/>
      </c>
      <c r="Z39" s="315" t="str">
        <f t="shared" ca="1" si="23"/>
        <v/>
      </c>
      <c r="AA39" s="316" t="str">
        <f t="shared" ca="1" si="24"/>
        <v/>
      </c>
      <c r="AC39" s="310" t="e">
        <f t="shared" ca="1" si="25"/>
        <v>#N/A</v>
      </c>
      <c r="AD39" s="323" t="e">
        <f t="shared" ca="1" si="26"/>
        <v>#N/A</v>
      </c>
      <c r="AE39" s="324">
        <f t="shared" ca="1" si="5"/>
        <v>6.4967286665539499</v>
      </c>
      <c r="AG39" s="306">
        <f t="shared" ca="1" si="27"/>
        <v>116.93862878623469</v>
      </c>
      <c r="AH39" s="304">
        <f t="shared" ca="1" si="28"/>
        <v>126.71005638000746</v>
      </c>
    </row>
    <row r="40" spans="1:34" x14ac:dyDescent="0.2">
      <c r="A40" s="347">
        <f t="shared" ca="1" si="6"/>
        <v>0.01</v>
      </c>
      <c r="B40" s="304">
        <f t="shared" ca="1" si="7"/>
        <v>0.36000000000000015</v>
      </c>
      <c r="D40" s="306">
        <f t="shared" ca="1" si="8"/>
        <v>11.253101779409974</v>
      </c>
      <c r="E40" s="307">
        <f t="shared" ca="1" si="9"/>
        <v>116.40176364452263</v>
      </c>
      <c r="F40" s="304">
        <f t="shared" ca="1" si="10"/>
        <v>116.94444355852514</v>
      </c>
      <c r="G40" s="306">
        <f t="shared" ca="1" si="11"/>
        <v>3.6586417102513713</v>
      </c>
      <c r="H40" s="307">
        <f t="shared" ca="1" si="12"/>
        <v>40.936241628290972</v>
      </c>
      <c r="I40" s="304">
        <f t="shared" ca="1" si="13"/>
        <v>41.099410431462566</v>
      </c>
      <c r="J40" s="306">
        <f t="shared" ca="1" si="14"/>
        <v>0.60663139694023893</v>
      </c>
      <c r="K40" s="307">
        <f t="shared" ca="1" si="15"/>
        <v>6.9002709946546332</v>
      </c>
      <c r="L40" s="304">
        <f t="shared" ca="1" si="0"/>
        <v>6.9268854077013362</v>
      </c>
      <c r="M40" s="306">
        <f t="shared" ca="1" si="16"/>
        <v>1.4816590107302405</v>
      </c>
      <c r="N40" s="304">
        <f t="shared" ca="1" si="17"/>
        <v>84.89280799237153</v>
      </c>
      <c r="P40" s="310">
        <f t="shared" ca="1" si="18"/>
        <v>5</v>
      </c>
      <c r="Q40" s="304">
        <f t="shared" ca="1" si="19"/>
        <v>1038.8333333333333</v>
      </c>
      <c r="R40" s="306">
        <f t="shared" ca="1" si="20"/>
        <v>0.52038513034424139</v>
      </c>
      <c r="S40" s="307">
        <f t="shared" ca="1" si="21"/>
        <v>8.1563972781075833</v>
      </c>
      <c r="T40" s="304">
        <f t="shared" ca="1" si="1"/>
        <v>80.014257298235393</v>
      </c>
      <c r="U40" s="311">
        <f t="shared" ca="1" si="2"/>
        <v>0</v>
      </c>
      <c r="V40" s="306">
        <f t="shared" ca="1" si="3"/>
        <v>1.2241550083367281</v>
      </c>
      <c r="W40" s="304">
        <f t="shared" ca="1" si="4"/>
        <v>5.6320891523320089</v>
      </c>
      <c r="Y40" s="314" t="str">
        <f t="shared" ca="1" si="22"/>
        <v/>
      </c>
      <c r="Z40" s="315" t="str">
        <f t="shared" ca="1" si="23"/>
        <v/>
      </c>
      <c r="AA40" s="316" t="str">
        <f t="shared" ca="1" si="24"/>
        <v/>
      </c>
      <c r="AC40" s="310" t="e">
        <f t="shared" ca="1" si="25"/>
        <v>#N/A</v>
      </c>
      <c r="AD40" s="323" t="e">
        <f t="shared" ca="1" si="26"/>
        <v>#N/A</v>
      </c>
      <c r="AE40" s="324">
        <f t="shared" ca="1" si="5"/>
        <v>6.9002709946546332</v>
      </c>
      <c r="AG40" s="306">
        <f t="shared" ca="1" si="27"/>
        <v>116.94119836603163</v>
      </c>
      <c r="AH40" s="304">
        <f t="shared" ca="1" si="28"/>
        <v>126.71243657162704</v>
      </c>
    </row>
    <row r="41" spans="1:34" x14ac:dyDescent="0.2">
      <c r="A41" s="347">
        <f t="shared" ca="1" si="6"/>
        <v>0.01</v>
      </c>
      <c r="B41" s="304">
        <f t="shared" ca="1" si="7"/>
        <v>0.37000000000000016</v>
      </c>
      <c r="D41" s="306">
        <f t="shared" ca="1" si="8"/>
        <v>11.279965886427602</v>
      </c>
      <c r="E41" s="307">
        <f t="shared" ca="1" si="9"/>
        <v>116.40061193061017</v>
      </c>
      <c r="F41" s="304">
        <f t="shared" ca="1" si="10"/>
        <v>116.94588529836986</v>
      </c>
      <c r="G41" s="306">
        <f t="shared" ca="1" si="11"/>
        <v>3.7714413691156472</v>
      </c>
      <c r="H41" s="307">
        <f t="shared" ca="1" si="12"/>
        <v>42.100247747597074</v>
      </c>
      <c r="I41" s="304">
        <f t="shared" ca="1" si="13"/>
        <v>42.268837580535966</v>
      </c>
      <c r="J41" s="306">
        <f t="shared" ca="1" si="14"/>
        <v>0.64378181233707399</v>
      </c>
      <c r="K41" s="307">
        <f t="shared" ca="1" si="15"/>
        <v>7.3154534415340731</v>
      </c>
      <c r="L41" s="304">
        <f t="shared" ca="1" si="0"/>
        <v>7.3437261711714665</v>
      </c>
      <c r="M41" s="306">
        <f t="shared" ca="1" si="16"/>
        <v>1.4814524094563206</v>
      </c>
      <c r="N41" s="304">
        <f t="shared" ca="1" si="17"/>
        <v>84.880970611333893</v>
      </c>
      <c r="P41" s="310">
        <f t="shared" ca="1" si="18"/>
        <v>5</v>
      </c>
      <c r="Q41" s="304">
        <f t="shared" ca="1" si="19"/>
        <v>1038.5</v>
      </c>
      <c r="R41" s="306">
        <f t="shared" ca="1" si="20"/>
        <v>0.52021815292394813</v>
      </c>
      <c r="S41" s="307">
        <f t="shared" ca="1" si="21"/>
        <v>8.1511950965783431</v>
      </c>
      <c r="T41" s="304">
        <f t="shared" ca="1" si="1"/>
        <v>79.963223897433551</v>
      </c>
      <c r="U41" s="311">
        <f t="shared" ca="1" si="2"/>
        <v>0</v>
      </c>
      <c r="V41" s="306">
        <f t="shared" ca="1" si="3"/>
        <v>1.2241041846181981</v>
      </c>
      <c r="W41" s="304">
        <f t="shared" ca="1" si="4"/>
        <v>5.9569083032309953</v>
      </c>
      <c r="Y41" s="314" t="str">
        <f t="shared" ca="1" si="22"/>
        <v/>
      </c>
      <c r="Z41" s="315" t="str">
        <f t="shared" ca="1" si="23"/>
        <v/>
      </c>
      <c r="AA41" s="316" t="str">
        <f t="shared" ca="1" si="24"/>
        <v/>
      </c>
      <c r="AC41" s="310" t="e">
        <f t="shared" ca="1" si="25"/>
        <v>#N/A</v>
      </c>
      <c r="AD41" s="323" t="e">
        <f t="shared" ca="1" si="26"/>
        <v>#N/A</v>
      </c>
      <c r="AE41" s="324">
        <f t="shared" ca="1" si="5"/>
        <v>7.3154534415340731</v>
      </c>
      <c r="AG41" s="306">
        <f t="shared" ca="1" si="27"/>
        <v>116.94262469700462</v>
      </c>
      <c r="AH41" s="304">
        <f t="shared" ca="1" si="28"/>
        <v>126.7136780079327</v>
      </c>
    </row>
    <row r="42" spans="1:34" x14ac:dyDescent="0.2">
      <c r="A42" s="347">
        <f t="shared" ca="1" si="6"/>
        <v>0.01</v>
      </c>
      <c r="B42" s="304">
        <f t="shared" ca="1" si="7"/>
        <v>0.38000000000000017</v>
      </c>
      <c r="D42" s="306">
        <f t="shared" ca="1" si="8"/>
        <v>11.306049938577821</v>
      </c>
      <c r="E42" s="307">
        <f t="shared" ca="1" si="9"/>
        <v>116.39837946963603</v>
      </c>
      <c r="F42" s="304">
        <f t="shared" ca="1" si="10"/>
        <v>116.94618210258513</v>
      </c>
      <c r="G42" s="306">
        <f t="shared" ca="1" si="11"/>
        <v>3.8845018685014256</v>
      </c>
      <c r="H42" s="307">
        <f t="shared" ca="1" si="12"/>
        <v>43.26423154229343</v>
      </c>
      <c r="I42" s="304">
        <f t="shared" ca="1" si="13"/>
        <v>43.438267526589605</v>
      </c>
      <c r="J42" s="306">
        <f t="shared" ca="1" si="14"/>
        <v>0.68206152852515933</v>
      </c>
      <c r="K42" s="307">
        <f t="shared" ca="1" si="15"/>
        <v>7.7422758379835255</v>
      </c>
      <c r="L42" s="304">
        <f t="shared" ca="1" si="0"/>
        <v>7.7722611304637459</v>
      </c>
      <c r="M42" s="306">
        <f t="shared" ca="1" si="16"/>
        <v>1.4812509055032197</v>
      </c>
      <c r="N42" s="304">
        <f t="shared" ca="1" si="17"/>
        <v>84.869425285266018</v>
      </c>
      <c r="P42" s="310">
        <f t="shared" ca="1" si="18"/>
        <v>5</v>
      </c>
      <c r="Q42" s="304">
        <f t="shared" ca="1" si="19"/>
        <v>1038.1666666666667</v>
      </c>
      <c r="R42" s="306">
        <f t="shared" ca="1" si="20"/>
        <v>0.52005117550365476</v>
      </c>
      <c r="S42" s="307">
        <f t="shared" ca="1" si="21"/>
        <v>8.1459945848233062</v>
      </c>
      <c r="T42" s="304">
        <f t="shared" ca="1" si="1"/>
        <v>79.912206877116631</v>
      </c>
      <c r="U42" s="311">
        <f t="shared" ca="1" si="2"/>
        <v>0</v>
      </c>
      <c r="V42" s="306">
        <f t="shared" ca="1" si="3"/>
        <v>1.2240519382176387</v>
      </c>
      <c r="W42" s="304">
        <f t="shared" ca="1" si="4"/>
        <v>6.2908127801777374</v>
      </c>
      <c r="Y42" s="314" t="str">
        <f t="shared" ca="1" si="22"/>
        <v/>
      </c>
      <c r="Z42" s="315" t="str">
        <f t="shared" ca="1" si="23"/>
        <v/>
      </c>
      <c r="AA42" s="316" t="str">
        <f t="shared" ca="1" si="24"/>
        <v/>
      </c>
      <c r="AC42" s="310" t="e">
        <f t="shared" ca="1" si="25"/>
        <v>#N/A</v>
      </c>
      <c r="AD42" s="323" t="e">
        <f t="shared" ca="1" si="26"/>
        <v>#N/A</v>
      </c>
      <c r="AE42" s="324">
        <f t="shared" ca="1" si="5"/>
        <v>7.7422758379835255</v>
      </c>
      <c r="AG42" s="306">
        <f t="shared" ca="1" si="27"/>
        <v>116.9429064173346</v>
      </c>
      <c r="AH42" s="304">
        <f t="shared" ca="1" si="28"/>
        <v>126.71377909905954</v>
      </c>
    </row>
    <row r="43" spans="1:34" x14ac:dyDescent="0.2">
      <c r="A43" s="347">
        <f t="shared" ca="1" si="6"/>
        <v>0.01</v>
      </c>
      <c r="B43" s="304">
        <f t="shared" ca="1" si="7"/>
        <v>0.39000000000000018</v>
      </c>
      <c r="D43" s="306">
        <f t="shared" ca="1" si="8"/>
        <v>11.331388122361256</v>
      </c>
      <c r="E43" s="307">
        <f t="shared" ca="1" si="9"/>
        <v>116.39506206901595</v>
      </c>
      <c r="F43" s="304">
        <f t="shared" ca="1" si="10"/>
        <v>116.94533265945104</v>
      </c>
      <c r="G43" s="306">
        <f t="shared" ca="1" si="11"/>
        <v>3.9978157497250382</v>
      </c>
      <c r="H43" s="307">
        <f t="shared" ca="1" si="12"/>
        <v>44.428182162983589</v>
      </c>
      <c r="I43" s="304">
        <f t="shared" ca="1" si="13"/>
        <v>44.607688811190414</v>
      </c>
      <c r="J43" s="306">
        <f t="shared" ca="1" si="14"/>
        <v>0.72147311661629165</v>
      </c>
      <c r="K43" s="307">
        <f t="shared" ca="1" si="15"/>
        <v>8.1807379065099113</v>
      </c>
      <c r="L43" s="304">
        <f t="shared" ca="1" si="0"/>
        <v>8.2124902528409844</v>
      </c>
      <c r="M43" s="306">
        <f t="shared" ca="1" si="16"/>
        <v>1.4810542427446138</v>
      </c>
      <c r="N43" s="304">
        <f t="shared" ca="1" si="17"/>
        <v>84.858157339210493</v>
      </c>
      <c r="P43" s="310">
        <f t="shared" ca="1" si="18"/>
        <v>5</v>
      </c>
      <c r="Q43" s="304">
        <f t="shared" ca="1" si="19"/>
        <v>1037.8333333333333</v>
      </c>
      <c r="R43" s="306">
        <f t="shared" ca="1" si="20"/>
        <v>0.51988419808336139</v>
      </c>
      <c r="S43" s="307">
        <f t="shared" ca="1" si="21"/>
        <v>8.1407957428424726</v>
      </c>
      <c r="T43" s="304">
        <f t="shared" ca="1" si="1"/>
        <v>79.861206237284662</v>
      </c>
      <c r="U43" s="311">
        <f t="shared" ca="1" si="2"/>
        <v>0</v>
      </c>
      <c r="V43" s="306">
        <f t="shared" ca="1" si="3"/>
        <v>1.2239982693512472</v>
      </c>
      <c r="W43" s="304">
        <f t="shared" ca="1" si="4"/>
        <v>6.6337969087941735</v>
      </c>
      <c r="Y43" s="314" t="str">
        <f t="shared" ca="1" si="22"/>
        <v/>
      </c>
      <c r="Z43" s="315" t="str">
        <f t="shared" ca="1" si="23"/>
        <v/>
      </c>
      <c r="AA43" s="316" t="str">
        <f t="shared" ca="1" si="24"/>
        <v/>
      </c>
      <c r="AC43" s="310" t="e">
        <f t="shared" ca="1" si="25"/>
        <v>#N/A</v>
      </c>
      <c r="AD43" s="323" t="e">
        <f t="shared" ca="1" si="26"/>
        <v>#N/A</v>
      </c>
      <c r="AE43" s="324">
        <f t="shared" ca="1" si="5"/>
        <v>8.1807379065099113</v>
      </c>
      <c r="AG43" s="306">
        <f t="shared" ca="1" si="27"/>
        <v>116.94204219719641</v>
      </c>
      <c r="AH43" s="304">
        <f t="shared" ca="1" si="28"/>
        <v>126.71273830449627</v>
      </c>
    </row>
    <row r="44" spans="1:34" x14ac:dyDescent="0.2">
      <c r="A44" s="347">
        <f t="shared" ca="1" si="6"/>
        <v>0.01</v>
      </c>
      <c r="B44" s="304">
        <f t="shared" ca="1" si="7"/>
        <v>0.40000000000000019</v>
      </c>
      <c r="D44" s="306">
        <f t="shared" ca="1" si="8"/>
        <v>11.356011989649268</v>
      </c>
      <c r="E44" s="307">
        <f t="shared" ca="1" si="9"/>
        <v>116.39065578456542</v>
      </c>
      <c r="F44" s="304">
        <f t="shared" ca="1" si="10"/>
        <v>116.94333568985557</v>
      </c>
      <c r="G44" s="306">
        <f t="shared" ca="1" si="11"/>
        <v>4.111375869621531</v>
      </c>
      <c r="H44" s="307">
        <f t="shared" ca="1" si="12"/>
        <v>45.592088720829246</v>
      </c>
      <c r="I44" s="304">
        <f t="shared" ca="1" si="13"/>
        <v>45.777089962876317</v>
      </c>
      <c r="J44" s="306">
        <f t="shared" ca="1" si="14"/>
        <v>0.76201907471302455</v>
      </c>
      <c r="K44" s="307">
        <f t="shared" ca="1" si="15"/>
        <v>8.6308392609289761</v>
      </c>
      <c r="L44" s="304">
        <f t="shared" ca="1" si="0"/>
        <v>8.6644133914662405</v>
      </c>
      <c r="M44" s="306">
        <f t="shared" ca="1" si="16"/>
        <v>1.4808621840905576</v>
      </c>
      <c r="N44" s="304">
        <f t="shared" ca="1" si="17"/>
        <v>84.847153188914106</v>
      </c>
      <c r="P44" s="310">
        <f t="shared" ca="1" si="18"/>
        <v>5</v>
      </c>
      <c r="Q44" s="304">
        <f t="shared" ca="1" si="19"/>
        <v>1037.5</v>
      </c>
      <c r="R44" s="306">
        <f t="shared" ca="1" si="20"/>
        <v>0.51971722066306802</v>
      </c>
      <c r="S44" s="307">
        <f t="shared" ca="1" si="21"/>
        <v>8.1355985706358425</v>
      </c>
      <c r="T44" s="304">
        <f t="shared" ca="1" si="1"/>
        <v>79.810221977937616</v>
      </c>
      <c r="U44" s="311">
        <f t="shared" ca="1" si="2"/>
        <v>0</v>
      </c>
      <c r="V44" s="306">
        <f t="shared" ca="1" si="3"/>
        <v>1.2239431782534673</v>
      </c>
      <c r="W44" s="304">
        <f t="shared" ca="1" si="4"/>
        <v>6.9858545907218597</v>
      </c>
      <c r="Y44" s="314" t="str">
        <f t="shared" ca="1" si="22"/>
        <v/>
      </c>
      <c r="Z44" s="315" t="str">
        <f t="shared" ca="1" si="23"/>
        <v/>
      </c>
      <c r="AA44" s="316" t="str">
        <f t="shared" ca="1" si="24"/>
        <v/>
      </c>
      <c r="AC44" s="310" t="e">
        <f t="shared" ca="1" si="25"/>
        <v>#N/A</v>
      </c>
      <c r="AD44" s="323" t="e">
        <f t="shared" ca="1" si="26"/>
        <v>#N/A</v>
      </c>
      <c r="AE44" s="324">
        <f t="shared" ca="1" si="5"/>
        <v>8.6308392609289761</v>
      </c>
      <c r="AG44" s="306">
        <f t="shared" ca="1" si="27"/>
        <v>116.94003074069758</v>
      </c>
      <c r="AH44" s="304">
        <f t="shared" ca="1" si="28"/>
        <v>126.71055413328214</v>
      </c>
    </row>
    <row r="45" spans="1:34" x14ac:dyDescent="0.2">
      <c r="A45" s="347">
        <f t="shared" ca="1" si="6"/>
        <v>0.01</v>
      </c>
      <c r="B45" s="304">
        <f t="shared" ca="1" si="7"/>
        <v>0.4100000000000002</v>
      </c>
      <c r="D45" s="306">
        <f t="shared" ca="1" si="8"/>
        <v>11.3799507217919</v>
      </c>
      <c r="E45" s="307">
        <f t="shared" ca="1" si="9"/>
        <v>116.38515690117664</v>
      </c>
      <c r="F45" s="304">
        <f t="shared" ca="1" si="10"/>
        <v>116.94018994914416</v>
      </c>
      <c r="G45" s="306">
        <f t="shared" ca="1" si="11"/>
        <v>4.2251753768394504</v>
      </c>
      <c r="H45" s="307">
        <f t="shared" ca="1" si="12"/>
        <v>46.755940289841014</v>
      </c>
      <c r="I45" s="304">
        <f t="shared" ca="1" si="13"/>
        <v>46.946459497519392</v>
      </c>
      <c r="J45" s="306">
        <f t="shared" ca="1" si="14"/>
        <v>0.80370183094532943</v>
      </c>
      <c r="K45" s="307">
        <f t="shared" ca="1" si="15"/>
        <v>9.0925794059823275</v>
      </c>
      <c r="L45" s="304">
        <f t="shared" ca="1" si="0"/>
        <v>9.1280302851797561</v>
      </c>
      <c r="M45" s="306">
        <f t="shared" ca="1" si="16"/>
        <v>1.4806745096343727</v>
      </c>
      <c r="N45" s="304">
        <f t="shared" ca="1" si="17"/>
        <v>84.836400234652302</v>
      </c>
      <c r="P45" s="310">
        <f t="shared" ca="1" si="18"/>
        <v>5</v>
      </c>
      <c r="Q45" s="304">
        <f t="shared" ca="1" si="19"/>
        <v>1037.1666666666667</v>
      </c>
      <c r="R45" s="306">
        <f t="shared" ca="1" si="20"/>
        <v>0.51955024324277477</v>
      </c>
      <c r="S45" s="307">
        <f t="shared" ca="1" si="21"/>
        <v>8.1304030682034139</v>
      </c>
      <c r="T45" s="304">
        <f t="shared" ca="1" si="1"/>
        <v>79.759254099075491</v>
      </c>
      <c r="U45" s="311">
        <f t="shared" ca="1" si="2"/>
        <v>0</v>
      </c>
      <c r="V45" s="306">
        <f t="shared" ca="1" si="3"/>
        <v>1.2238866651770313</v>
      </c>
      <c r="W45" s="304">
        <f t="shared" ca="1" si="4"/>
        <v>7.3469793034042912</v>
      </c>
      <c r="Y45" s="314" t="str">
        <f t="shared" ca="1" si="22"/>
        <v/>
      </c>
      <c r="Z45" s="315" t="str">
        <f t="shared" ca="1" si="23"/>
        <v/>
      </c>
      <c r="AA45" s="316" t="str">
        <f t="shared" ca="1" si="24"/>
        <v/>
      </c>
      <c r="AC45" s="310" t="e">
        <f t="shared" ca="1" si="25"/>
        <v>#N/A</v>
      </c>
      <c r="AD45" s="323" t="e">
        <f t="shared" ca="1" si="26"/>
        <v>#N/A</v>
      </c>
      <c r="AE45" s="324">
        <f t="shared" ca="1" si="5"/>
        <v>9.0925794059823275</v>
      </c>
      <c r="AG45" s="306">
        <f t="shared" ca="1" si="27"/>
        <v>116.93687078759841</v>
      </c>
      <c r="AH45" s="304">
        <f t="shared" ca="1" si="28"/>
        <v>126.70722514420007</v>
      </c>
    </row>
    <row r="46" spans="1:34" x14ac:dyDescent="0.2">
      <c r="A46" s="347">
        <f t="shared" ca="1" si="6"/>
        <v>0.01</v>
      </c>
      <c r="B46" s="304">
        <f t="shared" ca="1" si="7"/>
        <v>0.42000000000000021</v>
      </c>
      <c r="D46" s="306">
        <f t="shared" ca="1" si="8"/>
        <v>11.403231361415555</v>
      </c>
      <c r="E46" s="307">
        <f t="shared" ca="1" si="9"/>
        <v>116.37856191584007</v>
      </c>
      <c r="F46" s="304">
        <f t="shared" ca="1" si="10"/>
        <v>116.93589422876532</v>
      </c>
      <c r="G46" s="306">
        <f t="shared" ca="1" si="11"/>
        <v>4.3392076904536063</v>
      </c>
      <c r="H46" s="307">
        <f t="shared" ca="1" si="12"/>
        <v>47.919725908999418</v>
      </c>
      <c r="I46" s="304">
        <f t="shared" ca="1" si="13"/>
        <v>48.115785918703665</v>
      </c>
      <c r="J46" s="306">
        <f t="shared" ca="1" si="14"/>
        <v>0.84652374628179472</v>
      </c>
      <c r="K46" s="307">
        <f t="shared" ca="1" si="15"/>
        <v>9.5659577369765305</v>
      </c>
      <c r="L46" s="304">
        <f t="shared" ca="1" si="0"/>
        <v>9.6033405582974147</v>
      </c>
      <c r="M46" s="306">
        <f t="shared" ca="1" si="16"/>
        <v>1.4804910150205077</v>
      </c>
      <c r="N46" s="304">
        <f t="shared" ca="1" si="17"/>
        <v>84.825886767714465</v>
      </c>
      <c r="P46" s="310">
        <f t="shared" ca="1" si="18"/>
        <v>5</v>
      </c>
      <c r="Q46" s="304">
        <f t="shared" ca="1" si="19"/>
        <v>1036.8333333333333</v>
      </c>
      <c r="R46" s="306">
        <f t="shared" ca="1" si="20"/>
        <v>0.51938326582248129</v>
      </c>
      <c r="S46" s="307">
        <f t="shared" ca="1" si="21"/>
        <v>8.1252092355451886</v>
      </c>
      <c r="T46" s="304">
        <f t="shared" ca="1" si="1"/>
        <v>79.708302600698303</v>
      </c>
      <c r="U46" s="311">
        <f t="shared" ca="1" si="2"/>
        <v>0</v>
      </c>
      <c r="V46" s="306">
        <f t="shared" ca="1" si="3"/>
        <v>1.2238287303929984</v>
      </c>
      <c r="W46" s="304">
        <f t="shared" ca="1" si="4"/>
        <v>7.7171640999082278</v>
      </c>
      <c r="Y46" s="314" t="str">
        <f t="shared" ca="1" si="22"/>
        <v/>
      </c>
      <c r="Z46" s="315" t="str">
        <f t="shared" ca="1" si="23"/>
        <v/>
      </c>
      <c r="AA46" s="316" t="str">
        <f t="shared" ca="1" si="24"/>
        <v/>
      </c>
      <c r="AC46" s="310" t="e">
        <f t="shared" ca="1" si="25"/>
        <v>#N/A</v>
      </c>
      <c r="AD46" s="323" t="e">
        <f t="shared" ca="1" si="26"/>
        <v>#N/A</v>
      </c>
      <c r="AE46" s="324">
        <f t="shared" ca="1" si="5"/>
        <v>9.5659577369765305</v>
      </c>
      <c r="AG46" s="306">
        <f t="shared" ca="1" si="27"/>
        <v>116.93256111484412</v>
      </c>
      <c r="AH46" s="304">
        <f t="shared" ca="1" si="28"/>
        <v>126.70274994596517</v>
      </c>
    </row>
    <row r="47" spans="1:34" x14ac:dyDescent="0.2">
      <c r="A47" s="347">
        <f t="shared" ca="1" si="6"/>
        <v>0.01</v>
      </c>
      <c r="B47" s="304">
        <f t="shared" ca="1" si="7"/>
        <v>0.43000000000000022</v>
      </c>
      <c r="D47" s="306">
        <f t="shared" ca="1" si="8"/>
        <v>11.425879016551086</v>
      </c>
      <c r="E47" s="307">
        <f t="shared" ca="1" si="9"/>
        <v>116.37086752267875</v>
      </c>
      <c r="F47" s="304">
        <f t="shared" ca="1" si="10"/>
        <v>116.93044735774217</v>
      </c>
      <c r="G47" s="306">
        <f t="shared" ca="1" si="11"/>
        <v>4.4534664806191175</v>
      </c>
      <c r="H47" s="307">
        <f t="shared" ca="1" si="12"/>
        <v>49.083434584226204</v>
      </c>
      <c r="I47" s="304">
        <f t="shared" ca="1" si="13"/>
        <v>49.285057718115851</v>
      </c>
      <c r="J47" s="306">
        <f t="shared" ca="1" si="14"/>
        <v>0.89048711713715833</v>
      </c>
      <c r="K47" s="307">
        <f t="shared" ca="1" si="15"/>
        <v>10.050973539442658</v>
      </c>
      <c r="L47" s="304">
        <f t="shared" ca="1" si="0"/>
        <v>10.090343720427155</v>
      </c>
      <c r="M47" s="306">
        <f t="shared" ca="1" si="16"/>
        <v>1.4803115100024138</v>
      </c>
      <c r="N47" s="304">
        <f t="shared" ca="1" si="17"/>
        <v>84.815601887776253</v>
      </c>
      <c r="P47" s="310">
        <f t="shared" ca="1" si="18"/>
        <v>5</v>
      </c>
      <c r="Q47" s="304">
        <f t="shared" ca="1" si="19"/>
        <v>1036.5</v>
      </c>
      <c r="R47" s="306">
        <f t="shared" ca="1" si="20"/>
        <v>0.51921628840218792</v>
      </c>
      <c r="S47" s="307">
        <f t="shared" ca="1" si="21"/>
        <v>8.1200170726611667</v>
      </c>
      <c r="T47" s="304">
        <f t="shared" ca="1" si="1"/>
        <v>79.657367482806052</v>
      </c>
      <c r="U47" s="311">
        <f t="shared" ca="1" si="2"/>
        <v>0</v>
      </c>
      <c r="V47" s="306">
        <f t="shared" ca="1" si="3"/>
        <v>1.2237693741907905</v>
      </c>
      <c r="W47" s="304">
        <f t="shared" ca="1" si="4"/>
        <v>8.0964016087842232</v>
      </c>
      <c r="Y47" s="314" t="str">
        <f t="shared" ca="1" si="22"/>
        <v/>
      </c>
      <c r="Z47" s="315" t="str">
        <f t="shared" ca="1" si="23"/>
        <v/>
      </c>
      <c r="AA47" s="316" t="str">
        <f t="shared" ca="1" si="24"/>
        <v/>
      </c>
      <c r="AC47" s="310" t="e">
        <f t="shared" ca="1" si="25"/>
        <v>#N/A</v>
      </c>
      <c r="AD47" s="323" t="e">
        <f t="shared" ca="1" si="26"/>
        <v>#N/A</v>
      </c>
      <c r="AE47" s="324">
        <f t="shared" ca="1" si="5"/>
        <v>10.050973539442658</v>
      </c>
      <c r="AG47" s="306">
        <f t="shared" ca="1" si="27"/>
        <v>116.92710053793579</v>
      </c>
      <c r="AH47" s="304">
        <f t="shared" ca="1" si="28"/>
        <v>126.69712719740991</v>
      </c>
    </row>
    <row r="48" spans="1:34" x14ac:dyDescent="0.2">
      <c r="A48" s="347">
        <f t="shared" ca="1" si="6"/>
        <v>0.01</v>
      </c>
      <c r="B48" s="304">
        <f t="shared" ca="1" si="7"/>
        <v>0.44000000000000022</v>
      </c>
      <c r="D48" s="306">
        <f t="shared" ca="1" si="8"/>
        <v>11.447917040970774</v>
      </c>
      <c r="E48" s="307">
        <f t="shared" ca="1" si="9"/>
        <v>116.3620705997146</v>
      </c>
      <c r="F48" s="304">
        <f t="shared" ca="1" si="10"/>
        <v>116.92384820399093</v>
      </c>
      <c r="G48" s="306">
        <f t="shared" ca="1" si="11"/>
        <v>4.5679456510288254</v>
      </c>
      <c r="H48" s="307">
        <f t="shared" ca="1" si="12"/>
        <v>50.247055290223351</v>
      </c>
      <c r="I48" s="304">
        <f t="shared" ca="1" si="13"/>
        <v>50.454263375947882</v>
      </c>
      <c r="J48" s="306">
        <f t="shared" ca="1" si="14"/>
        <v>0.935594177795398</v>
      </c>
      <c r="K48" s="307">
        <f t="shared" ca="1" si="15"/>
        <v>10.547625988814906</v>
      </c>
      <c r="L48" s="304">
        <f t="shared" ca="1" si="0"/>
        <v>10.589039166300607</v>
      </c>
      <c r="M48" s="306">
        <f t="shared" ca="1" si="16"/>
        <v>1.480135817164427</v>
      </c>
      <c r="N48" s="304">
        <f t="shared" ca="1" si="17"/>
        <v>84.805535429668936</v>
      </c>
      <c r="P48" s="310">
        <f t="shared" ca="1" si="18"/>
        <v>5</v>
      </c>
      <c r="Q48" s="304">
        <f t="shared" ca="1" si="19"/>
        <v>1036.1666666666667</v>
      </c>
      <c r="R48" s="306">
        <f t="shared" ca="1" si="20"/>
        <v>0.51904931098189466</v>
      </c>
      <c r="S48" s="307">
        <f t="shared" ca="1" si="21"/>
        <v>8.1148265795513481</v>
      </c>
      <c r="T48" s="304">
        <f t="shared" ca="1" si="1"/>
        <v>79.606448745398723</v>
      </c>
      <c r="U48" s="311">
        <f t="shared" ca="1" si="2"/>
        <v>0</v>
      </c>
      <c r="V48" s="306">
        <f t="shared" ca="1" si="3"/>
        <v>1.2237085968782266</v>
      </c>
      <c r="W48" s="304">
        <f t="shared" ca="1" si="4"/>
        <v>8.4846840339667988</v>
      </c>
      <c r="Y48" s="314" t="str">
        <f t="shared" ca="1" si="22"/>
        <v/>
      </c>
      <c r="Z48" s="315" t="str">
        <f t="shared" ca="1" si="23"/>
        <v/>
      </c>
      <c r="AA48" s="316" t="str">
        <f t="shared" ca="1" si="24"/>
        <v/>
      </c>
      <c r="AC48" s="310" t="e">
        <f t="shared" ca="1" si="25"/>
        <v>#N/A</v>
      </c>
      <c r="AD48" s="323" t="e">
        <f t="shared" ca="1" si="26"/>
        <v>#N/A</v>
      </c>
      <c r="AE48" s="324">
        <f t="shared" ca="1" si="5"/>
        <v>10.547625988814906</v>
      </c>
      <c r="AG48" s="306">
        <f t="shared" ca="1" si="27"/>
        <v>116.92048791216004</v>
      </c>
      <c r="AH48" s="304">
        <f t="shared" ca="1" si="28"/>
        <v>126.69035560766382</v>
      </c>
    </row>
    <row r="49" spans="1:34" x14ac:dyDescent="0.2">
      <c r="A49" s="347">
        <f t="shared" ca="1" si="6"/>
        <v>0.01</v>
      </c>
      <c r="B49" s="304">
        <f t="shared" ca="1" si="7"/>
        <v>0.45000000000000023</v>
      </c>
      <c r="D49" s="306">
        <f t="shared" ca="1" si="8"/>
        <v>11.469367193993516</v>
      </c>
      <c r="E49" s="307">
        <f t="shared" ca="1" si="9"/>
        <v>116.35216819713406</v>
      </c>
      <c r="F49" s="304">
        <f t="shared" ca="1" si="10"/>
        <v>116.91609567550924</v>
      </c>
      <c r="G49" s="306">
        <f t="shared" ca="1" si="11"/>
        <v>4.6826393229687602</v>
      </c>
      <c r="H49" s="307">
        <f t="shared" ca="1" si="12"/>
        <v>51.41057697219469</v>
      </c>
      <c r="I49" s="304">
        <f t="shared" ca="1" si="13"/>
        <v>51.62339136130992</v>
      </c>
      <c r="J49" s="306">
        <f t="shared" ca="1" si="14"/>
        <v>0.98184710266538588</v>
      </c>
      <c r="K49" s="307">
        <f t="shared" ca="1" si="15"/>
        <v>11.055914150126995</v>
      </c>
      <c r="L49" s="304">
        <f t="shared" ca="1" si="0"/>
        <v>11.099426175617852</v>
      </c>
      <c r="M49" s="306">
        <f t="shared" ca="1" si="16"/>
        <v>1.4799637707857221</v>
      </c>
      <c r="N49" s="304">
        <f t="shared" ca="1" si="17"/>
        <v>84.795677898288631</v>
      </c>
      <c r="P49" s="310">
        <f t="shared" ca="1" si="18"/>
        <v>5</v>
      </c>
      <c r="Q49" s="304">
        <f t="shared" ca="1" si="19"/>
        <v>1035.8333333333333</v>
      </c>
      <c r="R49" s="306">
        <f t="shared" ca="1" si="20"/>
        <v>0.51888233356160118</v>
      </c>
      <c r="S49" s="307">
        <f t="shared" ca="1" si="21"/>
        <v>8.1096377562157329</v>
      </c>
      <c r="T49" s="304">
        <f t="shared" ca="1" si="1"/>
        <v>79.555546388476344</v>
      </c>
      <c r="U49" s="311">
        <f t="shared" ca="1" si="2"/>
        <v>0</v>
      </c>
      <c r="V49" s="306">
        <f t="shared" ca="1" si="3"/>
        <v>1.2236463987815529</v>
      </c>
      <c r="W49" s="304">
        <f t="shared" ca="1" si="4"/>
        <v>8.8820031547143632</v>
      </c>
      <c r="Y49" s="314" t="str">
        <f t="shared" ca="1" si="22"/>
        <v/>
      </c>
      <c r="Z49" s="315" t="str">
        <f t="shared" ca="1" si="23"/>
        <v/>
      </c>
      <c r="AA49" s="316" t="str">
        <f t="shared" ca="1" si="24"/>
        <v/>
      </c>
      <c r="AC49" s="310" t="e">
        <f t="shared" ca="1" si="25"/>
        <v>#N/A</v>
      </c>
      <c r="AD49" s="323" t="e">
        <f t="shared" ca="1" si="26"/>
        <v>#N/A</v>
      </c>
      <c r="AE49" s="324">
        <f t="shared" ca="1" si="5"/>
        <v>11.055914150126995</v>
      </c>
      <c r="AG49" s="306">
        <f t="shared" ca="1" si="27"/>
        <v>116.91272213369815</v>
      </c>
      <c r="AH49" s="304">
        <f t="shared" ca="1" si="28"/>
        <v>126.68243393632994</v>
      </c>
    </row>
    <row r="50" spans="1:34" x14ac:dyDescent="0.2">
      <c r="A50" s="347">
        <f t="shared" ca="1" si="6"/>
        <v>0.01</v>
      </c>
      <c r="B50" s="304">
        <f t="shared" ca="1" si="7"/>
        <v>0.46000000000000024</v>
      </c>
      <c r="D50" s="306">
        <f t="shared" ca="1" si="8"/>
        <v>11.490249782505982</v>
      </c>
      <c r="E50" s="307">
        <f t="shared" ca="1" si="9"/>
        <v>116.3411575268526</v>
      </c>
      <c r="F50" s="304">
        <f t="shared" ca="1" si="10"/>
        <v>116.90718872144822</v>
      </c>
      <c r="G50" s="306">
        <f t="shared" ca="1" si="11"/>
        <v>4.7975418207938203</v>
      </c>
      <c r="H50" s="307">
        <f t="shared" ca="1" si="12"/>
        <v>52.573988547463216</v>
      </c>
      <c r="I50" s="304">
        <f t="shared" ca="1" si="13"/>
        <v>52.792430132653102</v>
      </c>
      <c r="J50" s="306">
        <f t="shared" ca="1" si="14"/>
        <v>1.0292480083841988</v>
      </c>
      <c r="K50" s="307">
        <f t="shared" ca="1" si="15"/>
        <v>11.575836977725285</v>
      </c>
      <c r="L50" s="304">
        <f t="shared" ca="1" si="0"/>
        <v>11.621503912903652</v>
      </c>
      <c r="M50" s="306">
        <f t="shared" ca="1" si="16"/>
        <v>1.4797952158277485</v>
      </c>
      <c r="N50" s="304">
        <f t="shared" ca="1" si="17"/>
        <v>84.786020410580747</v>
      </c>
      <c r="P50" s="310">
        <f t="shared" ca="1" si="18"/>
        <v>5</v>
      </c>
      <c r="Q50" s="304">
        <f t="shared" ca="1" si="19"/>
        <v>1035.5</v>
      </c>
      <c r="R50" s="306">
        <f t="shared" ca="1" si="20"/>
        <v>0.51871535614130793</v>
      </c>
      <c r="S50" s="307">
        <f t="shared" ca="1" si="21"/>
        <v>8.1044506026543193</v>
      </c>
      <c r="T50" s="304">
        <f t="shared" ca="1" si="1"/>
        <v>79.504660412038874</v>
      </c>
      <c r="U50" s="311">
        <f t="shared" ca="1" si="2"/>
        <v>0</v>
      </c>
      <c r="V50" s="306">
        <f t="shared" ca="1" si="3"/>
        <v>1.2235827802454708</v>
      </c>
      <c r="W50" s="304">
        <f t="shared" ca="1" si="4"/>
        <v>9.2883503255892972</v>
      </c>
      <c r="Y50" s="314" t="str">
        <f t="shared" ca="1" si="22"/>
        <v/>
      </c>
      <c r="Z50" s="315" t="str">
        <f t="shared" ca="1" si="23"/>
        <v/>
      </c>
      <c r="AA50" s="316" t="str">
        <f t="shared" ca="1" si="24"/>
        <v/>
      </c>
      <c r="AC50" s="310" t="e">
        <f t="shared" ca="1" si="25"/>
        <v>#N/A</v>
      </c>
      <c r="AD50" s="323" t="e">
        <f t="shared" ca="1" si="26"/>
        <v>#N/A</v>
      </c>
      <c r="AE50" s="324">
        <f t="shared" ca="1" si="5"/>
        <v>11.575836977725285</v>
      </c>
      <c r="AG50" s="306">
        <f t="shared" ca="1" si="27"/>
        <v>116.90380214062797</v>
      </c>
      <c r="AH50" s="304">
        <f t="shared" ca="1" si="28"/>
        <v>126.67336099365627</v>
      </c>
    </row>
    <row r="51" spans="1:34" x14ac:dyDescent="0.2">
      <c r="A51" s="347">
        <f t="shared" ca="1" si="6"/>
        <v>0.01</v>
      </c>
      <c r="B51" s="304">
        <f t="shared" ca="1" si="7"/>
        <v>0.47000000000000025</v>
      </c>
      <c r="D51" s="306">
        <f t="shared" ca="1" si="8"/>
        <v>11.510583787528576</v>
      </c>
      <c r="E51" s="307">
        <f t="shared" ca="1" si="9"/>
        <v>116.32903595321058</v>
      </c>
      <c r="F51" s="304">
        <f t="shared" ca="1" si="10"/>
        <v>116.89712633308432</v>
      </c>
      <c r="G51" s="306">
        <f t="shared" ca="1" si="11"/>
        <v>4.9126476586691057</v>
      </c>
      <c r="H51" s="307">
        <f t="shared" ca="1" si="12"/>
        <v>53.737278906995321</v>
      </c>
      <c r="I51" s="304">
        <f t="shared" ca="1" si="13"/>
        <v>53.96136813820079</v>
      </c>
      <c r="J51" s="306">
        <f t="shared" ca="1" si="14"/>
        <v>1.0777989557815135</v>
      </c>
      <c r="K51" s="307">
        <f t="shared" ca="1" si="15"/>
        <v>12.107393314997577</v>
      </c>
      <c r="L51" s="304">
        <f t="shared" ca="1" si="0"/>
        <v>12.155271427373876</v>
      </c>
      <c r="M51" s="306">
        <f t="shared" ca="1" si="16"/>
        <v>1.4796300070293493</v>
      </c>
      <c r="N51" s="304">
        <f t="shared" ca="1" si="17"/>
        <v>84.776554643694041</v>
      </c>
      <c r="P51" s="310">
        <f t="shared" ca="1" si="18"/>
        <v>5</v>
      </c>
      <c r="Q51" s="304">
        <f t="shared" ca="1" si="19"/>
        <v>1035.1666666666667</v>
      </c>
      <c r="R51" s="306">
        <f t="shared" ca="1" si="20"/>
        <v>0.51854837872101456</v>
      </c>
      <c r="S51" s="307">
        <f t="shared" ca="1" si="21"/>
        <v>8.099265118867109</v>
      </c>
      <c r="T51" s="304">
        <f t="shared" ca="1" si="1"/>
        <v>79.45379081608634</v>
      </c>
      <c r="U51" s="311">
        <f t="shared" ca="1" si="2"/>
        <v>0</v>
      </c>
      <c r="V51" s="306">
        <f t="shared" ca="1" si="3"/>
        <v>1.2235177416331651</v>
      </c>
      <c r="W51" s="304">
        <f t="shared" ca="1" si="4"/>
        <v>9.7037164764782684</v>
      </c>
      <c r="Y51" s="314" t="str">
        <f t="shared" ca="1" si="22"/>
        <v/>
      </c>
      <c r="Z51" s="315" t="str">
        <f t="shared" ca="1" si="23"/>
        <v/>
      </c>
      <c r="AA51" s="316" t="str">
        <f t="shared" ca="1" si="24"/>
        <v/>
      </c>
      <c r="AC51" s="310" t="e">
        <f t="shared" ca="1" si="25"/>
        <v>#N/A</v>
      </c>
      <c r="AD51" s="323" t="e">
        <f t="shared" ca="1" si="26"/>
        <v>#N/A</v>
      </c>
      <c r="AE51" s="324">
        <f t="shared" ca="1" si="5"/>
        <v>12.107393314997577</v>
      </c>
      <c r="AG51" s="306">
        <f t="shared" ca="1" si="27"/>
        <v>116.89372691383281</v>
      </c>
      <c r="AH51" s="304">
        <f t="shared" ca="1" si="28"/>
        <v>126.66313564070278</v>
      </c>
    </row>
    <row r="52" spans="1:34" x14ac:dyDescent="0.2">
      <c r="A52" s="347">
        <f t="shared" ca="1" si="6"/>
        <v>0.01</v>
      </c>
      <c r="B52" s="304">
        <f t="shared" ca="1" si="7"/>
        <v>0.48000000000000026</v>
      </c>
      <c r="D52" s="306">
        <f t="shared" ca="1" si="8"/>
        <v>11.530386977305294</v>
      </c>
      <c r="E52" s="307">
        <f t="shared" ca="1" si="9"/>
        <v>116.31580098465707</v>
      </c>
      <c r="F52" s="304">
        <f t="shared" ca="1" si="10"/>
        <v>116.88590754470259</v>
      </c>
      <c r="G52" s="306">
        <f t="shared" ca="1" si="11"/>
        <v>5.0279515284421583</v>
      </c>
      <c r="H52" s="307">
        <f t="shared" ca="1" si="12"/>
        <v>54.90043691684189</v>
      </c>
      <c r="I52" s="304">
        <f t="shared" ca="1" si="13"/>
        <v>55.130193816387944</v>
      </c>
      <c r="J52" s="306">
        <f t="shared" ca="1" si="14"/>
        <v>1.1275019517170699</v>
      </c>
      <c r="K52" s="307">
        <f t="shared" ca="1" si="15"/>
        <v>12.650581894116762</v>
      </c>
      <c r="L52" s="304">
        <f t="shared" ca="1" si="0"/>
        <v>12.700727652811103</v>
      </c>
      <c r="M52" s="306">
        <f t="shared" ca="1" si="16"/>
        <v>1.479468008096072</v>
      </c>
      <c r="N52" s="304">
        <f t="shared" ca="1" si="17"/>
        <v>84.767272788531642</v>
      </c>
      <c r="P52" s="310">
        <f t="shared" ca="1" si="18"/>
        <v>5</v>
      </c>
      <c r="Q52" s="304">
        <f t="shared" ca="1" si="19"/>
        <v>1034.8333333333333</v>
      </c>
      <c r="R52" s="306">
        <f t="shared" ca="1" si="20"/>
        <v>0.51838140130072119</v>
      </c>
      <c r="S52" s="307">
        <f t="shared" ca="1" si="21"/>
        <v>8.094081304854102</v>
      </c>
      <c r="T52" s="304">
        <f t="shared" ca="1" si="1"/>
        <v>79.402937600618742</v>
      </c>
      <c r="U52" s="311">
        <f t="shared" ca="1" si="2"/>
        <v>0</v>
      </c>
      <c r="V52" s="306">
        <f t="shared" ca="1" si="3"/>
        <v>1.2234512833263265</v>
      </c>
      <c r="W52" s="304">
        <f t="shared" ca="1" si="4"/>
        <v>10.128092112653096</v>
      </c>
      <c r="Y52" s="314" t="str">
        <f t="shared" ca="1" si="22"/>
        <v/>
      </c>
      <c r="Z52" s="315" t="str">
        <f t="shared" ca="1" si="23"/>
        <v/>
      </c>
      <c r="AA52" s="316" t="str">
        <f t="shared" ca="1" si="24"/>
        <v/>
      </c>
      <c r="AC52" s="310" t="e">
        <f t="shared" ca="1" si="25"/>
        <v>#N/A</v>
      </c>
      <c r="AD52" s="323" t="e">
        <f t="shared" ca="1" si="26"/>
        <v>#N/A</v>
      </c>
      <c r="AE52" s="324">
        <f t="shared" ca="1" si="5"/>
        <v>12.650581894116762</v>
      </c>
      <c r="AG52" s="306">
        <f t="shared" ca="1" si="27"/>
        <v>116.88249547782837</v>
      </c>
      <c r="AH52" s="304">
        <f t="shared" ca="1" si="28"/>
        <v>126.65175678950425</v>
      </c>
    </row>
    <row r="53" spans="1:34" x14ac:dyDescent="0.2">
      <c r="A53" s="347">
        <f t="shared" ca="1" si="6"/>
        <v>0.01</v>
      </c>
      <c r="B53" s="304">
        <f t="shared" ca="1" si="7"/>
        <v>0.49000000000000027</v>
      </c>
      <c r="D53" s="306">
        <f t="shared" ca="1" si="8"/>
        <v>11.549676008606989</v>
      </c>
      <c r="E53" s="307">
        <f t="shared" ca="1" si="9"/>
        <v>116.30145026629812</v>
      </c>
      <c r="F53" s="304">
        <f t="shared" ca="1" si="10"/>
        <v>116.87353143440137</v>
      </c>
      <c r="G53" s="306">
        <f t="shared" ca="1" si="11"/>
        <v>5.1434482885282282</v>
      </c>
      <c r="H53" s="307">
        <f t="shared" ca="1" si="12"/>
        <v>56.063451419504872</v>
      </c>
      <c r="I53" s="304">
        <f t="shared" ca="1" si="13"/>
        <v>56.298895596307631</v>
      </c>
      <c r="J53" s="306">
        <f t="shared" ca="1" si="14"/>
        <v>1.1783589508019219</v>
      </c>
      <c r="K53" s="307">
        <f t="shared" ca="1" si="15"/>
        <v>13.205401335798495</v>
      </c>
      <c r="L53" s="304">
        <f t="shared" ca="1" si="0"/>
        <v>13.25787140744862</v>
      </c>
      <c r="M53" s="306">
        <f t="shared" ca="1" si="16"/>
        <v>1.4793090909721156</v>
      </c>
      <c r="N53" s="304">
        <f t="shared" ca="1" si="17"/>
        <v>84.758167508036578</v>
      </c>
      <c r="P53" s="310">
        <f t="shared" ca="1" si="18"/>
        <v>5</v>
      </c>
      <c r="Q53" s="304">
        <f t="shared" ca="1" si="19"/>
        <v>1034.5</v>
      </c>
      <c r="R53" s="306">
        <f t="shared" ca="1" si="20"/>
        <v>0.51821442388042782</v>
      </c>
      <c r="S53" s="307">
        <f t="shared" ca="1" si="21"/>
        <v>8.0888991606152985</v>
      </c>
      <c r="T53" s="304">
        <f t="shared" ca="1" si="1"/>
        <v>79.352100765636081</v>
      </c>
      <c r="U53" s="311">
        <f t="shared" ca="1" si="2"/>
        <v>0</v>
      </c>
      <c r="V53" s="306">
        <f t="shared" ca="1" si="3"/>
        <v>1.2233834057251745</v>
      </c>
      <c r="W53" s="304">
        <f t="shared" ca="1" si="4"/>
        <v>10.561467314872258</v>
      </c>
      <c r="Y53" s="314" t="str">
        <f t="shared" ca="1" si="22"/>
        <v/>
      </c>
      <c r="Z53" s="315" t="str">
        <f t="shared" ca="1" si="23"/>
        <v/>
      </c>
      <c r="AA53" s="316" t="str">
        <f t="shared" ca="1" si="24"/>
        <v/>
      </c>
      <c r="AC53" s="310" t="e">
        <f t="shared" ca="1" si="25"/>
        <v>#N/A</v>
      </c>
      <c r="AD53" s="323" t="e">
        <f t="shared" ca="1" si="26"/>
        <v>#N/A</v>
      </c>
      <c r="AE53" s="324">
        <f t="shared" ca="1" si="5"/>
        <v>13.205401335798495</v>
      </c>
      <c r="AG53" s="306">
        <f t="shared" ca="1" si="27"/>
        <v>116.870106901517</v>
      </c>
      <c r="AH53" s="304">
        <f t="shared" ca="1" si="28"/>
        <v>126.63922340322833</v>
      </c>
    </row>
    <row r="54" spans="1:34" x14ac:dyDescent="0.2">
      <c r="A54" s="347">
        <f t="shared" ca="1" si="6"/>
        <v>0.01</v>
      </c>
      <c r="B54" s="304">
        <f t="shared" ca="1" si="7"/>
        <v>0.50000000000000022</v>
      </c>
      <c r="D54" s="306">
        <f t="shared" ca="1" si="8"/>
        <v>11.568466517695441</v>
      </c>
      <c r="E54" s="307">
        <f t="shared" ca="1" si="9"/>
        <v>116.28598157320465</v>
      </c>
      <c r="F54" s="304">
        <f t="shared" ca="1" si="10"/>
        <v>116.85999712482767</v>
      </c>
      <c r="G54" s="306">
        <f t="shared" ca="1" si="11"/>
        <v>5.2591329537051825</v>
      </c>
      <c r="H54" s="307">
        <f t="shared" ca="1" si="12"/>
        <v>57.226311235236921</v>
      </c>
      <c r="I54" s="304">
        <f t="shared" ca="1" si="13"/>
        <v>57.467461898164174</v>
      </c>
      <c r="J54" s="306">
        <f t="shared" ca="1" si="14"/>
        <v>1.2303718570130888</v>
      </c>
      <c r="K54" s="307">
        <f t="shared" ca="1" si="15"/>
        <v>13.771850149072204</v>
      </c>
      <c r="L54" s="304">
        <f t="shared" ca="1" si="0"/>
        <v>13.826701393862164</v>
      </c>
      <c r="M54" s="306">
        <f t="shared" ca="1" si="16"/>
        <v>1.4791531351849856</v>
      </c>
      <c r="N54" s="304">
        <f t="shared" ca="1" si="17"/>
        <v>84.749231899643391</v>
      </c>
      <c r="P54" s="310">
        <f t="shared" ca="1" si="18"/>
        <v>5</v>
      </c>
      <c r="Q54" s="304">
        <f t="shared" ca="1" si="19"/>
        <v>1034.1666666666667</v>
      </c>
      <c r="R54" s="306">
        <f t="shared" ca="1" si="20"/>
        <v>0.51804744646013456</v>
      </c>
      <c r="S54" s="307">
        <f t="shared" ca="1" si="21"/>
        <v>8.0837186861506964</v>
      </c>
      <c r="T54" s="304">
        <f t="shared" ca="1" si="1"/>
        <v>79.301280311138342</v>
      </c>
      <c r="U54" s="311">
        <f t="shared" ca="1" si="2"/>
        <v>0</v>
      </c>
      <c r="V54" s="306">
        <f t="shared" ca="1" si="3"/>
        <v>1.2233141092484787</v>
      </c>
      <c r="W54" s="304">
        <f t="shared" ca="1" si="4"/>
        <v>11.003831739523267</v>
      </c>
      <c r="Y54" s="314" t="str">
        <f t="shared" ca="1" si="22"/>
        <v/>
      </c>
      <c r="Z54" s="315" t="str">
        <f t="shared" ca="1" si="23"/>
        <v/>
      </c>
      <c r="AA54" s="316" t="str">
        <f t="shared" ca="1" si="24"/>
        <v/>
      </c>
      <c r="AC54" s="310" t="e">
        <f t="shared" ca="1" si="25"/>
        <v>#N/A</v>
      </c>
      <c r="AD54" s="323" t="e">
        <f t="shared" ca="1" si="26"/>
        <v>#N/A</v>
      </c>
      <c r="AE54" s="324">
        <f t="shared" ca="1" si="5"/>
        <v>13.771850149072204</v>
      </c>
      <c r="AG54" s="306">
        <f t="shared" ca="1" si="27"/>
        <v>116.85656029887755</v>
      </c>
      <c r="AH54" s="304">
        <f t="shared" ca="1" si="28"/>
        <v>126.62553449632901</v>
      </c>
    </row>
    <row r="55" spans="1:34" x14ac:dyDescent="0.2">
      <c r="A55" s="347">
        <f t="shared" ca="1" si="6"/>
        <v>0.01</v>
      </c>
      <c r="B55" s="304">
        <f t="shared" ca="1" si="7"/>
        <v>0.51000000000000023</v>
      </c>
      <c r="D55" s="306">
        <f t="shared" ca="1" si="8"/>
        <v>11.586773202191344</v>
      </c>
      <c r="E55" s="307">
        <f t="shared" ca="1" si="9"/>
        <v>116.26939280438931</v>
      </c>
      <c r="F55" s="304">
        <f t="shared" ca="1" si="10"/>
        <v>116.84530378385088</v>
      </c>
      <c r="G55" s="306">
        <f t="shared" ca="1" si="11"/>
        <v>5.3750006857270956</v>
      </c>
      <c r="H55" s="307">
        <f t="shared" ca="1" si="12"/>
        <v>58.389005163280814</v>
      </c>
      <c r="I55" s="304">
        <f t="shared" ca="1" si="13"/>
        <v>58.635881133732447</v>
      </c>
      <c r="J55" s="306">
        <f t="shared" ca="1" si="14"/>
        <v>1.2835425252102501</v>
      </c>
      <c r="K55" s="307">
        <f t="shared" ca="1" si="15"/>
        <v>14.349926731064793</v>
      </c>
      <c r="L55" s="304">
        <f t="shared" ca="1" si="0"/>
        <v>14.40721619886892</v>
      </c>
      <c r="M55" s="306">
        <f t="shared" ca="1" si="16"/>
        <v>1.4790000272542887</v>
      </c>
      <c r="N55" s="304">
        <f t="shared" ca="1" si="17"/>
        <v>84.74045946140447</v>
      </c>
      <c r="P55" s="310">
        <f t="shared" ca="1" si="18"/>
        <v>5</v>
      </c>
      <c r="Q55" s="304">
        <f t="shared" ca="1" si="19"/>
        <v>1033.8333333333333</v>
      </c>
      <c r="R55" s="306">
        <f t="shared" ca="1" si="20"/>
        <v>0.51788046903984108</v>
      </c>
      <c r="S55" s="307">
        <f t="shared" ca="1" si="21"/>
        <v>8.0785398814602978</v>
      </c>
      <c r="T55" s="304">
        <f t="shared" ca="1" si="1"/>
        <v>79.250476237125525</v>
      </c>
      <c r="U55" s="311">
        <f t="shared" ca="1" si="2"/>
        <v>0</v>
      </c>
      <c r="V55" s="306">
        <f t="shared" ca="1" si="3"/>
        <v>1.223243394333575</v>
      </c>
      <c r="W55" s="304">
        <f t="shared" ca="1" si="4"/>
        <v>11.455174618806021</v>
      </c>
      <c r="Y55" s="314" t="str">
        <f t="shared" ca="1" si="22"/>
        <v/>
      </c>
      <c r="Z55" s="315" t="str">
        <f t="shared" ca="1" si="23"/>
        <v/>
      </c>
      <c r="AA55" s="316" t="str">
        <f t="shared" ca="1" si="24"/>
        <v/>
      </c>
      <c r="AC55" s="310" t="e">
        <f t="shared" ca="1" si="25"/>
        <v>#N/A</v>
      </c>
      <c r="AD55" s="323" t="e">
        <f t="shared" ca="1" si="26"/>
        <v>#N/A</v>
      </c>
      <c r="AE55" s="324">
        <f t="shared" ca="1" si="5"/>
        <v>14.349926731064793</v>
      </c>
      <c r="AG55" s="306">
        <f t="shared" ca="1" si="27"/>
        <v>116.84185482959796</v>
      </c>
      <c r="AH55" s="304">
        <f t="shared" ca="1" si="28"/>
        <v>126.61068913469555</v>
      </c>
    </row>
    <row r="56" spans="1:34" x14ac:dyDescent="0.2">
      <c r="A56" s="347">
        <f t="shared" ca="1" si="6"/>
        <v>0.01</v>
      </c>
      <c r="B56" s="304">
        <f t="shared" ca="1" si="7"/>
        <v>0.52000000000000024</v>
      </c>
      <c r="D56" s="306">
        <f t="shared" ca="1" si="8"/>
        <v>11.604609894919134</v>
      </c>
      <c r="E56" s="307">
        <f t="shared" ca="1" si="9"/>
        <v>116.25168197737351</v>
      </c>
      <c r="F56" s="304">
        <f t="shared" ca="1" si="10"/>
        <v>116.82945062518117</v>
      </c>
      <c r="G56" s="306">
        <f t="shared" ca="1" si="11"/>
        <v>5.4910467846762865</v>
      </c>
      <c r="H56" s="307">
        <f t="shared" ca="1" si="12"/>
        <v>59.551521983054549</v>
      </c>
      <c r="I56" s="304">
        <f t="shared" ca="1" si="13"/>
        <v>59.804141706822719</v>
      </c>
      <c r="J56" s="306">
        <f t="shared" ca="1" si="14"/>
        <v>1.3378727625622671</v>
      </c>
      <c r="K56" s="307">
        <f t="shared" ca="1" si="15"/>
        <v>14.939629366796469</v>
      </c>
      <c r="L56" s="304">
        <f t="shared" ca="1" si="0"/>
        <v>14.999414293433375</v>
      </c>
      <c r="M56" s="306">
        <f t="shared" ca="1" si="16"/>
        <v>1.4788496601572629</v>
      </c>
      <c r="N56" s="304">
        <f t="shared" ca="1" si="17"/>
        <v>84.731844061367255</v>
      </c>
      <c r="P56" s="310">
        <f t="shared" ca="1" si="18"/>
        <v>5</v>
      </c>
      <c r="Q56" s="304">
        <f t="shared" ca="1" si="19"/>
        <v>1033.5</v>
      </c>
      <c r="R56" s="306">
        <f t="shared" ca="1" si="20"/>
        <v>0.51771349161954783</v>
      </c>
      <c r="S56" s="307">
        <f t="shared" ca="1" si="21"/>
        <v>8.0733627465441025</v>
      </c>
      <c r="T56" s="304">
        <f t="shared" ca="1" si="1"/>
        <v>79.199688543597645</v>
      </c>
      <c r="U56" s="311">
        <f t="shared" ca="1" si="2"/>
        <v>0</v>
      </c>
      <c r="V56" s="306">
        <f t="shared" ca="1" si="3"/>
        <v>1.223171261436385</v>
      </c>
      <c r="W56" s="304">
        <f t="shared" ca="1" si="4"/>
        <v>11.915484760957302</v>
      </c>
      <c r="Y56" s="314" t="str">
        <f t="shared" ca="1" si="22"/>
        <v/>
      </c>
      <c r="Z56" s="315" t="str">
        <f t="shared" ca="1" si="23"/>
        <v/>
      </c>
      <c r="AA56" s="316" t="str">
        <f t="shared" ca="1" si="24"/>
        <v/>
      </c>
      <c r="AC56" s="310" t="e">
        <f t="shared" ca="1" si="25"/>
        <v>#N/A</v>
      </c>
      <c r="AD56" s="323" t="e">
        <f t="shared" ca="1" si="26"/>
        <v>#N/A</v>
      </c>
      <c r="AE56" s="324">
        <f t="shared" ca="1" si="5"/>
        <v>14.939629366796469</v>
      </c>
      <c r="AG56" s="306">
        <f t="shared" ca="1" si="27"/>
        <v>116.8259896996568</v>
      </c>
      <c r="AH56" s="304">
        <f t="shared" ca="1" si="28"/>
        <v>126.5946864357968</v>
      </c>
    </row>
    <row r="57" spans="1:34" x14ac:dyDescent="0.2">
      <c r="A57" s="347">
        <f t="shared" ca="1" si="6"/>
        <v>0.01</v>
      </c>
      <c r="B57" s="304">
        <f t="shared" ca="1" si="7"/>
        <v>0.53000000000000025</v>
      </c>
      <c r="D57" s="306">
        <f t="shared" ca="1" si="8"/>
        <v>11.621989630655614</v>
      </c>
      <c r="E57" s="307">
        <f t="shared" ca="1" si="9"/>
        <v>116.23284722327715</v>
      </c>
      <c r="F57" s="304">
        <f t="shared" ca="1" si="10"/>
        <v>116.81243690893857</v>
      </c>
      <c r="G57" s="306">
        <f t="shared" ca="1" si="11"/>
        <v>5.6072666809828426</v>
      </c>
      <c r="H57" s="307">
        <f t="shared" ca="1" si="12"/>
        <v>60.713850455287321</v>
      </c>
      <c r="I57" s="304">
        <f t="shared" ca="1" si="13"/>
        <v>60.972232013750755</v>
      </c>
      <c r="J57" s="306">
        <f t="shared" ca="1" si="14"/>
        <v>1.3933643298905627</v>
      </c>
      <c r="K57" s="307">
        <f t="shared" ca="1" si="15"/>
        <v>15.540956228988179</v>
      </c>
      <c r="L57" s="304">
        <f t="shared" ca="1" si="0"/>
        <v>15.603294032579718</v>
      </c>
      <c r="M57" s="306">
        <f t="shared" ca="1" si="16"/>
        <v>1.4787019328446167</v>
      </c>
      <c r="N57" s="304">
        <f t="shared" ca="1" si="17"/>
        <v>84.723379909833824</v>
      </c>
      <c r="P57" s="310">
        <f t="shared" ca="1" si="18"/>
        <v>5</v>
      </c>
      <c r="Q57" s="304">
        <f t="shared" ca="1" si="19"/>
        <v>1033.1666666666667</v>
      </c>
      <c r="R57" s="306">
        <f t="shared" ca="1" si="20"/>
        <v>0.51754651419925446</v>
      </c>
      <c r="S57" s="307">
        <f t="shared" ca="1" si="21"/>
        <v>8.0681872814021105</v>
      </c>
      <c r="T57" s="304">
        <f t="shared" ca="1" si="1"/>
        <v>79.148917230554702</v>
      </c>
      <c r="U57" s="311">
        <f t="shared" ca="1" si="2"/>
        <v>0</v>
      </c>
      <c r="V57" s="306">
        <f t="shared" ca="1" si="3"/>
        <v>1.2230977110314287</v>
      </c>
      <c r="W57" s="304">
        <f t="shared" ca="1" si="4"/>
        <v>12.384750550516507</v>
      </c>
      <c r="Y57" s="314" t="str">
        <f t="shared" ca="1" si="22"/>
        <v/>
      </c>
      <c r="Z57" s="315" t="str">
        <f t="shared" ca="1" si="23"/>
        <v/>
      </c>
      <c r="AA57" s="316" t="str">
        <f t="shared" ca="1" si="24"/>
        <v/>
      </c>
      <c r="AC57" s="310" t="e">
        <f t="shared" ca="1" si="25"/>
        <v>#N/A</v>
      </c>
      <c r="AD57" s="323" t="e">
        <f t="shared" ca="1" si="26"/>
        <v>#N/A</v>
      </c>
      <c r="AE57" s="324">
        <f t="shared" ca="1" si="5"/>
        <v>15.540956228988179</v>
      </c>
      <c r="AG57" s="306">
        <f t="shared" ca="1" si="27"/>
        <v>116.80896416185851</v>
      </c>
      <c r="AH57" s="304">
        <f t="shared" ca="1" si="28"/>
        <v>126.57752556882068</v>
      </c>
    </row>
    <row r="58" spans="1:34" x14ac:dyDescent="0.2">
      <c r="A58" s="347">
        <f t="shared" ca="1" si="6"/>
        <v>0.01</v>
      </c>
      <c r="B58" s="304">
        <f t="shared" ca="1" si="7"/>
        <v>0.54000000000000026</v>
      </c>
      <c r="D58" s="306">
        <f t="shared" ca="1" si="8"/>
        <v>11.638924706586899</v>
      </c>
      <c r="E58" s="307">
        <f t="shared" ca="1" si="9"/>
        <v>116.21288678237164</v>
      </c>
      <c r="F58" s="304">
        <f t="shared" ca="1" si="10"/>
        <v>116.79426194217731</v>
      </c>
      <c r="G58" s="306">
        <f t="shared" ca="1" si="11"/>
        <v>5.7236559280487116</v>
      </c>
      <c r="H58" s="307">
        <f t="shared" ca="1" si="12"/>
        <v>61.875979323111039</v>
      </c>
      <c r="I58" s="304">
        <f t="shared" ca="1" si="13"/>
        <v>62.140140443812577</v>
      </c>
      <c r="J58" s="306">
        <f t="shared" ca="1" si="14"/>
        <v>1.4500189429357204</v>
      </c>
      <c r="K58" s="307">
        <f t="shared" ca="1" si="15"/>
        <v>16.153905377880172</v>
      </c>
      <c r="L58" s="304">
        <f t="shared" ca="1" si="0"/>
        <v>16.218853655310486</v>
      </c>
      <c r="M58" s="306">
        <f t="shared" ca="1" si="16"/>
        <v>1.4785567498010825</v>
      </c>
      <c r="N58" s="304">
        <f t="shared" ca="1" si="17"/>
        <v>84.715061534182453</v>
      </c>
      <c r="P58" s="310">
        <f t="shared" ca="1" si="18"/>
        <v>5</v>
      </c>
      <c r="Q58" s="304">
        <f t="shared" ca="1" si="19"/>
        <v>1032.8333333333333</v>
      </c>
      <c r="R58" s="306">
        <f t="shared" ca="1" si="20"/>
        <v>0.51737953677896098</v>
      </c>
      <c r="S58" s="307">
        <f t="shared" ca="1" si="21"/>
        <v>8.0630134860343201</v>
      </c>
      <c r="T58" s="304">
        <f t="shared" ca="1" si="1"/>
        <v>79.09816229799668</v>
      </c>
      <c r="U58" s="311">
        <f t="shared" ca="1" si="2"/>
        <v>0</v>
      </c>
      <c r="V58" s="306">
        <f t="shared" ca="1" si="3"/>
        <v>1.2230227436118399</v>
      </c>
      <c r="W58" s="304">
        <f t="shared" ca="1" si="4"/>
        <v>12.862959948632735</v>
      </c>
      <c r="Y58" s="314" t="str">
        <f t="shared" ca="1" si="22"/>
        <v/>
      </c>
      <c r="Z58" s="315" t="str">
        <f t="shared" ca="1" si="23"/>
        <v/>
      </c>
      <c r="AA58" s="316" t="str">
        <f t="shared" ca="1" si="24"/>
        <v/>
      </c>
      <c r="AC58" s="310" t="e">
        <f t="shared" ca="1" si="25"/>
        <v>#N/A</v>
      </c>
      <c r="AD58" s="323" t="e">
        <f t="shared" ca="1" si="26"/>
        <v>#N/A</v>
      </c>
      <c r="AE58" s="324">
        <f t="shared" ca="1" si="5"/>
        <v>16.153905377880172</v>
      </c>
      <c r="AG58" s="306">
        <f t="shared" ca="1" si="27"/>
        <v>116.79077751632742</v>
      </c>
      <c r="AH58" s="304">
        <f t="shared" ca="1" si="28"/>
        <v>126.55920575480893</v>
      </c>
    </row>
    <row r="59" spans="1:34" x14ac:dyDescent="0.2">
      <c r="A59" s="347">
        <f t="shared" ca="1" si="6"/>
        <v>0.01</v>
      </c>
      <c r="B59" s="304">
        <f t="shared" ca="1" si="7"/>
        <v>0.55000000000000027</v>
      </c>
      <c r="D59" s="306">
        <f t="shared" ca="1" si="8"/>
        <v>11.655426737173972</v>
      </c>
      <c r="E59" s="307">
        <f t="shared" ca="1" si="9"/>
        <v>116.19179900004535</v>
      </c>
      <c r="F59" s="304">
        <f t="shared" ca="1" si="10"/>
        <v>116.77492507937041</v>
      </c>
      <c r="G59" s="306">
        <f t="shared" ca="1" si="11"/>
        <v>5.8402101954204513</v>
      </c>
      <c r="H59" s="307">
        <f t="shared" ca="1" si="12"/>
        <v>63.037897313111493</v>
      </c>
      <c r="I59" s="304">
        <f t="shared" ca="1" si="13"/>
        <v>63.307855379763758</v>
      </c>
      <c r="J59" s="306">
        <f t="shared" ca="1" si="14"/>
        <v>1.5078382735530662</v>
      </c>
      <c r="K59" s="307">
        <f t="shared" ca="1" si="15"/>
        <v>16.778474761061283</v>
      </c>
      <c r="L59" s="304">
        <f t="shared" ca="1" si="0"/>
        <v>16.846091284531315</v>
      </c>
      <c r="M59" s="306">
        <f t="shared" ca="1" si="16"/>
        <v>1.4784140206458087</v>
      </c>
      <c r="N59" s="304">
        <f t="shared" ca="1" si="17"/>
        <v>84.706883755971788</v>
      </c>
      <c r="P59" s="310">
        <f t="shared" ca="1" si="18"/>
        <v>5</v>
      </c>
      <c r="Q59" s="304">
        <f t="shared" ca="1" si="19"/>
        <v>1032.5</v>
      </c>
      <c r="R59" s="306">
        <f t="shared" ca="1" si="20"/>
        <v>0.51721255935866772</v>
      </c>
      <c r="S59" s="307">
        <f t="shared" ca="1" si="21"/>
        <v>8.0578413604407331</v>
      </c>
      <c r="T59" s="304">
        <f t="shared" ca="1" si="1"/>
        <v>79.047423745923595</v>
      </c>
      <c r="U59" s="311">
        <f t="shared" ca="1" si="2"/>
        <v>0</v>
      </c>
      <c r="V59" s="306">
        <f t="shared" ca="1" si="3"/>
        <v>1.2229463596893762</v>
      </c>
      <c r="W59" s="304">
        <f t="shared" ca="1" si="4"/>
        <v>13.350100493413313</v>
      </c>
      <c r="Y59" s="314" t="str">
        <f t="shared" ca="1" si="22"/>
        <v/>
      </c>
      <c r="Z59" s="315" t="str">
        <f t="shared" ca="1" si="23"/>
        <v/>
      </c>
      <c r="AA59" s="316" t="str">
        <f t="shared" ca="1" si="24"/>
        <v/>
      </c>
      <c r="AC59" s="310" t="e">
        <f t="shared" ca="1" si="25"/>
        <v>#N/A</v>
      </c>
      <c r="AD59" s="323" t="e">
        <f t="shared" ca="1" si="26"/>
        <v>#N/A</v>
      </c>
      <c r="AE59" s="324">
        <f t="shared" ca="1" si="5"/>
        <v>16.778474761061283</v>
      </c>
      <c r="AG59" s="306">
        <f t="shared" ca="1" si="27"/>
        <v>116.77142911096456</v>
      </c>
      <c r="AH59" s="304">
        <f t="shared" ca="1" si="28"/>
        <v>126.5397262667873</v>
      </c>
    </row>
    <row r="60" spans="1:34" x14ac:dyDescent="0.2">
      <c r="A60" s="347">
        <f t="shared" ca="1" si="6"/>
        <v>0.01</v>
      </c>
      <c r="B60" s="304">
        <f t="shared" ca="1" si="7"/>
        <v>0.56000000000000028</v>
      </c>
      <c r="D60" s="306">
        <f t="shared" ca="1" si="8"/>
        <v>11.671506704037172</v>
      </c>
      <c r="E60" s="307">
        <f t="shared" ca="1" si="9"/>
        <v>116.16958232313574</v>
      </c>
      <c r="F60" s="304">
        <f t="shared" ca="1" si="10"/>
        <v>116.75442572285728</v>
      </c>
      <c r="G60" s="306">
        <f t="shared" ca="1" si="11"/>
        <v>5.9569252624608229</v>
      </c>
      <c r="H60" s="307">
        <f t="shared" ca="1" si="12"/>
        <v>64.199593136342855</v>
      </c>
      <c r="I60" s="304">
        <f t="shared" ca="1" si="13"/>
        <v>64.475365198302711</v>
      </c>
      <c r="J60" s="306">
        <f t="shared" ca="1" si="14"/>
        <v>1.5668239508424726</v>
      </c>
      <c r="K60" s="307">
        <f t="shared" ca="1" si="15"/>
        <v>17.414662213308553</v>
      </c>
      <c r="L60" s="304">
        <f t="shared" ca="1" si="0"/>
        <v>17.485004926981585</v>
      </c>
      <c r="M60" s="306">
        <f t="shared" ca="1" si="16"/>
        <v>1.4782736597683219</v>
      </c>
      <c r="N60" s="304">
        <f t="shared" ca="1" si="17"/>
        <v>84.698841670083041</v>
      </c>
      <c r="P60" s="310">
        <f t="shared" ca="1" si="18"/>
        <v>5</v>
      </c>
      <c r="Q60" s="304">
        <f t="shared" ca="1" si="19"/>
        <v>1032.1666666666667</v>
      </c>
      <c r="R60" s="306">
        <f t="shared" ca="1" si="20"/>
        <v>0.51704558193837435</v>
      </c>
      <c r="S60" s="307">
        <f t="shared" ca="1" si="21"/>
        <v>8.0526709046213494</v>
      </c>
      <c r="T60" s="304">
        <f t="shared" ca="1" si="1"/>
        <v>78.996701574335447</v>
      </c>
      <c r="U60" s="311">
        <f t="shared" ca="1" si="2"/>
        <v>0</v>
      </c>
      <c r="V60" s="306">
        <f t="shared" ca="1" si="3"/>
        <v>1.2228685597944302</v>
      </c>
      <c r="W60" s="304">
        <f t="shared" ca="1" si="4"/>
        <v>13.846159300313836</v>
      </c>
      <c r="Y60" s="314" t="str">
        <f t="shared" ca="1" si="22"/>
        <v/>
      </c>
      <c r="Z60" s="315" t="str">
        <f t="shared" ca="1" si="23"/>
        <v/>
      </c>
      <c r="AA60" s="316" t="str">
        <f t="shared" ca="1" si="24"/>
        <v/>
      </c>
      <c r="AC60" s="310" t="e">
        <f t="shared" ca="1" si="25"/>
        <v>#N/A</v>
      </c>
      <c r="AD60" s="323" t="e">
        <f t="shared" ca="1" si="26"/>
        <v>#N/A</v>
      </c>
      <c r="AE60" s="324">
        <f t="shared" ca="1" si="5"/>
        <v>17.414662213308553</v>
      </c>
      <c r="AG60" s="306">
        <f t="shared" ca="1" si="27"/>
        <v>116.75091834187009</v>
      </c>
      <c r="AH60" s="304">
        <f t="shared" ca="1" si="28"/>
        <v>126.51908642989056</v>
      </c>
    </row>
    <row r="61" spans="1:34" x14ac:dyDescent="0.2">
      <c r="A61" s="347">
        <f t="shared" ca="1" si="6"/>
        <v>0.01</v>
      </c>
      <c r="B61" s="304">
        <f t="shared" ca="1" si="7"/>
        <v>0.57000000000000028</v>
      </c>
      <c r="D61" s="306">
        <f t="shared" ca="1" si="8"/>
        <v>11.687175001393731</v>
      </c>
      <c r="E61" s="307">
        <f t="shared" ca="1" si="9"/>
        <v>116.14623529658964</v>
      </c>
      <c r="F61" s="304">
        <f t="shared" ca="1" si="10"/>
        <v>116.73276332325885</v>
      </c>
      <c r="G61" s="306">
        <f t="shared" ca="1" si="11"/>
        <v>6.0737970124747598</v>
      </c>
      <c r="H61" s="307">
        <f t="shared" ca="1" si="12"/>
        <v>65.361055489308754</v>
      </c>
      <c r="I61" s="304">
        <f t="shared" ca="1" si="13"/>
        <v>65.642658270557916</v>
      </c>
      <c r="J61" s="306">
        <f t="shared" ca="1" si="14"/>
        <v>1.6269775622171505</v>
      </c>
      <c r="K61" s="307">
        <f t="shared" ca="1" si="15"/>
        <v>18.062465456436811</v>
      </c>
      <c r="L61" s="304">
        <f t="shared" ca="1" si="0"/>
        <v>18.135592473170849</v>
      </c>
      <c r="M61" s="306">
        <f t="shared" ca="1" si="16"/>
        <v>1.478135585996317</v>
      </c>
      <c r="N61" s="304">
        <f t="shared" ca="1" si="17"/>
        <v>84.690930625685709</v>
      </c>
      <c r="P61" s="310">
        <f t="shared" ca="1" si="18"/>
        <v>5</v>
      </c>
      <c r="Q61" s="304">
        <f t="shared" ca="1" si="19"/>
        <v>1031.8333333333333</v>
      </c>
      <c r="R61" s="306">
        <f t="shared" ca="1" si="20"/>
        <v>0.51687860451808099</v>
      </c>
      <c r="S61" s="307">
        <f t="shared" ca="1" si="21"/>
        <v>8.047502118576169</v>
      </c>
      <c r="T61" s="304">
        <f t="shared" ca="1" si="1"/>
        <v>78.94599578323222</v>
      </c>
      <c r="U61" s="311">
        <f t="shared" ca="1" si="2"/>
        <v>0</v>
      </c>
      <c r="V61" s="306">
        <f t="shared" ca="1" si="3"/>
        <v>1.2227893444760383</v>
      </c>
      <c r="W61" s="304">
        <f t="shared" ca="1" si="4"/>
        <v>14.35112306256986</v>
      </c>
      <c r="Y61" s="314" t="str">
        <f t="shared" ca="1" si="22"/>
        <v/>
      </c>
      <c r="Z61" s="315" t="str">
        <f t="shared" ca="1" si="23"/>
        <v/>
      </c>
      <c r="AA61" s="316" t="str">
        <f t="shared" ca="1" si="24"/>
        <v/>
      </c>
      <c r="AC61" s="310" t="e">
        <f t="shared" ca="1" si="25"/>
        <v>#N/A</v>
      </c>
      <c r="AD61" s="323" t="e">
        <f t="shared" ca="1" si="26"/>
        <v>#N/A</v>
      </c>
      <c r="AE61" s="324">
        <f t="shared" ca="1" si="5"/>
        <v>18.062465456436811</v>
      </c>
      <c r="AG61" s="306">
        <f t="shared" ca="1" si="27"/>
        <v>116.72924465373521</v>
      </c>
      <c r="AH61" s="304">
        <f t="shared" ca="1" si="28"/>
        <v>126.49728562148303</v>
      </c>
    </row>
    <row r="62" spans="1:34" x14ac:dyDescent="0.2">
      <c r="A62" s="347">
        <f t="shared" ca="1" si="6"/>
        <v>0.01</v>
      </c>
      <c r="B62" s="304">
        <f t="shared" ca="1" si="7"/>
        <v>0.58000000000000029</v>
      </c>
      <c r="D62" s="306">
        <f t="shared" ca="1" si="8"/>
        <v>11.7024414775167</v>
      </c>
      <c r="E62" s="307">
        <f t="shared" ca="1" si="9"/>
        <v>116.1217565604167</v>
      </c>
      <c r="F62" s="304">
        <f t="shared" ca="1" si="10"/>
        <v>116.70993737986231</v>
      </c>
      <c r="G62" s="306">
        <f t="shared" ca="1" si="11"/>
        <v>6.1908214272499267</v>
      </c>
      <c r="H62" s="307">
        <f t="shared" ca="1" si="12"/>
        <v>66.522273054912915</v>
      </c>
      <c r="I62" s="304">
        <f t="shared" ca="1" si="13"/>
        <v>66.809722962578505</v>
      </c>
      <c r="J62" s="306">
        <f t="shared" ca="1" si="14"/>
        <v>1.6883006544157739</v>
      </c>
      <c r="K62" s="307">
        <f t="shared" ca="1" si="15"/>
        <v>18.72188209915792</v>
      </c>
      <c r="L62" s="304">
        <f t="shared" ca="1" si="0"/>
        <v>18.797851697320905</v>
      </c>
      <c r="M62" s="306">
        <f t="shared" ca="1" si="16"/>
        <v>1.4779997222919841</v>
      </c>
      <c r="N62" s="304">
        <f t="shared" ca="1" si="17"/>
        <v>84.683146208838423</v>
      </c>
      <c r="P62" s="310">
        <f t="shared" ca="1" si="18"/>
        <v>5</v>
      </c>
      <c r="Q62" s="304">
        <f t="shared" ca="1" si="19"/>
        <v>1031.5</v>
      </c>
      <c r="R62" s="306">
        <f t="shared" ca="1" si="20"/>
        <v>0.51671162709778762</v>
      </c>
      <c r="S62" s="307">
        <f t="shared" ca="1" si="21"/>
        <v>8.042335002305192</v>
      </c>
      <c r="T62" s="304">
        <f t="shared" ca="1" si="1"/>
        <v>78.895306372613945</v>
      </c>
      <c r="U62" s="311">
        <f t="shared" ca="1" si="2"/>
        <v>0</v>
      </c>
      <c r="V62" s="306">
        <f t="shared" ca="1" si="3"/>
        <v>1.222708714301888</v>
      </c>
      <c r="W62" s="304">
        <f t="shared" ca="1" si="4"/>
        <v>14.864978051670162</v>
      </c>
      <c r="Y62" s="314" t="str">
        <f t="shared" ca="1" si="22"/>
        <v/>
      </c>
      <c r="Z62" s="315" t="str">
        <f t="shared" ca="1" si="23"/>
        <v/>
      </c>
      <c r="AA62" s="316" t="str">
        <f t="shared" ca="1" si="24"/>
        <v/>
      </c>
      <c r="AC62" s="310" t="e">
        <f t="shared" ca="1" si="25"/>
        <v>#N/A</v>
      </c>
      <c r="AD62" s="323" t="e">
        <f t="shared" ca="1" si="26"/>
        <v>#N/A</v>
      </c>
      <c r="AE62" s="324">
        <f t="shared" ca="1" si="5"/>
        <v>18.72188209915792</v>
      </c>
      <c r="AG62" s="306">
        <f t="shared" ca="1" si="27"/>
        <v>116.70640754020592</v>
      </c>
      <c r="AH62" s="304">
        <f t="shared" ca="1" si="28"/>
        <v>126.47432327127414</v>
      </c>
    </row>
    <row r="63" spans="1:34" x14ac:dyDescent="0.2">
      <c r="A63" s="347">
        <f t="shared" ca="1" si="6"/>
        <v>0.01</v>
      </c>
      <c r="B63" s="304">
        <f t="shared" ca="1" si="7"/>
        <v>0.5900000000000003</v>
      </c>
      <c r="D63" s="306">
        <f t="shared" ca="1" si="8"/>
        <v>11.71731547262705</v>
      </c>
      <c r="E63" s="307">
        <f t="shared" ca="1" si="9"/>
        <v>116.09614484690512</v>
      </c>
      <c r="F63" s="304">
        <f t="shared" ca="1" si="10"/>
        <v>116.68594744097783</v>
      </c>
      <c r="G63" s="306">
        <f t="shared" ca="1" si="11"/>
        <v>6.3079945819761969</v>
      </c>
      <c r="H63" s="307">
        <f t="shared" ca="1" si="12"/>
        <v>67.683234503381968</v>
      </c>
      <c r="I63" s="304">
        <f t="shared" ca="1" si="13"/>
        <v>67.976547635828325</v>
      </c>
      <c r="J63" s="306">
        <f t="shared" ca="1" si="14"/>
        <v>1.7507947344619046</v>
      </c>
      <c r="K63" s="307">
        <f t="shared" ca="1" si="15"/>
        <v>19.392909636949394</v>
      </c>
      <c r="L63" s="304">
        <f t="shared" ca="1" si="0"/>
        <v>19.471780257313512</v>
      </c>
      <c r="M63" s="306">
        <f t="shared" ca="1" si="16"/>
        <v>1.4778659954739739</v>
      </c>
      <c r="N63" s="304">
        <f t="shared" ca="1" si="17"/>
        <v>84.675484226558723</v>
      </c>
      <c r="P63" s="310">
        <f t="shared" ca="1" si="18"/>
        <v>5</v>
      </c>
      <c r="Q63" s="304">
        <f t="shared" ca="1" si="19"/>
        <v>1031.1666666666667</v>
      </c>
      <c r="R63" s="306">
        <f t="shared" ca="1" si="20"/>
        <v>0.51654464967749436</v>
      </c>
      <c r="S63" s="307">
        <f t="shared" ca="1" si="21"/>
        <v>8.0371695558084166</v>
      </c>
      <c r="T63" s="304">
        <f t="shared" ca="1" si="1"/>
        <v>78.844633342480577</v>
      </c>
      <c r="U63" s="311">
        <f t="shared" ca="1" si="2"/>
        <v>0</v>
      </c>
      <c r="V63" s="306">
        <f t="shared" ca="1" si="3"/>
        <v>1.2226266698583226</v>
      </c>
      <c r="W63" s="304">
        <f t="shared" ca="1" si="4"/>
        <v>15.38771011787178</v>
      </c>
      <c r="Y63" s="314" t="str">
        <f t="shared" ca="1" si="22"/>
        <v/>
      </c>
      <c r="Z63" s="315" t="str">
        <f t="shared" ca="1" si="23"/>
        <v/>
      </c>
      <c r="AA63" s="316" t="str">
        <f t="shared" ca="1" si="24"/>
        <v/>
      </c>
      <c r="AC63" s="310" t="e">
        <f t="shared" ca="1" si="25"/>
        <v>#N/A</v>
      </c>
      <c r="AD63" s="323" t="e">
        <f t="shared" ca="1" si="26"/>
        <v>#N/A</v>
      </c>
      <c r="AE63" s="324">
        <f t="shared" ca="1" si="5"/>
        <v>19.392909636949394</v>
      </c>
      <c r="AG63" s="306">
        <f t="shared" ca="1" si="27"/>
        <v>116.68240654422051</v>
      </c>
      <c r="AH63" s="304">
        <f t="shared" ca="1" si="28"/>
        <v>126.45019886142892</v>
      </c>
    </row>
    <row r="64" spans="1:34" x14ac:dyDescent="0.2">
      <c r="A64" s="347">
        <f t="shared" ca="1" si="6"/>
        <v>0.01</v>
      </c>
      <c r="B64" s="304">
        <f t="shared" ca="1" si="7"/>
        <v>0.60000000000000031</v>
      </c>
      <c r="D64" s="306">
        <f t="shared" ca="1" si="8"/>
        <v>11.731805853581534</v>
      </c>
      <c r="E64" s="307">
        <f t="shared" ca="1" si="9"/>
        <v>116.06939897807366</v>
      </c>
      <c r="F64" s="304">
        <f t="shared" ca="1" si="10"/>
        <v>116.66079310427037</v>
      </c>
      <c r="G64" s="306">
        <f t="shared" ca="1" si="11"/>
        <v>6.4253126405120122</v>
      </c>
      <c r="H64" s="307">
        <f t="shared" ca="1" si="12"/>
        <v>68.843928493162707</v>
      </c>
      <c r="I64" s="304">
        <f t="shared" ca="1" si="13"/>
        <v>69.143120647682821</v>
      </c>
      <c r="J64" s="306">
        <f t="shared" ca="1" si="14"/>
        <v>1.8144612705743457</v>
      </c>
      <c r="K64" s="307">
        <f t="shared" ca="1" si="15"/>
        <v>20.075545451932118</v>
      </c>
      <c r="L64" s="304">
        <f t="shared" ca="1" si="0"/>
        <v>20.157375694643552</v>
      </c>
      <c r="M64" s="306">
        <f t="shared" ca="1" si="16"/>
        <v>1.47773433596244</v>
      </c>
      <c r="N64" s="304">
        <f t="shared" ca="1" si="17"/>
        <v>84.667940692215083</v>
      </c>
      <c r="P64" s="310">
        <f t="shared" ca="1" si="18"/>
        <v>5</v>
      </c>
      <c r="Q64" s="304">
        <f t="shared" ca="1" si="19"/>
        <v>1030.8333333333333</v>
      </c>
      <c r="R64" s="306">
        <f t="shared" ca="1" si="20"/>
        <v>0.51637767225720088</v>
      </c>
      <c r="S64" s="307">
        <f t="shared" ca="1" si="21"/>
        <v>8.0320057790858446</v>
      </c>
      <c r="T64" s="304">
        <f t="shared" ca="1" si="1"/>
        <v>78.793976692832146</v>
      </c>
      <c r="U64" s="311">
        <f t="shared" ca="1" si="2"/>
        <v>0</v>
      </c>
      <c r="V64" s="306">
        <f t="shared" ca="1" si="3"/>
        <v>1.2225432117503472</v>
      </c>
      <c r="W64" s="304">
        <f t="shared" ca="1" si="4"/>
        <v>15.919304690756706</v>
      </c>
      <c r="Y64" s="314" t="str">
        <f t="shared" ca="1" si="22"/>
        <v/>
      </c>
      <c r="Z64" s="315" t="str">
        <f t="shared" ca="1" si="23"/>
        <v/>
      </c>
      <c r="AA64" s="316" t="str">
        <f t="shared" ca="1" si="24"/>
        <v/>
      </c>
      <c r="AC64" s="310" t="e">
        <f t="shared" ca="1" si="25"/>
        <v>#N/A</v>
      </c>
      <c r="AD64" s="323" t="e">
        <f t="shared" ca="1" si="26"/>
        <v>#N/A</v>
      </c>
      <c r="AE64" s="324">
        <f t="shared" ca="1" si="5"/>
        <v>20.075545451932118</v>
      </c>
      <c r="AG64" s="306">
        <f t="shared" ca="1" si="27"/>
        <v>116.65724125832362</v>
      </c>
      <c r="AH64" s="304">
        <f t="shared" ca="1" si="28"/>
        <v>126.42491192667363</v>
      </c>
    </row>
    <row r="65" spans="1:34" x14ac:dyDescent="0.2">
      <c r="A65" s="347">
        <f t="shared" ca="1" si="6"/>
        <v>0.01</v>
      </c>
      <c r="B65" s="304">
        <f t="shared" ca="1" si="7"/>
        <v>0.61000000000000032</v>
      </c>
      <c r="D65" s="306">
        <f t="shared" ca="1" si="8"/>
        <v>11.745921045676884</v>
      </c>
      <c r="E65" s="307">
        <f t="shared" ca="1" si="9"/>
        <v>116.04151786333566</v>
      </c>
      <c r="F65" s="304">
        <f t="shared" ca="1" si="10"/>
        <v>116.63447401706806</v>
      </c>
      <c r="G65" s="306">
        <f t="shared" ca="1" si="11"/>
        <v>6.5427718509687809</v>
      </c>
      <c r="H65" s="307">
        <f t="shared" ca="1" si="12"/>
        <v>70.004343671796065</v>
      </c>
      <c r="I65" s="304">
        <f t="shared" ca="1" si="13"/>
        <v>70.309430351929052</v>
      </c>
      <c r="J65" s="306">
        <f t="shared" ca="1" si="14"/>
        <v>1.8793016930317497</v>
      </c>
      <c r="K65" s="307">
        <f t="shared" ca="1" si="15"/>
        <v>20.769786812756912</v>
      </c>
      <c r="L65" s="304">
        <f t="shared" ca="1" si="0"/>
        <v>20.854635434377723</v>
      </c>
      <c r="M65" s="306">
        <f t="shared" ca="1" si="16"/>
        <v>1.4776046775448912</v>
      </c>
      <c r="N65" s="304">
        <f t="shared" ca="1" si="17"/>
        <v>84.660511812111196</v>
      </c>
      <c r="P65" s="310">
        <f t="shared" ca="1" si="18"/>
        <v>5</v>
      </c>
      <c r="Q65" s="304">
        <f t="shared" ca="1" si="19"/>
        <v>1030.5</v>
      </c>
      <c r="R65" s="306">
        <f t="shared" ca="1" si="20"/>
        <v>0.51621069483690762</v>
      </c>
      <c r="S65" s="307">
        <f t="shared" ca="1" si="21"/>
        <v>8.0268436721374758</v>
      </c>
      <c r="T65" s="304">
        <f t="shared" ca="1" si="1"/>
        <v>78.743336423668637</v>
      </c>
      <c r="U65" s="311">
        <f t="shared" ca="1" si="2"/>
        <v>0</v>
      </c>
      <c r="V65" s="306">
        <f t="shared" ca="1" si="3"/>
        <v>1.2224583406016301</v>
      </c>
      <c r="W65" s="304">
        <f t="shared" ca="1" si="4"/>
        <v>16.459746779830457</v>
      </c>
      <c r="Y65" s="314" t="str">
        <f t="shared" ca="1" si="22"/>
        <v/>
      </c>
      <c r="Z65" s="315" t="str">
        <f t="shared" ca="1" si="23"/>
        <v/>
      </c>
      <c r="AA65" s="316" t="str">
        <f t="shared" ca="1" si="24"/>
        <v/>
      </c>
      <c r="AC65" s="310" t="e">
        <f t="shared" ca="1" si="25"/>
        <v>#N/A</v>
      </c>
      <c r="AD65" s="323" t="e">
        <f t="shared" ca="1" si="26"/>
        <v>#N/A</v>
      </c>
      <c r="AE65" s="324">
        <f t="shared" ca="1" si="5"/>
        <v>20.769786812756912</v>
      </c>
      <c r="AG65" s="306">
        <f t="shared" ca="1" si="27"/>
        <v>116.63091132495826</v>
      </c>
      <c r="AH65" s="304">
        <f t="shared" ca="1" si="28"/>
        <v>126.39846205439673</v>
      </c>
    </row>
    <row r="66" spans="1:34" x14ac:dyDescent="0.2">
      <c r="A66" s="347">
        <f t="shared" ca="1" si="6"/>
        <v>0.01</v>
      </c>
      <c r="B66" s="304">
        <f t="shared" ca="1" si="7"/>
        <v>0.62000000000000033</v>
      </c>
      <c r="D66" s="306">
        <f t="shared" ca="1" si="8"/>
        <v>11.759669061853659</v>
      </c>
      <c r="E66" s="307">
        <f t="shared" ca="1" si="9"/>
        <v>116.01250049735378</v>
      </c>
      <c r="F66" s="304">
        <f t="shared" ca="1" si="10"/>
        <v>116.6069898766486</v>
      </c>
      <c r="G66" s="306">
        <f t="shared" ca="1" si="11"/>
        <v>6.6603685415873173</v>
      </c>
      <c r="H66" s="307">
        <f t="shared" ca="1" si="12"/>
        <v>71.164468676769602</v>
      </c>
      <c r="I66" s="304">
        <f t="shared" ca="1" si="13"/>
        <v>71.475465099268078</v>
      </c>
      <c r="J66" s="306">
        <f t="shared" ca="1" si="14"/>
        <v>1.9453173949945302</v>
      </c>
      <c r="K66" s="307">
        <f t="shared" ca="1" si="15"/>
        <v>21.475630874499739</v>
      </c>
      <c r="L66" s="304">
        <f t="shared" ca="1" si="0"/>
        <v>21.563556785118607</v>
      </c>
      <c r="M66" s="306">
        <f t="shared" ca="1" si="16"/>
        <v>1.4774769571608428</v>
      </c>
      <c r="N66" s="304">
        <f t="shared" ca="1" si="17"/>
        <v>84.653193973147424</v>
      </c>
      <c r="P66" s="310">
        <f t="shared" ca="1" si="18"/>
        <v>5</v>
      </c>
      <c r="Q66" s="304">
        <f t="shared" ca="1" si="19"/>
        <v>1030.1666666666667</v>
      </c>
      <c r="R66" s="306">
        <f t="shared" ca="1" si="20"/>
        <v>0.51604371741661426</v>
      </c>
      <c r="S66" s="307">
        <f t="shared" ca="1" si="21"/>
        <v>8.0216832349633105</v>
      </c>
      <c r="T66" s="304">
        <f t="shared" ca="1" si="1"/>
        <v>78.692712534990079</v>
      </c>
      <c r="U66" s="311">
        <f t="shared" ca="1" si="2"/>
        <v>0</v>
      </c>
      <c r="V66" s="306">
        <f t="shared" ca="1" si="3"/>
        <v>1.2223720570545069</v>
      </c>
      <c r="W66" s="304">
        <f t="shared" ca="1" si="4"/>
        <v>17.009020975162322</v>
      </c>
      <c r="Y66" s="314" t="str">
        <f t="shared" ca="1" si="22"/>
        <v/>
      </c>
      <c r="Z66" s="315" t="str">
        <f t="shared" ca="1" si="23"/>
        <v/>
      </c>
      <c r="AA66" s="316" t="str">
        <f t="shared" ca="1" si="24"/>
        <v/>
      </c>
      <c r="AC66" s="310" t="e">
        <f t="shared" ca="1" si="25"/>
        <v>#N/A</v>
      </c>
      <c r="AD66" s="323" t="e">
        <f t="shared" ca="1" si="26"/>
        <v>#N/A</v>
      </c>
      <c r="AE66" s="324">
        <f t="shared" ca="1" si="5"/>
        <v>21.475630874499739</v>
      </c>
      <c r="AG66" s="306">
        <f t="shared" ca="1" si="27"/>
        <v>116.60341643673743</v>
      </c>
      <c r="AH66" s="304">
        <f t="shared" ca="1" si="28"/>
        <v>126.37084888474442</v>
      </c>
    </row>
    <row r="67" spans="1:34" x14ac:dyDescent="0.2">
      <c r="A67" s="347">
        <f t="shared" ca="1" si="6"/>
        <v>0.01</v>
      </c>
      <c r="B67" s="304">
        <f t="shared" ca="1" si="7"/>
        <v>0.63000000000000034</v>
      </c>
      <c r="D67" s="306">
        <f t="shared" ca="1" si="8"/>
        <v>11.773057529551567</v>
      </c>
      <c r="E67" s="307">
        <f t="shared" ca="1" si="9"/>
        <v>115.98234595806724</v>
      </c>
      <c r="F67" s="304">
        <f t="shared" ca="1" si="10"/>
        <v>116.5783404305059</v>
      </c>
      <c r="G67" s="306">
        <f t="shared" ca="1" si="11"/>
        <v>6.7780991168828333</v>
      </c>
      <c r="H67" s="307">
        <f t="shared" ca="1" si="12"/>
        <v>72.32429213635028</v>
      </c>
      <c r="I67" s="304">
        <f t="shared" ca="1" si="13"/>
        <v>72.64121323781994</v>
      </c>
      <c r="J67" s="306">
        <f t="shared" ca="1" si="14"/>
        <v>2.0125097332868811</v>
      </c>
      <c r="K67" s="307">
        <f t="shared" ca="1" si="15"/>
        <v>22.193074678565338</v>
      </c>
      <c r="L67" s="304">
        <f t="shared" ca="1" si="0"/>
        <v>22.284136938974154</v>
      </c>
      <c r="M67" s="306">
        <f t="shared" ca="1" si="16"/>
        <v>1.4773511147034812</v>
      </c>
      <c r="N67" s="304">
        <f t="shared" ca="1" si="17"/>
        <v>84.645983731457051</v>
      </c>
      <c r="P67" s="310">
        <f t="shared" ca="1" si="18"/>
        <v>5</v>
      </c>
      <c r="Q67" s="304">
        <f t="shared" ca="1" si="19"/>
        <v>1029.8333333333333</v>
      </c>
      <c r="R67" s="306">
        <f t="shared" ca="1" si="20"/>
        <v>0.51587673999632078</v>
      </c>
      <c r="S67" s="307">
        <f t="shared" ca="1" si="21"/>
        <v>8.0165244675633467</v>
      </c>
      <c r="T67" s="304">
        <f t="shared" ca="1" si="1"/>
        <v>78.642105026796429</v>
      </c>
      <c r="U67" s="311">
        <f t="shared" ca="1" si="2"/>
        <v>0</v>
      </c>
      <c r="V67" s="306">
        <f t="shared" ca="1" si="3"/>
        <v>1.2222843617699777</v>
      </c>
      <c r="W67" s="304">
        <f t="shared" ca="1" si="4"/>
        <v>17.567111448067404</v>
      </c>
      <c r="Y67" s="314" t="str">
        <f t="shared" ca="1" si="22"/>
        <v/>
      </c>
      <c r="Z67" s="315" t="str">
        <f t="shared" ca="1" si="23"/>
        <v/>
      </c>
      <c r="AA67" s="316" t="str">
        <f t="shared" ca="1" si="24"/>
        <v/>
      </c>
      <c r="AC67" s="310" t="e">
        <f t="shared" ca="1" si="25"/>
        <v>#N/A</v>
      </c>
      <c r="AD67" s="323" t="e">
        <f t="shared" ca="1" si="26"/>
        <v>#N/A</v>
      </c>
      <c r="AE67" s="324">
        <f t="shared" ca="1" si="5"/>
        <v>22.193074678565338</v>
      </c>
      <c r="AG67" s="306">
        <f t="shared" ca="1" si="27"/>
        <v>116.57475633669685</v>
      </c>
      <c r="AH67" s="304">
        <f t="shared" ca="1" si="28"/>
        <v>126.34207211071143</v>
      </c>
    </row>
    <row r="68" spans="1:34" x14ac:dyDescent="0.2">
      <c r="A68" s="347">
        <f t="shared" ca="1" si="6"/>
        <v>0.01</v>
      </c>
      <c r="B68" s="304">
        <f t="shared" ca="1" si="7"/>
        <v>0.64000000000000035</v>
      </c>
      <c r="D68" s="306">
        <f t="shared" ca="1" si="8"/>
        <v>11.786093715439327</v>
      </c>
      <c r="E68" s="307">
        <f t="shared" ca="1" si="9"/>
        <v>115.95105340487467</v>
      </c>
      <c r="F68" s="304">
        <f t="shared" ca="1" si="10"/>
        <v>116.54852547659802</v>
      </c>
      <c r="G68" s="306">
        <f t="shared" ca="1" si="11"/>
        <v>6.8959600540372268</v>
      </c>
      <c r="H68" s="307">
        <f t="shared" ca="1" si="12"/>
        <v>73.483802670399029</v>
      </c>
      <c r="I68" s="304">
        <f t="shared" ca="1" si="13"/>
        <v>73.806663113631004</v>
      </c>
      <c r="J68" s="306">
        <f t="shared" ca="1" si="14"/>
        <v>2.0808800291414813</v>
      </c>
      <c r="K68" s="307">
        <f t="shared" ca="1" si="15"/>
        <v>22.922115152599083</v>
      </c>
      <c r="L68" s="304">
        <f t="shared" ref="L68:L131" ca="1" si="29">SQRT(pos_x^2+pos_z^2)</f>
        <v>23.016372971532512</v>
      </c>
      <c r="M68" s="306">
        <f t="shared" ca="1" si="16"/>
        <v>1.4772270928367484</v>
      </c>
      <c r="N68" s="304">
        <f t="shared" ca="1" si="17"/>
        <v>84.638877801925929</v>
      </c>
      <c r="P68" s="310">
        <f t="shared" ca="1" si="18"/>
        <v>5</v>
      </c>
      <c r="Q68" s="304">
        <f t="shared" ca="1" si="19"/>
        <v>1029.5</v>
      </c>
      <c r="R68" s="306">
        <f t="shared" ca="1" si="20"/>
        <v>0.51570976257602752</v>
      </c>
      <c r="S68" s="307">
        <f t="shared" ca="1" si="21"/>
        <v>8.0113673699375862</v>
      </c>
      <c r="T68" s="304">
        <f t="shared" ref="T68:T131" ca="1" si="30">m*g</f>
        <v>78.59151389908773</v>
      </c>
      <c r="U68" s="311">
        <f t="shared" ref="U68:U131" ca="1" si="31">IF(pos_xz&lt;L_rampe,Poids*COS(Beta),0)</f>
        <v>0</v>
      </c>
      <c r="V68" s="306">
        <f t="shared" ref="V68:V131" ca="1" si="32">Rho_moyen*(20000-Alt_rampe-pos_z)/(20000+Alt_rampe+pos_z)</f>
        <v>1.2221952554277096</v>
      </c>
      <c r="W68" s="304">
        <f t="shared" ref="W68:W131" ca="1" si="33">1/2*Rho*Sref*Cx*vit_xz^2</f>
        <v>18.134001951830573</v>
      </c>
      <c r="Y68" s="314" t="str">
        <f t="shared" ca="1" si="22"/>
        <v/>
      </c>
      <c r="Z68" s="315" t="str">
        <f t="shared" ca="1" si="23"/>
        <v/>
      </c>
      <c r="AA68" s="316" t="str">
        <f t="shared" ca="1" si="24"/>
        <v/>
      </c>
      <c r="AC68" s="310" t="e">
        <f t="shared" ca="1" si="25"/>
        <v>#N/A</v>
      </c>
      <c r="AD68" s="323" t="e">
        <f t="shared" ca="1" si="26"/>
        <v>#N/A</v>
      </c>
      <c r="AE68" s="324">
        <f t="shared" ref="AE68:AE131" ca="1" si="34">IF(t&lt;T_para, pos_z, NA())</f>
        <v>22.922115152599083</v>
      </c>
      <c r="AG68" s="306">
        <f t="shared" ca="1" si="27"/>
        <v>116.54493081853022</v>
      </c>
      <c r="AH68" s="304">
        <f t="shared" ca="1" si="28"/>
        <v>126.31213147822682</v>
      </c>
    </row>
    <row r="69" spans="1:34" x14ac:dyDescent="0.2">
      <c r="A69" s="347">
        <f t="shared" ref="A69:A132" ca="1" si="35">IF(B68+0.01&lt;=T_ini+ROUNDUP(Temps_fin_propu,0), 0.01, IF(K68&gt;0, 0.1, 0.0001))</f>
        <v>0.01</v>
      </c>
      <c r="B69" s="304">
        <f t="shared" ref="B69:B132" ca="1" si="36">B68+pas</f>
        <v>0.65000000000000036</v>
      </c>
      <c r="D69" s="306">
        <f t="shared" ref="D69:D132" ca="1" si="37">IF(AND(L68&lt;L_rampe,Poussee&lt;Poids*SIN(M68)),0,(-W68+Poussee)/m*COS(M68)-U68/m*SIN(M68))</f>
        <v>11.798784548218499</v>
      </c>
      <c r="E69" s="307">
        <f t="shared" ref="E69:E132" ca="1" si="38">IF(AND(L68&lt;L_rampe,Poussee&lt;Poids*SIN(M68)),0,(-W68+Poussee)/m*SIN(M68)+U68/m*COS(M68)-Poids/m)</f>
        <v>115.91862207695745</v>
      </c>
      <c r="F69" s="304">
        <f t="shared" ref="F69:F132" ca="1" si="39">SQRT(acc_x^2+acc_z^2)</f>
        <v>116.51754486357737</v>
      </c>
      <c r="G69" s="306">
        <f t="shared" ref="G69:G132" ca="1" si="40">G68+acc_x*pas</f>
        <v>7.0139478995194118</v>
      </c>
      <c r="H69" s="307">
        <f t="shared" ref="H69:H132" ca="1" si="41">H68+acc_z*pas</f>
        <v>74.642988891168599</v>
      </c>
      <c r="I69" s="304">
        <f t="shared" ref="I69:I132" ca="1" si="42">SQRT(vit_x^2+vit_z^2)</f>
        <v>74.971803071183302</v>
      </c>
      <c r="J69" s="306">
        <f t="shared" ref="J69:J132" ca="1" si="43">J68+0.5*(vit_x+G68)*pas*(K68&gt;=0)</f>
        <v>2.1504295689092645</v>
      </c>
      <c r="K69" s="307">
        <f t="shared" ref="K69:K132" ca="1" si="44">K68+0.5*(vit_z+H68)*pas</f>
        <v>23.662749110406921</v>
      </c>
      <c r="L69" s="304">
        <f t="shared" ca="1" si="29"/>
        <v>23.760261841842208</v>
      </c>
      <c r="M69" s="306">
        <f t="shared" ref="M69:M132" ca="1" si="45">IF(AND(L68&gt;L_rampe,G69&gt;0),ATAN2(G69,H69),$M$4)</f>
        <v>1.4771048368264255</v>
      </c>
      <c r="N69" s="304">
        <f t="shared" ref="N69:N132" ca="1" si="46">DEGREES(Beta)</f>
        <v>84.631873048514322</v>
      </c>
      <c r="P69" s="310">
        <f t="shared" ref="P69:P132" ca="1" si="47">MATCH(t-pas/2-T_ini,CdP_t)</f>
        <v>5</v>
      </c>
      <c r="Q69" s="304">
        <f t="shared" ref="Q69:Q132" ca="1" si="48">(INDEX(CdP,2,i_P+1)-INDEX(CdP,2,i_P+0))/(INDEX(CdP,1,i_P+1)-INDEX(CdP,1,i_P+0))*(t-pas/2-T_ini-INDEX(CdP,1,i_P+0))+INDEX(CdP,2,i_P+0)</f>
        <v>1029.1666666666667</v>
      </c>
      <c r="R69" s="306">
        <f t="shared" ref="R69:R132" ca="1" si="49">Poussee/(g*ISP)</f>
        <v>0.51554278515573415</v>
      </c>
      <c r="S69" s="307">
        <f t="shared" ref="S69:S132" ca="1" si="50">S68-Débit*pas</f>
        <v>8.0062119420860292</v>
      </c>
      <c r="T69" s="304">
        <f t="shared" ca="1" si="30"/>
        <v>78.540939151863952</v>
      </c>
      <c r="U69" s="311">
        <f t="shared" ca="1" si="31"/>
        <v>0</v>
      </c>
      <c r="V69" s="306">
        <f t="shared" ca="1" si="32"/>
        <v>1.2221047387260318</v>
      </c>
      <c r="W69" s="304">
        <f t="shared" ca="1" si="33"/>
        <v>18.709675822472025</v>
      </c>
      <c r="Y69" s="314" t="str">
        <f t="shared" ref="Y69:Y132" ca="1" si="51">IF(AND(pos_z&lt;=0,K68&gt;0),"Impact balistique","") &amp; IF(AND(H70&lt;0,vit_z&gt;=0),"Apogée","") &amp; IF(AND(Poussee=0,Q68&gt;0),"Fin de propulsion","") &amp; IF(AND(L70&gt;L_rampe,pos_xz&lt;=L_rampe),"Sortie de rampe","")</f>
        <v/>
      </c>
      <c r="Z69" s="315" t="str">
        <f t="shared" ref="Z69:Z132" ca="1" si="52">IF(ABS(t-T_para)&lt;pas/2,"Para","")</f>
        <v/>
      </c>
      <c r="AA69" s="316" t="str">
        <f t="shared" ref="AA69:AA132" ca="1" si="53">IF(ABS(t-T_satellite)&lt;pas/2,"Satellite","")</f>
        <v/>
      </c>
      <c r="AC69" s="310" t="e">
        <f t="shared" ref="AC69:AC132" ca="1" si="54">IF(ABS(t-ROUND(t,0))&lt;0.001,t,NA())</f>
        <v>#N/A</v>
      </c>
      <c r="AD69" s="323" t="e">
        <f t="shared" ref="AD69:AD132" ca="1" si="55">IF(ABS(t-ROUND(t,0))&lt;0.001,pos_x,NA())</f>
        <v>#N/A</v>
      </c>
      <c r="AE69" s="324">
        <f t="shared" ca="1" si="34"/>
        <v>23.662749110406921</v>
      </c>
      <c r="AG69" s="306">
        <f t="shared" ref="AG69:AG132" ca="1" si="56">IF(AND(L68&lt;L_rampe,Poussee&lt;Poids*SIN(M68)),0,(-W68+Poussee)/m-Poids*SIN(M68)/m)</f>
        <v>116.51393972680773</v>
      </c>
      <c r="AH69" s="304">
        <f t="shared" ref="AH69:AH132" ca="1" si="57">IF(AND(L68&lt;L_rampe,Poussee&lt;Poids*SIN(M68)), g*SIN(M68), (-W68+Poussee)/m)</f>
        <v>126.28102678623448</v>
      </c>
    </row>
    <row r="70" spans="1:34" x14ac:dyDescent="0.2">
      <c r="A70" s="347">
        <f t="shared" ca="1" si="35"/>
        <v>0.01</v>
      </c>
      <c r="B70" s="304">
        <f t="shared" ca="1" si="36"/>
        <v>0.66000000000000036</v>
      </c>
      <c r="D70" s="306">
        <f t="shared" ca="1" si="37"/>
        <v>11.811136639678786</v>
      </c>
      <c r="E70" s="307">
        <f t="shared" ca="1" si="38"/>
        <v>115.88505129173066</v>
      </c>
      <c r="F70" s="304">
        <f t="shared" ca="1" si="39"/>
        <v>116.48539849100491</v>
      </c>
      <c r="G70" s="306">
        <f t="shared" ca="1" si="40"/>
        <v>7.1320592659161992</v>
      </c>
      <c r="H70" s="307">
        <f t="shared" ca="1" si="41"/>
        <v>75.801839404085911</v>
      </c>
      <c r="I70" s="304">
        <f t="shared" ca="1" si="42"/>
        <v>76.13662145390596</v>
      </c>
      <c r="J70" s="306">
        <f t="shared" ca="1" si="43"/>
        <v>2.2211596047364424</v>
      </c>
      <c r="K70" s="307">
        <f t="shared" ca="1" si="44"/>
        <v>24.414973251883193</v>
      </c>
      <c r="L70" s="304">
        <f t="shared" ca="1" si="29"/>
        <v>24.515800392397647</v>
      </c>
      <c r="M70" s="306">
        <f t="shared" ca="1" si="45"/>
        <v>1.476984294383948</v>
      </c>
      <c r="N70" s="304">
        <f t="shared" ca="1" si="46"/>
        <v>84.624966475308156</v>
      </c>
      <c r="P70" s="310">
        <f t="shared" ca="1" si="47"/>
        <v>5</v>
      </c>
      <c r="Q70" s="304">
        <f t="shared" ca="1" si="48"/>
        <v>1028.8333333333333</v>
      </c>
      <c r="R70" s="306">
        <f t="shared" ca="1" si="49"/>
        <v>0.51537580773544078</v>
      </c>
      <c r="S70" s="307">
        <f t="shared" ca="1" si="50"/>
        <v>8.0010581840086754</v>
      </c>
      <c r="T70" s="304">
        <f t="shared" ca="1" si="30"/>
        <v>78.490380785125112</v>
      </c>
      <c r="U70" s="311">
        <f t="shared" ca="1" si="31"/>
        <v>0</v>
      </c>
      <c r="V70" s="306">
        <f t="shared" ca="1" si="32"/>
        <v>1.2220128123819343</v>
      </c>
      <c r="W70" s="304">
        <f t="shared" ca="1" si="33"/>
        <v>19.294115979554725</v>
      </c>
      <c r="Y70" s="314" t="str">
        <f t="shared" ca="1" si="51"/>
        <v/>
      </c>
      <c r="Z70" s="315" t="str">
        <f t="shared" ca="1" si="52"/>
        <v/>
      </c>
      <c r="AA70" s="316" t="str">
        <f t="shared" ca="1" si="53"/>
        <v/>
      </c>
      <c r="AC70" s="310" t="e">
        <f t="shared" ca="1" si="54"/>
        <v>#N/A</v>
      </c>
      <c r="AD70" s="323" t="e">
        <f t="shared" ca="1" si="55"/>
        <v>#N/A</v>
      </c>
      <c r="AE70" s="324">
        <f t="shared" ca="1" si="34"/>
        <v>24.414973251883193</v>
      </c>
      <c r="AG70" s="306">
        <f t="shared" ca="1" si="56"/>
        <v>116.48178295717935</v>
      </c>
      <c r="AH70" s="304">
        <f t="shared" ca="1" si="57"/>
        <v>126.24875788676879</v>
      </c>
    </row>
    <row r="71" spans="1:34" x14ac:dyDescent="0.2">
      <c r="A71" s="347">
        <f t="shared" ca="1" si="35"/>
        <v>0.01</v>
      </c>
      <c r="B71" s="304">
        <f t="shared" ca="1" si="36"/>
        <v>0.67000000000000037</v>
      </c>
      <c r="D71" s="306">
        <f t="shared" ca="1" si="37"/>
        <v>11.82315630416347</v>
      </c>
      <c r="E71" s="307">
        <f t="shared" ca="1" si="38"/>
        <v>115.85034044340983</v>
      </c>
      <c r="F71" s="304">
        <f t="shared" ca="1" si="39"/>
        <v>116.45208630954896</v>
      </c>
      <c r="G71" s="306">
        <f t="shared" ca="1" si="40"/>
        <v>7.2502908289578336</v>
      </c>
      <c r="H71" s="307">
        <f t="shared" ca="1" si="41"/>
        <v>76.960342808520011</v>
      </c>
      <c r="I71" s="304">
        <f t="shared" ca="1" si="42"/>
        <v>77.301106604688314</v>
      </c>
      <c r="J71" s="306">
        <f t="shared" ca="1" si="43"/>
        <v>2.2930713552108126</v>
      </c>
      <c r="K71" s="307">
        <f t="shared" ca="1" si="44"/>
        <v>25.178784162946222</v>
      </c>
      <c r="L71" s="304">
        <f t="shared" ca="1" si="29"/>
        <v>25.282985349129952</v>
      </c>
      <c r="M71" s="306">
        <f t="shared" ca="1" si="45"/>
        <v>1.4768654155218137</v>
      </c>
      <c r="N71" s="304">
        <f t="shared" ca="1" si="46"/>
        <v>84.618155218234548</v>
      </c>
      <c r="P71" s="310">
        <f t="shared" ca="1" si="47"/>
        <v>5</v>
      </c>
      <c r="Q71" s="304">
        <f t="shared" ca="1" si="48"/>
        <v>1028.5</v>
      </c>
      <c r="R71" s="306">
        <f t="shared" ca="1" si="49"/>
        <v>0.51520883031514741</v>
      </c>
      <c r="S71" s="307">
        <f t="shared" ca="1" si="50"/>
        <v>7.9959060957055241</v>
      </c>
      <c r="T71" s="304">
        <f t="shared" ca="1" si="30"/>
        <v>78.439838798871193</v>
      </c>
      <c r="U71" s="311">
        <f t="shared" ca="1" si="31"/>
        <v>0</v>
      </c>
      <c r="V71" s="306">
        <f t="shared" ca="1" si="32"/>
        <v>1.2219194771310606</v>
      </c>
      <c r="W71" s="304">
        <f t="shared" ca="1" si="33"/>
        <v>19.887304927033437</v>
      </c>
      <c r="Y71" s="314" t="str">
        <f t="shared" ca="1" si="51"/>
        <v/>
      </c>
      <c r="Z71" s="315" t="str">
        <f t="shared" ca="1" si="52"/>
        <v/>
      </c>
      <c r="AA71" s="316" t="str">
        <f t="shared" ca="1" si="53"/>
        <v/>
      </c>
      <c r="AC71" s="310" t="e">
        <f t="shared" ca="1" si="54"/>
        <v>#N/A</v>
      </c>
      <c r="AD71" s="323" t="e">
        <f t="shared" ca="1" si="55"/>
        <v>#N/A</v>
      </c>
      <c r="AE71" s="324">
        <f t="shared" ca="1" si="34"/>
        <v>25.178784162946222</v>
      </c>
      <c r="AG71" s="306">
        <f t="shared" ca="1" si="56"/>
        <v>116.44846045656357</v>
      </c>
      <c r="AH71" s="304">
        <f t="shared" ca="1" si="57"/>
        <v>126.21532468502525</v>
      </c>
    </row>
    <row r="72" spans="1:34" x14ac:dyDescent="0.2">
      <c r="A72" s="347">
        <f t="shared" ca="1" si="35"/>
        <v>0.01</v>
      </c>
      <c r="B72" s="304">
        <f t="shared" ca="1" si="36"/>
        <v>0.68000000000000038</v>
      </c>
      <c r="D72" s="306">
        <f t="shared" ca="1" si="37"/>
        <v>11.834849576587082</v>
      </c>
      <c r="E72" s="307">
        <f t="shared" ca="1" si="38"/>
        <v>115.81448900168201</v>
      </c>
      <c r="F72" s="304">
        <f t="shared" ca="1" si="39"/>
        <v>116.4176083211692</v>
      </c>
      <c r="G72" s="306">
        <f t="shared" ca="1" si="40"/>
        <v>7.3686393247237048</v>
      </c>
      <c r="H72" s="307">
        <f t="shared" ca="1" si="41"/>
        <v>78.118487698536825</v>
      </c>
      <c r="I72" s="304">
        <f t="shared" ca="1" si="42"/>
        <v>78.46524686639502</v>
      </c>
      <c r="J72" s="306">
        <f t="shared" ca="1" si="43"/>
        <v>2.3661660059792204</v>
      </c>
      <c r="K72" s="307">
        <f t="shared" ca="1" si="44"/>
        <v>25.954178315481506</v>
      </c>
      <c r="L72" s="304">
        <f t="shared" ca="1" si="29"/>
        <v>26.061813321403061</v>
      </c>
      <c r="M72" s="306">
        <f t="shared" ca="1" si="45"/>
        <v>1.4767481524195631</v>
      </c>
      <c r="N72" s="304">
        <f t="shared" ca="1" si="46"/>
        <v>84.611436537382971</v>
      </c>
      <c r="P72" s="310">
        <f t="shared" ca="1" si="47"/>
        <v>5</v>
      </c>
      <c r="Q72" s="304">
        <f t="shared" ca="1" si="48"/>
        <v>1028.1666666666667</v>
      </c>
      <c r="R72" s="306">
        <f t="shared" ca="1" si="49"/>
        <v>0.51504185289485416</v>
      </c>
      <c r="S72" s="307">
        <f t="shared" ca="1" si="50"/>
        <v>7.9907556771765753</v>
      </c>
      <c r="T72" s="304">
        <f t="shared" ca="1" si="30"/>
        <v>78.389313193102211</v>
      </c>
      <c r="U72" s="311">
        <f t="shared" ca="1" si="31"/>
        <v>0</v>
      </c>
      <c r="V72" s="306">
        <f t="shared" ca="1" si="32"/>
        <v>1.2218247337277051</v>
      </c>
      <c r="W72" s="304">
        <f t="shared" ca="1" si="33"/>
        <v>20.489224754145653</v>
      </c>
      <c r="Y72" s="314" t="str">
        <f t="shared" ca="1" si="51"/>
        <v/>
      </c>
      <c r="Z72" s="315" t="str">
        <f t="shared" ca="1" si="52"/>
        <v/>
      </c>
      <c r="AA72" s="316" t="str">
        <f t="shared" ca="1" si="53"/>
        <v/>
      </c>
      <c r="AC72" s="310" t="e">
        <f t="shared" ca="1" si="54"/>
        <v>#N/A</v>
      </c>
      <c r="AD72" s="323" t="e">
        <f t="shared" ca="1" si="55"/>
        <v>#N/A</v>
      </c>
      <c r="AE72" s="324">
        <f t="shared" ca="1" si="34"/>
        <v>25.954178315481506</v>
      </c>
      <c r="AG72" s="306">
        <f t="shared" ca="1" si="56"/>
        <v>116.41397222332206</v>
      </c>
      <c r="AH72" s="304">
        <f t="shared" ca="1" si="57"/>
        <v>126.18072713942557</v>
      </c>
    </row>
    <row r="73" spans="1:34" x14ac:dyDescent="0.2">
      <c r="A73" s="347">
        <f t="shared" ca="1" si="35"/>
        <v>0.01</v>
      </c>
      <c r="B73" s="304">
        <f t="shared" ca="1" si="36"/>
        <v>0.69000000000000039</v>
      </c>
      <c r="D73" s="306">
        <f t="shared" ca="1" si="37"/>
        <v>11.846222229133108</v>
      </c>
      <c r="E73" s="307">
        <f t="shared" ca="1" si="38"/>
        <v>115.77749651047259</v>
      </c>
      <c r="F73" s="304">
        <f t="shared" ca="1" si="39"/>
        <v>116.38196457928737</v>
      </c>
      <c r="G73" s="306">
        <f t="shared" ca="1" si="40"/>
        <v>7.4871015470150359</v>
      </c>
      <c r="H73" s="307">
        <f t="shared" ca="1" si="41"/>
        <v>79.276262663641546</v>
      </c>
      <c r="I73" s="304">
        <f t="shared" ca="1" si="42"/>
        <v>79.62903058238247</v>
      </c>
      <c r="J73" s="306">
        <f t="shared" ca="1" si="43"/>
        <v>2.4404447103379141</v>
      </c>
      <c r="K73" s="307">
        <f t="shared" ca="1" si="44"/>
        <v>26.741152067292397</v>
      </c>
      <c r="L73" s="304">
        <f t="shared" ca="1" si="29"/>
        <v>26.852280802015176</v>
      </c>
      <c r="M73" s="306">
        <f t="shared" ca="1" si="45"/>
        <v>1.4766324592994153</v>
      </c>
      <c r="N73" s="304">
        <f t="shared" ca="1" si="46"/>
        <v>84.604807809879802</v>
      </c>
      <c r="P73" s="310">
        <f t="shared" ca="1" si="47"/>
        <v>5</v>
      </c>
      <c r="Q73" s="304">
        <f t="shared" ca="1" si="48"/>
        <v>1027.8333333333333</v>
      </c>
      <c r="R73" s="306">
        <f t="shared" ca="1" si="49"/>
        <v>0.51487487547456068</v>
      </c>
      <c r="S73" s="307">
        <f t="shared" ca="1" si="50"/>
        <v>7.9856069284218298</v>
      </c>
      <c r="T73" s="304">
        <f t="shared" ca="1" si="30"/>
        <v>78.338803967818151</v>
      </c>
      <c r="U73" s="311">
        <f t="shared" ca="1" si="31"/>
        <v>0</v>
      </c>
      <c r="V73" s="306">
        <f t="shared" ca="1" si="32"/>
        <v>1.2217285829448039</v>
      </c>
      <c r="W73" s="304">
        <f t="shared" ca="1" si="33"/>
        <v>21.099857136343953</v>
      </c>
      <c r="Y73" s="314" t="str">
        <f t="shared" ca="1" si="51"/>
        <v/>
      </c>
      <c r="Z73" s="315" t="str">
        <f t="shared" ca="1" si="52"/>
        <v/>
      </c>
      <c r="AA73" s="316" t="str">
        <f t="shared" ca="1" si="53"/>
        <v/>
      </c>
      <c r="AC73" s="310" t="e">
        <f t="shared" ca="1" si="54"/>
        <v>#N/A</v>
      </c>
      <c r="AD73" s="323" t="e">
        <f t="shared" ca="1" si="55"/>
        <v>#N/A</v>
      </c>
      <c r="AE73" s="324">
        <f t="shared" ca="1" si="34"/>
        <v>26.741152067292397</v>
      </c>
      <c r="AG73" s="306">
        <f t="shared" ca="1" si="56"/>
        <v>116.37831830742179</v>
      </c>
      <c r="AH73" s="304">
        <f t="shared" ca="1" si="57"/>
        <v>126.1449652616781</v>
      </c>
    </row>
    <row r="74" spans="1:34" x14ac:dyDescent="0.2">
      <c r="A74" s="347">
        <f t="shared" ca="1" si="35"/>
        <v>0.01</v>
      </c>
      <c r="B74" s="304">
        <f t="shared" ca="1" si="36"/>
        <v>0.7000000000000004</v>
      </c>
      <c r="D74" s="306">
        <f t="shared" ca="1" si="37"/>
        <v>11.85727978674613</v>
      </c>
      <c r="E74" s="307">
        <f t="shared" ca="1" si="38"/>
        <v>115.73936258679879</v>
      </c>
      <c r="F74" s="304">
        <f t="shared" ca="1" si="39"/>
        <v>116.34515518894483</v>
      </c>
      <c r="G74" s="306">
        <f t="shared" ca="1" si="40"/>
        <v>7.6056743448824973</v>
      </c>
      <c r="H74" s="307">
        <f t="shared" ca="1" si="41"/>
        <v>80.433656289509528</v>
      </c>
      <c r="I74" s="304">
        <f t="shared" ca="1" si="42"/>
        <v>80.792446097016764</v>
      </c>
      <c r="J74" s="306">
        <f t="shared" ca="1" si="43"/>
        <v>2.5159085897974016</v>
      </c>
      <c r="K74" s="307">
        <f t="shared" ca="1" si="44"/>
        <v>27.539701662058153</v>
      </c>
      <c r="L74" s="304">
        <f t="shared" ca="1" si="29"/>
        <v>27.654384167205475</v>
      </c>
      <c r="M74" s="306">
        <f t="shared" ca="1" si="45"/>
        <v>1.4765182923107376</v>
      </c>
      <c r="N74" s="304">
        <f t="shared" ca="1" si="46"/>
        <v>84.598266523268862</v>
      </c>
      <c r="P74" s="310">
        <f t="shared" ca="1" si="47"/>
        <v>5</v>
      </c>
      <c r="Q74" s="304">
        <f t="shared" ca="1" si="48"/>
        <v>1027.5</v>
      </c>
      <c r="R74" s="306">
        <f t="shared" ca="1" si="49"/>
        <v>0.51470789805426742</v>
      </c>
      <c r="S74" s="307">
        <f t="shared" ca="1" si="50"/>
        <v>7.9804598494412868</v>
      </c>
      <c r="T74" s="304">
        <f t="shared" ca="1" si="30"/>
        <v>78.288311123019028</v>
      </c>
      <c r="U74" s="311">
        <f t="shared" ca="1" si="31"/>
        <v>0</v>
      </c>
      <c r="V74" s="306">
        <f t="shared" ca="1" si="32"/>
        <v>1.2216310255739278</v>
      </c>
      <c r="W74" s="304">
        <f t="shared" ca="1" si="33"/>
        <v>21.71918333627006</v>
      </c>
      <c r="Y74" s="314" t="str">
        <f t="shared" ca="1" si="51"/>
        <v/>
      </c>
      <c r="Z74" s="315" t="str">
        <f t="shared" ca="1" si="52"/>
        <v/>
      </c>
      <c r="AA74" s="316" t="str">
        <f t="shared" ca="1" si="53"/>
        <v/>
      </c>
      <c r="AC74" s="310" t="e">
        <f t="shared" ca="1" si="54"/>
        <v>#N/A</v>
      </c>
      <c r="AD74" s="323" t="e">
        <f t="shared" ca="1" si="55"/>
        <v>#N/A</v>
      </c>
      <c r="AE74" s="324">
        <f t="shared" ca="1" si="34"/>
        <v>27.539701662058153</v>
      </c>
      <c r="AG74" s="306">
        <f t="shared" ca="1" si="56"/>
        <v>116.34149881058448</v>
      </c>
      <c r="AH74" s="304">
        <f t="shared" ca="1" si="57"/>
        <v>126.10803911683287</v>
      </c>
    </row>
    <row r="75" spans="1:34" x14ac:dyDescent="0.2">
      <c r="A75" s="347">
        <f t="shared" ca="1" si="35"/>
        <v>0.01</v>
      </c>
      <c r="B75" s="304">
        <f t="shared" ca="1" si="36"/>
        <v>0.71000000000000041</v>
      </c>
      <c r="D75" s="306">
        <f t="shared" ca="1" si="37"/>
        <v>11.868027541521206</v>
      </c>
      <c r="E75" s="307">
        <f t="shared" ca="1" si="38"/>
        <v>115.70008691970189</v>
      </c>
      <c r="F75" s="304">
        <f t="shared" ca="1" si="39"/>
        <v>116.30718030694784</v>
      </c>
      <c r="G75" s="306">
        <f t="shared" ca="1" si="40"/>
        <v>7.7243546202977091</v>
      </c>
      <c r="H75" s="307">
        <f t="shared" ca="1" si="41"/>
        <v>81.590657158706549</v>
      </c>
      <c r="I75" s="304">
        <f t="shared" ca="1" si="42"/>
        <v>81.955481756193137</v>
      </c>
      <c r="J75" s="306">
        <f t="shared" ca="1" si="43"/>
        <v>2.5925587346233026</v>
      </c>
      <c r="K75" s="307">
        <f t="shared" ca="1" si="44"/>
        <v>28.349823229299233</v>
      </c>
      <c r="L75" s="304">
        <f t="shared" ca="1" si="29"/>
        <v>28.468119676666142</v>
      </c>
      <c r="M75" s="306">
        <f t="shared" ca="1" si="45"/>
        <v>1.4764056094225984</v>
      </c>
      <c r="N75" s="304">
        <f t="shared" ca="1" si="46"/>
        <v>84.591810269355136</v>
      </c>
      <c r="P75" s="310">
        <f t="shared" ca="1" si="47"/>
        <v>5</v>
      </c>
      <c r="Q75" s="304">
        <f t="shared" ca="1" si="48"/>
        <v>1027.1666666666667</v>
      </c>
      <c r="R75" s="306">
        <f t="shared" ca="1" si="49"/>
        <v>0.51454092063397405</v>
      </c>
      <c r="S75" s="307">
        <f t="shared" ca="1" si="50"/>
        <v>7.9753144402349472</v>
      </c>
      <c r="T75" s="304">
        <f t="shared" ca="1" si="30"/>
        <v>78.237834658704841</v>
      </c>
      <c r="U75" s="311">
        <f t="shared" ca="1" si="31"/>
        <v>0</v>
      </c>
      <c r="V75" s="306">
        <f t="shared" ca="1" si="32"/>
        <v>1.2215320624252717</v>
      </c>
      <c r="W75" s="304">
        <f t="shared" ca="1" si="33"/>
        <v>22.347184204770404</v>
      </c>
      <c r="Y75" s="314" t="str">
        <f t="shared" ca="1" si="51"/>
        <v/>
      </c>
      <c r="Z75" s="315" t="str">
        <f t="shared" ca="1" si="52"/>
        <v/>
      </c>
      <c r="AA75" s="316" t="str">
        <f t="shared" ca="1" si="53"/>
        <v/>
      </c>
      <c r="AC75" s="310" t="e">
        <f t="shared" ca="1" si="54"/>
        <v>#N/A</v>
      </c>
      <c r="AD75" s="323" t="e">
        <f t="shared" ca="1" si="55"/>
        <v>#N/A</v>
      </c>
      <c r="AE75" s="324">
        <f t="shared" ca="1" si="34"/>
        <v>28.349823229299233</v>
      </c>
      <c r="AG75" s="306">
        <f t="shared" ca="1" si="56"/>
        <v>116.30351388642443</v>
      </c>
      <c r="AH75" s="304">
        <f t="shared" ca="1" si="57"/>
        <v>126.06994882333153</v>
      </c>
    </row>
    <row r="76" spans="1:34" x14ac:dyDescent="0.2">
      <c r="A76" s="347">
        <f t="shared" ca="1" si="35"/>
        <v>0.01</v>
      </c>
      <c r="B76" s="304">
        <f t="shared" ca="1" si="36"/>
        <v>0.72000000000000042</v>
      </c>
      <c r="D76" s="306">
        <f t="shared" ca="1" si="37"/>
        <v>11.877474112605027</v>
      </c>
      <c r="E76" s="307">
        <f t="shared" ca="1" si="38"/>
        <v>115.64914395054264</v>
      </c>
      <c r="F76" s="304">
        <f t="shared" ca="1" si="39"/>
        <v>116.2574680946946</v>
      </c>
      <c r="G76" s="306">
        <f t="shared" ca="1" si="40"/>
        <v>7.8431293614237596</v>
      </c>
      <c r="H76" s="307">
        <f t="shared" ca="1" si="41"/>
        <v>82.747148598211979</v>
      </c>
      <c r="I76" s="304">
        <f t="shared" ca="1" si="42"/>
        <v>83.118020184040731</v>
      </c>
      <c r="J76" s="306">
        <f t="shared" ca="1" si="43"/>
        <v>2.6703961545319097</v>
      </c>
      <c r="K76" s="307">
        <f t="shared" ca="1" si="44"/>
        <v>29.171512258083826</v>
      </c>
      <c r="L76" s="304">
        <f t="shared" ca="1" si="29"/>
        <v>29.293482944943126</v>
      </c>
      <c r="M76" s="306">
        <f t="shared" ca="1" si="45"/>
        <v>1.4762943701822446</v>
      </c>
      <c r="N76" s="304">
        <f t="shared" ca="1" si="46"/>
        <v>84.585436730366624</v>
      </c>
      <c r="P76" s="310">
        <f t="shared" ca="1" si="47"/>
        <v>6</v>
      </c>
      <c r="Q76" s="304">
        <f t="shared" ca="1" si="48"/>
        <v>1026.7491228070176</v>
      </c>
      <c r="R76" s="306">
        <f t="shared" ca="1" si="49"/>
        <v>0.51433175944434339</v>
      </c>
      <c r="S76" s="307">
        <f t="shared" ca="1" si="50"/>
        <v>7.9701711226405036</v>
      </c>
      <c r="T76" s="304">
        <f t="shared" ca="1" si="30"/>
        <v>78.187378713103342</v>
      </c>
      <c r="U76" s="311">
        <f t="shared" ca="1" si="31"/>
        <v>0</v>
      </c>
      <c r="V76" s="306">
        <f t="shared" ca="1" si="32"/>
        <v>1.2214316943919243</v>
      </c>
      <c r="W76" s="304">
        <f t="shared" ca="1" si="33"/>
        <v>22.983781713660093</v>
      </c>
      <c r="Y76" s="314" t="str">
        <f t="shared" ca="1" si="51"/>
        <v/>
      </c>
      <c r="Z76" s="315" t="str">
        <f t="shared" ca="1" si="52"/>
        <v/>
      </c>
      <c r="AA76" s="316" t="str">
        <f t="shared" ca="1" si="53"/>
        <v/>
      </c>
      <c r="AC76" s="310" t="e">
        <f t="shared" ca="1" si="54"/>
        <v>#N/A</v>
      </c>
      <c r="AD76" s="323" t="e">
        <f t="shared" ca="1" si="55"/>
        <v>#N/A</v>
      </c>
      <c r="AE76" s="324">
        <f t="shared" ca="1" si="34"/>
        <v>29.171512258083826</v>
      </c>
      <c r="AG76" s="306">
        <f t="shared" ca="1" si="56"/>
        <v>116.25379135893881</v>
      </c>
      <c r="AH76" s="304">
        <f t="shared" ca="1" si="57"/>
        <v>126.02012217141588</v>
      </c>
    </row>
    <row r="77" spans="1:34" x14ac:dyDescent="0.2">
      <c r="A77" s="347">
        <f t="shared" ca="1" si="35"/>
        <v>0.01</v>
      </c>
      <c r="B77" s="304">
        <f t="shared" ca="1" si="36"/>
        <v>0.73000000000000043</v>
      </c>
      <c r="D77" s="306">
        <f t="shared" ca="1" si="37"/>
        <v>11.885619002865599</v>
      </c>
      <c r="E77" s="307">
        <f t="shared" ca="1" si="38"/>
        <v>115.58651413237897</v>
      </c>
      <c r="F77" s="304">
        <f t="shared" ca="1" si="39"/>
        <v>116.19599902043066</v>
      </c>
      <c r="G77" s="306">
        <f t="shared" ca="1" si="40"/>
        <v>7.9619855514524156</v>
      </c>
      <c r="H77" s="307">
        <f t="shared" ca="1" si="41"/>
        <v>83.903013739535766</v>
      </c>
      <c r="I77" s="304">
        <f t="shared" ca="1" si="42"/>
        <v>84.279943809297023</v>
      </c>
      <c r="J77" s="306">
        <f t="shared" ca="1" si="43"/>
        <v>2.7494217290962908</v>
      </c>
      <c r="K77" s="307">
        <f t="shared" ca="1" si="44"/>
        <v>30.004763069772565</v>
      </c>
      <c r="L77" s="304">
        <f t="shared" ca="1" si="29"/>
        <v>30.130468411852053</v>
      </c>
      <c r="M77" s="306">
        <f t="shared" ca="1" si="45"/>
        <v>1.4761845356363124</v>
      </c>
      <c r="N77" s="304">
        <f t="shared" ca="1" si="46"/>
        <v>84.579143674439962</v>
      </c>
      <c r="P77" s="310">
        <f t="shared" ca="1" si="47"/>
        <v>6</v>
      </c>
      <c r="Q77" s="304">
        <f t="shared" ca="1" si="48"/>
        <v>1026.2473684210527</v>
      </c>
      <c r="R77" s="306">
        <f t="shared" ca="1" si="49"/>
        <v>0.51408041448537556</v>
      </c>
      <c r="S77" s="307">
        <f t="shared" ca="1" si="50"/>
        <v>7.9650303184956499</v>
      </c>
      <c r="T77" s="304">
        <f t="shared" ca="1" si="30"/>
        <v>78.136947424442326</v>
      </c>
      <c r="U77" s="311">
        <f t="shared" ca="1" si="31"/>
        <v>0</v>
      </c>
      <c r="V77" s="306">
        <f t="shared" ca="1" si="32"/>
        <v>1.2213299225142231</v>
      </c>
      <c r="W77" s="304">
        <f t="shared" ca="1" si="33"/>
        <v>23.62889406662369</v>
      </c>
      <c r="Y77" s="314" t="str">
        <f t="shared" ca="1" si="51"/>
        <v/>
      </c>
      <c r="Z77" s="315" t="str">
        <f t="shared" ca="1" si="52"/>
        <v/>
      </c>
      <c r="AA77" s="316" t="str">
        <f t="shared" ca="1" si="53"/>
        <v/>
      </c>
      <c r="AC77" s="310" t="e">
        <f t="shared" ca="1" si="54"/>
        <v>#N/A</v>
      </c>
      <c r="AD77" s="323" t="e">
        <f t="shared" ca="1" si="55"/>
        <v>#N/A</v>
      </c>
      <c r="AE77" s="324">
        <f t="shared" ca="1" si="34"/>
        <v>30.004763069772565</v>
      </c>
      <c r="AG77" s="306">
        <f t="shared" ca="1" si="56"/>
        <v>116.1923116895379</v>
      </c>
      <c r="AH77" s="304">
        <f t="shared" ca="1" si="57"/>
        <v>125.95853958995079</v>
      </c>
    </row>
    <row r="78" spans="1:34" x14ac:dyDescent="0.2">
      <c r="A78" s="347">
        <f t="shared" ca="1" si="35"/>
        <v>0.01</v>
      </c>
      <c r="B78" s="304">
        <f t="shared" ca="1" si="36"/>
        <v>0.74000000000000044</v>
      </c>
      <c r="D78" s="306">
        <f t="shared" ca="1" si="37"/>
        <v>11.893461723284533</v>
      </c>
      <c r="E78" s="307">
        <f t="shared" ca="1" si="38"/>
        <v>115.52271706293773</v>
      </c>
      <c r="F78" s="304">
        <f t="shared" ca="1" si="39"/>
        <v>116.13333969780942</v>
      </c>
      <c r="G78" s="306">
        <f t="shared" ca="1" si="40"/>
        <v>8.0809201686852603</v>
      </c>
      <c r="H78" s="307">
        <f t="shared" ca="1" si="41"/>
        <v>85.058240910165139</v>
      </c>
      <c r="I78" s="304">
        <f t="shared" ca="1" si="42"/>
        <v>85.441240730131923</v>
      </c>
      <c r="J78" s="306">
        <f t="shared" ca="1" si="43"/>
        <v>2.8296362576969791</v>
      </c>
      <c r="K78" s="307">
        <f t="shared" ca="1" si="44"/>
        <v>30.84956934302107</v>
      </c>
      <c r="L78" s="304">
        <f t="shared" ca="1" si="29"/>
        <v>30.979069869845009</v>
      </c>
      <c r="M78" s="306">
        <f t="shared" ca="1" si="45"/>
        <v>1.476076068391267</v>
      </c>
      <c r="N78" s="304">
        <f t="shared" ca="1" si="46"/>
        <v>84.572928959083455</v>
      </c>
      <c r="P78" s="310">
        <f t="shared" ca="1" si="47"/>
        <v>6</v>
      </c>
      <c r="Q78" s="304">
        <f t="shared" ca="1" si="48"/>
        <v>1025.7456140350878</v>
      </c>
      <c r="R78" s="306">
        <f t="shared" ca="1" si="49"/>
        <v>0.51382906952640761</v>
      </c>
      <c r="S78" s="307">
        <f t="shared" ca="1" si="50"/>
        <v>7.959892027800386</v>
      </c>
      <c r="T78" s="304">
        <f t="shared" ca="1" si="30"/>
        <v>78.086540792721792</v>
      </c>
      <c r="U78" s="311">
        <f t="shared" ca="1" si="31"/>
        <v>0</v>
      </c>
      <c r="V78" s="306">
        <f t="shared" ca="1" si="32"/>
        <v>1.2212267479155716</v>
      </c>
      <c r="W78" s="304">
        <f t="shared" ca="1" si="33"/>
        <v>24.282495871382718</v>
      </c>
      <c r="Y78" s="314" t="str">
        <f t="shared" ca="1" si="51"/>
        <v/>
      </c>
      <c r="Z78" s="315" t="str">
        <f t="shared" ca="1" si="52"/>
        <v/>
      </c>
      <c r="AA78" s="316" t="str">
        <f t="shared" ca="1" si="53"/>
        <v/>
      </c>
      <c r="AC78" s="310" t="e">
        <f t="shared" ca="1" si="54"/>
        <v>#N/A</v>
      </c>
      <c r="AD78" s="323" t="e">
        <f t="shared" ca="1" si="55"/>
        <v>#N/A</v>
      </c>
      <c r="AE78" s="324">
        <f t="shared" ca="1" si="34"/>
        <v>30.84956934302107</v>
      </c>
      <c r="AG78" s="306">
        <f t="shared" ca="1" si="56"/>
        <v>116.12964182206836</v>
      </c>
      <c r="AH78" s="304">
        <f t="shared" ca="1" si="57"/>
        <v>125.89576799138896</v>
      </c>
    </row>
    <row r="79" spans="1:34" x14ac:dyDescent="0.2">
      <c r="A79" s="347">
        <f t="shared" ca="1" si="35"/>
        <v>0.01</v>
      </c>
      <c r="B79" s="304">
        <f t="shared" ca="1" si="36"/>
        <v>0.75000000000000044</v>
      </c>
      <c r="D79" s="306">
        <f t="shared" ca="1" si="37"/>
        <v>11.9010069265374</v>
      </c>
      <c r="E79" s="307">
        <f t="shared" ca="1" si="38"/>
        <v>115.45775331275878</v>
      </c>
      <c r="F79" s="304">
        <f t="shared" ca="1" si="39"/>
        <v>116.06949110724727</v>
      </c>
      <c r="G79" s="306">
        <f t="shared" ca="1" si="40"/>
        <v>8.1999302379506336</v>
      </c>
      <c r="H79" s="307">
        <f t="shared" ca="1" si="41"/>
        <v>86.212818443292733</v>
      </c>
      <c r="I79" s="304">
        <f t="shared" ca="1" si="42"/>
        <v>86.601899054486168</v>
      </c>
      <c r="J79" s="306">
        <f t="shared" ca="1" si="43"/>
        <v>2.9110405097301584</v>
      </c>
      <c r="K79" s="307">
        <f t="shared" ca="1" si="44"/>
        <v>31.705924639788361</v>
      </c>
      <c r="L79" s="304">
        <f t="shared" ca="1" si="29"/>
        <v>31.83928099240353</v>
      </c>
      <c r="M79" s="306">
        <f t="shared" ca="1" si="45"/>
        <v>1.4759689325306264</v>
      </c>
      <c r="N79" s="304">
        <f t="shared" ca="1" si="46"/>
        <v>84.566790526434247</v>
      </c>
      <c r="P79" s="310">
        <f t="shared" ca="1" si="47"/>
        <v>6</v>
      </c>
      <c r="Q79" s="304">
        <f t="shared" ca="1" si="48"/>
        <v>1025.2438596491227</v>
      </c>
      <c r="R79" s="306">
        <f t="shared" ca="1" si="49"/>
        <v>0.51357772456743966</v>
      </c>
      <c r="S79" s="307">
        <f t="shared" ca="1" si="50"/>
        <v>7.9547562505547118</v>
      </c>
      <c r="T79" s="304">
        <f t="shared" ca="1" si="30"/>
        <v>78.036158817941725</v>
      </c>
      <c r="U79" s="311">
        <f t="shared" ca="1" si="31"/>
        <v>0</v>
      </c>
      <c r="V79" s="306">
        <f t="shared" ca="1" si="32"/>
        <v>1.221122171738158</v>
      </c>
      <c r="W79" s="304">
        <f t="shared" ca="1" si="33"/>
        <v>24.944561331657876</v>
      </c>
      <c r="Y79" s="314" t="str">
        <f t="shared" ca="1" si="51"/>
        <v/>
      </c>
      <c r="Z79" s="315" t="str">
        <f t="shared" ca="1" si="52"/>
        <v/>
      </c>
      <c r="AA79" s="316" t="str">
        <f t="shared" ca="1" si="53"/>
        <v/>
      </c>
      <c r="AC79" s="310" t="e">
        <f t="shared" ca="1" si="54"/>
        <v>#N/A</v>
      </c>
      <c r="AD79" s="323" t="e">
        <f t="shared" ca="1" si="55"/>
        <v>#N/A</v>
      </c>
      <c r="AE79" s="324">
        <f t="shared" ca="1" si="34"/>
        <v>31.705924639788361</v>
      </c>
      <c r="AG79" s="306">
        <f t="shared" ca="1" si="56"/>
        <v>116.06578273419299</v>
      </c>
      <c r="AH79" s="304">
        <f t="shared" ca="1" si="57"/>
        <v>125.83180832322041</v>
      </c>
    </row>
    <row r="80" spans="1:34" x14ac:dyDescent="0.2">
      <c r="A80" s="347">
        <f t="shared" ca="1" si="35"/>
        <v>0.01</v>
      </c>
      <c r="B80" s="304">
        <f t="shared" ca="1" si="36"/>
        <v>0.76000000000000045</v>
      </c>
      <c r="D80" s="306">
        <f t="shared" ca="1" si="37"/>
        <v>11.908259086056157</v>
      </c>
      <c r="E80" s="307">
        <f t="shared" ca="1" si="38"/>
        <v>115.39162352240129</v>
      </c>
      <c r="F80" s="304">
        <f t="shared" ca="1" si="39"/>
        <v>116.00445428342928</v>
      </c>
      <c r="G80" s="306">
        <f t="shared" ca="1" si="40"/>
        <v>8.3190128288111946</v>
      </c>
      <c r="H80" s="307">
        <f t="shared" ca="1" si="41"/>
        <v>87.36673467851675</v>
      </c>
      <c r="I80" s="304">
        <f t="shared" ca="1" si="42"/>
        <v>87.761906900615301</v>
      </c>
      <c r="J80" s="306">
        <f t="shared" ca="1" si="43"/>
        <v>2.9936352250639677</v>
      </c>
      <c r="K80" s="307">
        <f t="shared" ca="1" si="44"/>
        <v>32.573822405397408</v>
      </c>
      <c r="L80" s="304">
        <f t="shared" ca="1" si="29"/>
        <v>32.711095334138747</v>
      </c>
      <c r="M80" s="306">
        <f t="shared" ca="1" si="45"/>
        <v>1.4758630935376258</v>
      </c>
      <c r="N80" s="304">
        <f t="shared" ca="1" si="46"/>
        <v>84.560726398827398</v>
      </c>
      <c r="P80" s="310">
        <f t="shared" ca="1" si="47"/>
        <v>6</v>
      </c>
      <c r="Q80" s="304">
        <f t="shared" ca="1" si="48"/>
        <v>1024.7421052631578</v>
      </c>
      <c r="R80" s="306">
        <f t="shared" ca="1" si="49"/>
        <v>0.51332637960847183</v>
      </c>
      <c r="S80" s="307">
        <f t="shared" ca="1" si="50"/>
        <v>7.9496229867586274</v>
      </c>
      <c r="T80" s="304">
        <f t="shared" ca="1" si="30"/>
        <v>77.985801500102141</v>
      </c>
      <c r="U80" s="311">
        <f t="shared" ca="1" si="31"/>
        <v>0</v>
      </c>
      <c r="V80" s="306">
        <f t="shared" ca="1" si="32"/>
        <v>1.2210161951429346</v>
      </c>
      <c r="W80" s="304">
        <f t="shared" ca="1" si="33"/>
        <v>25.615064248890064</v>
      </c>
      <c r="Y80" s="314" t="str">
        <f t="shared" ca="1" si="51"/>
        <v/>
      </c>
      <c r="Z80" s="315" t="str">
        <f t="shared" ca="1" si="52"/>
        <v/>
      </c>
      <c r="AA80" s="316" t="str">
        <f t="shared" ca="1" si="53"/>
        <v/>
      </c>
      <c r="AC80" s="310" t="e">
        <f t="shared" ca="1" si="54"/>
        <v>#N/A</v>
      </c>
      <c r="AD80" s="323" t="e">
        <f t="shared" ca="1" si="55"/>
        <v>#N/A</v>
      </c>
      <c r="AE80" s="324">
        <f t="shared" ca="1" si="34"/>
        <v>32.573822405397408</v>
      </c>
      <c r="AG80" s="306">
        <f t="shared" ca="1" si="56"/>
        <v>116.00073545793997</v>
      </c>
      <c r="AH80" s="304">
        <f t="shared" ca="1" si="57"/>
        <v>125.76666158845812</v>
      </c>
    </row>
    <row r="81" spans="1:34" x14ac:dyDescent="0.2">
      <c r="A81" s="347">
        <f t="shared" ca="1" si="35"/>
        <v>0.01</v>
      </c>
      <c r="B81" s="304">
        <f t="shared" ca="1" si="36"/>
        <v>0.77000000000000046</v>
      </c>
      <c r="D81" s="306">
        <f t="shared" ca="1" si="37"/>
        <v>11.915222505779219</v>
      </c>
      <c r="E81" s="307">
        <f t="shared" ca="1" si="38"/>
        <v>115.32432840163872</v>
      </c>
      <c r="F81" s="304">
        <f t="shared" ca="1" si="39"/>
        <v>115.93823031533319</v>
      </c>
      <c r="G81" s="306">
        <f t="shared" ca="1" si="40"/>
        <v>8.4381650538689872</v>
      </c>
      <c r="H81" s="307">
        <f t="shared" ca="1" si="41"/>
        <v>88.519977962533133</v>
      </c>
      <c r="I81" s="304">
        <f t="shared" ca="1" si="42"/>
        <v>88.921252397633751</v>
      </c>
      <c r="J81" s="306">
        <f t="shared" ca="1" si="43"/>
        <v>3.0774211144773687</v>
      </c>
      <c r="K81" s="307">
        <f t="shared" ca="1" si="44"/>
        <v>33.453255968602654</v>
      </c>
      <c r="L81" s="304">
        <f t="shared" ca="1" si="29"/>
        <v>33.594506330897026</v>
      </c>
      <c r="M81" s="306">
        <f t="shared" ca="1" si="45"/>
        <v>1.4757585182228961</v>
      </c>
      <c r="N81" s="304">
        <f t="shared" ca="1" si="46"/>
        <v>84.554734674652138</v>
      </c>
      <c r="P81" s="310">
        <f t="shared" ca="1" si="47"/>
        <v>6</v>
      </c>
      <c r="Q81" s="304">
        <f t="shared" ca="1" si="48"/>
        <v>1024.2403508771929</v>
      </c>
      <c r="R81" s="306">
        <f t="shared" ca="1" si="49"/>
        <v>0.51307503464950388</v>
      </c>
      <c r="S81" s="307">
        <f t="shared" ca="1" si="50"/>
        <v>7.944492236412132</v>
      </c>
      <c r="T81" s="304">
        <f t="shared" ca="1" si="30"/>
        <v>77.935468839203025</v>
      </c>
      <c r="U81" s="311">
        <f t="shared" ca="1" si="31"/>
        <v>0</v>
      </c>
      <c r="V81" s="306">
        <f t="shared" ca="1" si="32"/>
        <v>1.2209088193095889</v>
      </c>
      <c r="W81" s="304">
        <f t="shared" ca="1" si="33"/>
        <v>26.293978024002229</v>
      </c>
      <c r="Y81" s="314" t="str">
        <f t="shared" ca="1" si="51"/>
        <v/>
      </c>
      <c r="Z81" s="315" t="str">
        <f t="shared" ca="1" si="52"/>
        <v/>
      </c>
      <c r="AA81" s="316" t="str">
        <f t="shared" ca="1" si="53"/>
        <v/>
      </c>
      <c r="AC81" s="310" t="e">
        <f t="shared" ca="1" si="54"/>
        <v>#N/A</v>
      </c>
      <c r="AD81" s="323" t="e">
        <f t="shared" ca="1" si="55"/>
        <v>#N/A</v>
      </c>
      <c r="AE81" s="324">
        <f t="shared" ca="1" si="34"/>
        <v>33.453255968602654</v>
      </c>
      <c r="AG81" s="306">
        <f t="shared" ca="1" si="56"/>
        <v>115.93450107972173</v>
      </c>
      <c r="AH81" s="304">
        <f t="shared" ca="1" si="57"/>
        <v>125.70032884559768</v>
      </c>
    </row>
    <row r="82" spans="1:34" x14ac:dyDescent="0.2">
      <c r="A82" s="347">
        <f t="shared" ca="1" si="35"/>
        <v>0.01</v>
      </c>
      <c r="B82" s="304">
        <f t="shared" ca="1" si="36"/>
        <v>0.78000000000000047</v>
      </c>
      <c r="D82" s="306">
        <f t="shared" ca="1" si="37"/>
        <v>11.921901329267595</v>
      </c>
      <c r="E82" s="307">
        <f t="shared" ca="1" si="38"/>
        <v>115.25586872869746</v>
      </c>
      <c r="F82" s="304">
        <f t="shared" ca="1" si="39"/>
        <v>115.87082034624393</v>
      </c>
      <c r="G82" s="306">
        <f t="shared" ca="1" si="40"/>
        <v>8.5573840671616637</v>
      </c>
      <c r="H82" s="307">
        <f t="shared" ca="1" si="41"/>
        <v>89.672536649820103</v>
      </c>
      <c r="I82" s="304">
        <f t="shared" ca="1" si="42"/>
        <v>90.079923686059161</v>
      </c>
      <c r="J82" s="306">
        <f t="shared" ca="1" si="43"/>
        <v>3.1623988600825217</v>
      </c>
      <c r="K82" s="307">
        <f t="shared" ca="1" si="44"/>
        <v>34.344218541664418</v>
      </c>
      <c r="L82" s="304">
        <f t="shared" ca="1" si="29"/>
        <v>34.489507299871029</v>
      </c>
      <c r="M82" s="306">
        <f t="shared" ca="1" si="45"/>
        <v>1.4756551746567763</v>
      </c>
      <c r="N82" s="304">
        <f t="shared" ca="1" si="46"/>
        <v>84.548813524473644</v>
      </c>
      <c r="P82" s="310">
        <f t="shared" ca="1" si="47"/>
        <v>6</v>
      </c>
      <c r="Q82" s="304">
        <f t="shared" ca="1" si="48"/>
        <v>1023.738596491228</v>
      </c>
      <c r="R82" s="306">
        <f t="shared" ca="1" si="49"/>
        <v>0.51282368969053604</v>
      </c>
      <c r="S82" s="307">
        <f t="shared" ca="1" si="50"/>
        <v>7.9393639995152263</v>
      </c>
      <c r="T82" s="304">
        <f t="shared" ca="1" si="30"/>
        <v>77.885160835244378</v>
      </c>
      <c r="U82" s="311">
        <f t="shared" ca="1" si="31"/>
        <v>0</v>
      </c>
      <c r="V82" s="306">
        <f t="shared" ca="1" si="32"/>
        <v>1.2208000454365158</v>
      </c>
      <c r="W82" s="304">
        <f t="shared" ca="1" si="33"/>
        <v>26.981275659202076</v>
      </c>
      <c r="Y82" s="314" t="str">
        <f t="shared" ca="1" si="51"/>
        <v/>
      </c>
      <c r="Z82" s="315" t="str">
        <f t="shared" ca="1" si="52"/>
        <v/>
      </c>
      <c r="AA82" s="316" t="str">
        <f t="shared" ca="1" si="53"/>
        <v/>
      </c>
      <c r="AC82" s="310" t="e">
        <f t="shared" ca="1" si="54"/>
        <v>#N/A</v>
      </c>
      <c r="AD82" s="323" t="e">
        <f t="shared" ca="1" si="55"/>
        <v>#N/A</v>
      </c>
      <c r="AE82" s="324">
        <f t="shared" ca="1" si="34"/>
        <v>34.344218541664418</v>
      </c>
      <c r="AG82" s="306">
        <f t="shared" ca="1" si="56"/>
        <v>115.86708074034482</v>
      </c>
      <c r="AH82" s="304">
        <f t="shared" ca="1" si="57"/>
        <v>125.63281120857154</v>
      </c>
    </row>
    <row r="83" spans="1:34" x14ac:dyDescent="0.2">
      <c r="A83" s="347">
        <f t="shared" ca="1" si="35"/>
        <v>0.01</v>
      </c>
      <c r="B83" s="304">
        <f t="shared" ca="1" si="36"/>
        <v>0.79000000000000048</v>
      </c>
      <c r="D83" s="306">
        <f t="shared" ca="1" si="37"/>
        <v>11.928299548235026</v>
      </c>
      <c r="E83" s="307">
        <f t="shared" ca="1" si="38"/>
        <v>115.18624534953453</v>
      </c>
      <c r="F83" s="304">
        <f t="shared" ca="1" si="39"/>
        <v>115.80222557375825</v>
      </c>
      <c r="G83" s="306">
        <f t="shared" ca="1" si="40"/>
        <v>8.6766670626440145</v>
      </c>
      <c r="H83" s="307">
        <f t="shared" ca="1" si="41"/>
        <v>90.824399103315443</v>
      </c>
      <c r="I83" s="304">
        <f t="shared" ca="1" si="42"/>
        <v>91.237908918356396</v>
      </c>
      <c r="J83" s="306">
        <f t="shared" ca="1" si="43"/>
        <v>3.2485691157315499</v>
      </c>
      <c r="K83" s="307">
        <f t="shared" ca="1" si="44"/>
        <v>35.246703220430092</v>
      </c>
      <c r="L83" s="304">
        <f t="shared" ca="1" si="29"/>
        <v>35.396091439716365</v>
      </c>
      <c r="M83" s="306">
        <f t="shared" ca="1" si="45"/>
        <v>1.4755530321059001</v>
      </c>
      <c r="N83" s="304">
        <f t="shared" ca="1" si="46"/>
        <v>84.542961187399726</v>
      </c>
      <c r="P83" s="310">
        <f t="shared" ca="1" si="47"/>
        <v>6</v>
      </c>
      <c r="Q83" s="304">
        <f t="shared" ca="1" si="48"/>
        <v>1023.2368421052631</v>
      </c>
      <c r="R83" s="306">
        <f t="shared" ca="1" si="49"/>
        <v>0.5125723447315681</v>
      </c>
      <c r="S83" s="307">
        <f t="shared" ca="1" si="50"/>
        <v>7.9342382760679104</v>
      </c>
      <c r="T83" s="304">
        <f t="shared" ca="1" si="30"/>
        <v>77.834877488226212</v>
      </c>
      <c r="U83" s="311">
        <f t="shared" ca="1" si="31"/>
        <v>0</v>
      </c>
      <c r="V83" s="306">
        <f t="shared" ca="1" si="32"/>
        <v>1.2206898747407902</v>
      </c>
      <c r="W83" s="304">
        <f t="shared" ca="1" si="33"/>
        <v>27.676929759825271</v>
      </c>
      <c r="Y83" s="314" t="str">
        <f t="shared" ca="1" si="51"/>
        <v/>
      </c>
      <c r="Z83" s="315" t="str">
        <f t="shared" ca="1" si="52"/>
        <v/>
      </c>
      <c r="AA83" s="316" t="str">
        <f t="shared" ca="1" si="53"/>
        <v/>
      </c>
      <c r="AC83" s="310" t="e">
        <f t="shared" ca="1" si="54"/>
        <v>#N/A</v>
      </c>
      <c r="AD83" s="323" t="e">
        <f t="shared" ca="1" si="55"/>
        <v>#N/A</v>
      </c>
      <c r="AE83" s="324">
        <f t="shared" ca="1" si="34"/>
        <v>35.246703220430092</v>
      </c>
      <c r="AG83" s="306">
        <f t="shared" ca="1" si="56"/>
        <v>115.79847563501025</v>
      </c>
      <c r="AH83" s="304">
        <f t="shared" ca="1" si="57"/>
        <v>125.56410984669726</v>
      </c>
    </row>
    <row r="84" spans="1:34" x14ac:dyDescent="0.2">
      <c r="A84" s="347">
        <f t="shared" ca="1" si="35"/>
        <v>0.01</v>
      </c>
      <c r="B84" s="304">
        <f t="shared" ca="1" si="36"/>
        <v>0.80000000000000049</v>
      </c>
      <c r="D84" s="306">
        <f t="shared" ca="1" si="37"/>
        <v>11.934421010537774</v>
      </c>
      <c r="E84" s="307">
        <f t="shared" ca="1" si="38"/>
        <v>115.11545917715212</v>
      </c>
      <c r="F84" s="304">
        <f t="shared" ca="1" si="39"/>
        <v>115.732447249781</v>
      </c>
      <c r="G84" s="306">
        <f t="shared" ca="1" si="40"/>
        <v>8.7960112727493929</v>
      </c>
      <c r="H84" s="307">
        <f t="shared" ca="1" si="41"/>
        <v>91.975553695086958</v>
      </c>
      <c r="I84" s="304">
        <f t="shared" ca="1" si="42"/>
        <v>92.395196259481793</v>
      </c>
      <c r="J84" s="306">
        <f t="shared" ca="1" si="43"/>
        <v>3.3359325074085171</v>
      </c>
      <c r="K84" s="307">
        <f t="shared" ca="1" si="44"/>
        <v>36.160702984422102</v>
      </c>
      <c r="L84" s="304">
        <f t="shared" ca="1" si="29"/>
        <v>36.314251830673562</v>
      </c>
      <c r="M84" s="306">
        <f t="shared" ca="1" si="45"/>
        <v>1.4754520609737403</v>
      </c>
      <c r="N84" s="304">
        <f t="shared" ca="1" si="46"/>
        <v>84.537175967674315</v>
      </c>
      <c r="P84" s="310">
        <f t="shared" ca="1" si="47"/>
        <v>6</v>
      </c>
      <c r="Q84" s="304">
        <f t="shared" ca="1" si="48"/>
        <v>1022.7350877192982</v>
      </c>
      <c r="R84" s="306">
        <f t="shared" ca="1" si="49"/>
        <v>0.51232099977260026</v>
      </c>
      <c r="S84" s="307">
        <f t="shared" ca="1" si="50"/>
        <v>7.9291150660701843</v>
      </c>
      <c r="T84" s="304">
        <f t="shared" ca="1" si="30"/>
        <v>77.784618798148514</v>
      </c>
      <c r="U84" s="311">
        <f t="shared" ca="1" si="31"/>
        <v>0</v>
      </c>
      <c r="V84" s="306">
        <f t="shared" ca="1" si="32"/>
        <v>1.220578308458135</v>
      </c>
      <c r="W84" s="304">
        <f t="shared" ca="1" si="33"/>
        <v>28.380912536219022</v>
      </c>
      <c r="Y84" s="314" t="str">
        <f t="shared" ca="1" si="51"/>
        <v/>
      </c>
      <c r="Z84" s="315" t="str">
        <f t="shared" ca="1" si="52"/>
        <v/>
      </c>
      <c r="AA84" s="316" t="str">
        <f t="shared" ca="1" si="53"/>
        <v/>
      </c>
      <c r="AC84" s="310" t="e">
        <f t="shared" ca="1" si="54"/>
        <v>#N/A</v>
      </c>
      <c r="AD84" s="323" t="e">
        <f t="shared" ca="1" si="55"/>
        <v>#N/A</v>
      </c>
      <c r="AE84" s="324">
        <f t="shared" ca="1" si="34"/>
        <v>36.160702984422102</v>
      </c>
      <c r="AG84" s="306">
        <f t="shared" ca="1" si="56"/>
        <v>115.72868701330547</v>
      </c>
      <c r="AH84" s="304">
        <f t="shared" ca="1" si="57"/>
        <v>125.49422598462077</v>
      </c>
    </row>
    <row r="85" spans="1:34" x14ac:dyDescent="0.2">
      <c r="A85" s="347">
        <f t="shared" ca="1" si="35"/>
        <v>0.01</v>
      </c>
      <c r="B85" s="304">
        <f t="shared" ca="1" si="36"/>
        <v>0.8100000000000005</v>
      </c>
      <c r="D85" s="306">
        <f t="shared" ca="1" si="37"/>
        <v>11.940269427663754</v>
      </c>
      <c r="E85" s="307">
        <f t="shared" ca="1" si="38"/>
        <v>115.04351119094471</v>
      </c>
      <c r="F85" s="304">
        <f t="shared" ca="1" si="39"/>
        <v>115.66148668051186</v>
      </c>
      <c r="G85" s="306">
        <f t="shared" ca="1" si="40"/>
        <v>8.91541396702603</v>
      </c>
      <c r="H85" s="307">
        <f t="shared" ca="1" si="41"/>
        <v>93.125988806996403</v>
      </c>
      <c r="I85" s="304">
        <f t="shared" ca="1" si="42"/>
        <v>93.551773887426975</v>
      </c>
      <c r="J85" s="306">
        <f t="shared" ca="1" si="43"/>
        <v>3.424489633607394</v>
      </c>
      <c r="K85" s="307">
        <f t="shared" ca="1" si="44"/>
        <v>37.086210696932518</v>
      </c>
      <c r="L85" s="304">
        <f t="shared" ca="1" si="29"/>
        <v>37.243981434695684</v>
      </c>
      <c r="M85" s="306">
        <f t="shared" ca="1" si="45"/>
        <v>1.4753522327448172</v>
      </c>
      <c r="N85" s="304">
        <f t="shared" ca="1" si="46"/>
        <v>84.53145623148076</v>
      </c>
      <c r="P85" s="310">
        <f t="shared" ca="1" si="47"/>
        <v>6</v>
      </c>
      <c r="Q85" s="304">
        <f t="shared" ca="1" si="48"/>
        <v>1022.2333333333333</v>
      </c>
      <c r="R85" s="306">
        <f t="shared" ca="1" si="49"/>
        <v>0.51206965481363242</v>
      </c>
      <c r="S85" s="307">
        <f t="shared" ca="1" si="50"/>
        <v>7.9239943695220481</v>
      </c>
      <c r="T85" s="304">
        <f t="shared" ca="1" si="30"/>
        <v>77.734384765011299</v>
      </c>
      <c r="U85" s="311">
        <f t="shared" ca="1" si="31"/>
        <v>0</v>
      </c>
      <c r="V85" s="306">
        <f t="shared" ca="1" si="32"/>
        <v>1.2204653478428926</v>
      </c>
      <c r="W85" s="304">
        <f t="shared" ca="1" si="33"/>
        <v>29.09319580566579</v>
      </c>
      <c r="Y85" s="314" t="str">
        <f t="shared" ca="1" si="51"/>
        <v/>
      </c>
      <c r="Z85" s="315" t="str">
        <f t="shared" ca="1" si="52"/>
        <v/>
      </c>
      <c r="AA85" s="316" t="str">
        <f t="shared" ca="1" si="53"/>
        <v/>
      </c>
      <c r="AC85" s="310" t="e">
        <f t="shared" ca="1" si="54"/>
        <v>#N/A</v>
      </c>
      <c r="AD85" s="323" t="e">
        <f t="shared" ca="1" si="55"/>
        <v>#N/A</v>
      </c>
      <c r="AE85" s="324">
        <f t="shared" ca="1" si="34"/>
        <v>37.086210696932518</v>
      </c>
      <c r="AG85" s="306">
        <f t="shared" ca="1" si="56"/>
        <v>115.65771617918746</v>
      </c>
      <c r="AH85" s="304">
        <f t="shared" ca="1" si="57"/>
        <v>125.42316090225346</v>
      </c>
    </row>
    <row r="86" spans="1:34" x14ac:dyDescent="0.2">
      <c r="A86" s="347">
        <f t="shared" ca="1" si="35"/>
        <v>0.01</v>
      </c>
      <c r="B86" s="304">
        <f t="shared" ca="1" si="36"/>
        <v>0.82000000000000051</v>
      </c>
      <c r="D86" s="306">
        <f t="shared" ca="1" si="37"/>
        <v>11.945848381758614</v>
      </c>
      <c r="E86" s="307">
        <f t="shared" ca="1" si="38"/>
        <v>114.97040243607684</v>
      </c>
      <c r="F86" s="304">
        <f t="shared" ca="1" si="39"/>
        <v>115.589345226424</v>
      </c>
      <c r="G86" s="306">
        <f t="shared" ca="1" si="40"/>
        <v>9.0348724508436167</v>
      </c>
      <c r="H86" s="307">
        <f t="shared" ca="1" si="41"/>
        <v>94.275692831357176</v>
      </c>
      <c r="I86" s="304">
        <f t="shared" ca="1" si="42"/>
        <v>94.707629993762509</v>
      </c>
      <c r="J86" s="306">
        <f t="shared" ca="1" si="43"/>
        <v>3.5142410656967424</v>
      </c>
      <c r="K86" s="307">
        <f t="shared" ca="1" si="44"/>
        <v>38.023219105124284</v>
      </c>
      <c r="L86" s="304">
        <f t="shared" ca="1" si="29"/>
        <v>38.185273095581202</v>
      </c>
      <c r="M86" s="306">
        <f t="shared" ca="1" si="45"/>
        <v>1.4752535199323011</v>
      </c>
      <c r="N86" s="304">
        <f t="shared" ca="1" si="46"/>
        <v>84.525800403939726</v>
      </c>
      <c r="P86" s="310">
        <f t="shared" ca="1" si="47"/>
        <v>6</v>
      </c>
      <c r="Q86" s="304">
        <f t="shared" ca="1" si="48"/>
        <v>1021.7315789473683</v>
      </c>
      <c r="R86" s="306">
        <f t="shared" ca="1" si="49"/>
        <v>0.51181830985466448</v>
      </c>
      <c r="S86" s="307">
        <f t="shared" ca="1" si="50"/>
        <v>7.9188761864235016</v>
      </c>
      <c r="T86" s="304">
        <f t="shared" ca="1" si="30"/>
        <v>77.684175388814552</v>
      </c>
      <c r="U86" s="311">
        <f t="shared" ca="1" si="31"/>
        <v>0</v>
      </c>
      <c r="V86" s="306">
        <f t="shared" ca="1" si="32"/>
        <v>1.2203509941679906</v>
      </c>
      <c r="W86" s="304">
        <f t="shared" ca="1" si="33"/>
        <v>29.813750994346805</v>
      </c>
      <c r="Y86" s="314" t="str">
        <f t="shared" ca="1" si="51"/>
        <v/>
      </c>
      <c r="Z86" s="315" t="str">
        <f t="shared" ca="1" si="52"/>
        <v/>
      </c>
      <c r="AA86" s="316" t="str">
        <f t="shared" ca="1" si="53"/>
        <v/>
      </c>
      <c r="AC86" s="310" t="e">
        <f t="shared" ca="1" si="54"/>
        <v>#N/A</v>
      </c>
      <c r="AD86" s="323" t="e">
        <f t="shared" ca="1" si="55"/>
        <v>#N/A</v>
      </c>
      <c r="AE86" s="324">
        <f t="shared" ca="1" si="34"/>
        <v>38.023219105124284</v>
      </c>
      <c r="AG86" s="306">
        <f t="shared" ca="1" si="56"/>
        <v>115.58556449095757</v>
      </c>
      <c r="AH86" s="304">
        <f t="shared" ca="1" si="57"/>
        <v>125.3509159347041</v>
      </c>
    </row>
    <row r="87" spans="1:34" x14ac:dyDescent="0.2">
      <c r="A87" s="347">
        <f t="shared" ca="1" si="35"/>
        <v>0.01</v>
      </c>
      <c r="B87" s="304">
        <f t="shared" ca="1" si="36"/>
        <v>0.83000000000000052</v>
      </c>
      <c r="D87" s="306">
        <f t="shared" ca="1" si="37"/>
        <v>11.951161332222526</v>
      </c>
      <c r="E87" s="307">
        <f t="shared" ca="1" si="38"/>
        <v>114.89613402288832</v>
      </c>
      <c r="F87" s="304">
        <f t="shared" ca="1" si="39"/>
        <v>115.51602430223404</v>
      </c>
      <c r="G87" s="306">
        <f t="shared" ca="1" si="40"/>
        <v>9.1543840641658427</v>
      </c>
      <c r="H87" s="307">
        <f t="shared" ca="1" si="41"/>
        <v>95.424654171586056</v>
      </c>
      <c r="I87" s="304">
        <f t="shared" ca="1" si="42"/>
        <v>95.862752784181239</v>
      </c>
      <c r="J87" s="306">
        <f t="shared" ca="1" si="43"/>
        <v>3.6051873482717895</v>
      </c>
      <c r="K87" s="307">
        <f t="shared" ca="1" si="44"/>
        <v>38.971720840139</v>
      </c>
      <c r="L87" s="304">
        <f t="shared" ca="1" si="29"/>
        <v>39.138119539112552</v>
      </c>
      <c r="M87" s="306">
        <f t="shared" ca="1" si="45"/>
        <v>1.4751558960287638</v>
      </c>
      <c r="N87" s="304">
        <f t="shared" ca="1" si="46"/>
        <v>84.520206966287446</v>
      </c>
      <c r="P87" s="310">
        <f t="shared" ca="1" si="47"/>
        <v>6</v>
      </c>
      <c r="Q87" s="304">
        <f t="shared" ca="1" si="48"/>
        <v>1021.2298245614035</v>
      </c>
      <c r="R87" s="306">
        <f t="shared" ca="1" si="49"/>
        <v>0.51156696489569653</v>
      </c>
      <c r="S87" s="307">
        <f t="shared" ca="1" si="50"/>
        <v>7.9137605167745448</v>
      </c>
      <c r="T87" s="304">
        <f t="shared" ca="1" si="30"/>
        <v>77.633990669558287</v>
      </c>
      <c r="U87" s="311">
        <f t="shared" ca="1" si="31"/>
        <v>0</v>
      </c>
      <c r="V87" s="306">
        <f t="shared" ca="1" si="32"/>
        <v>1.2202352487249113</v>
      </c>
      <c r="W87" s="304">
        <f t="shared" ca="1" si="33"/>
        <v>30.542549139345329</v>
      </c>
      <c r="Y87" s="314" t="str">
        <f t="shared" ca="1" si="51"/>
        <v/>
      </c>
      <c r="Z87" s="315" t="str">
        <f t="shared" ca="1" si="52"/>
        <v/>
      </c>
      <c r="AA87" s="316" t="str">
        <f t="shared" ca="1" si="53"/>
        <v/>
      </c>
      <c r="AC87" s="310" t="e">
        <f t="shared" ca="1" si="54"/>
        <v>#N/A</v>
      </c>
      <c r="AD87" s="323" t="e">
        <f t="shared" ca="1" si="55"/>
        <v>#N/A</v>
      </c>
      <c r="AE87" s="324">
        <f t="shared" ca="1" si="34"/>
        <v>38.971720840139</v>
      </c>
      <c r="AG87" s="306">
        <f t="shared" ca="1" si="56"/>
        <v>115.5122333612282</v>
      </c>
      <c r="AH87" s="304">
        <f t="shared" ca="1" si="57"/>
        <v>125.27749247220505</v>
      </c>
    </row>
    <row r="88" spans="1:34" x14ac:dyDescent="0.2">
      <c r="A88" s="347">
        <f t="shared" ca="1" si="35"/>
        <v>0.01</v>
      </c>
      <c r="B88" s="304">
        <f t="shared" ca="1" si="36"/>
        <v>0.84000000000000052</v>
      </c>
      <c r="D88" s="306">
        <f t="shared" ca="1" si="37"/>
        <v>11.956211621908855</v>
      </c>
      <c r="E88" s="307">
        <f t="shared" ca="1" si="38"/>
        <v>114.820707126325</v>
      </c>
      <c r="F88" s="304">
        <f t="shared" ca="1" si="39"/>
        <v>115.44152537686415</v>
      </c>
      <c r="G88" s="306">
        <f t="shared" ca="1" si="40"/>
        <v>9.2739461803849306</v>
      </c>
      <c r="H88" s="307">
        <f t="shared" ca="1" si="41"/>
        <v>96.572861242849299</v>
      </c>
      <c r="I88" s="304">
        <f t="shared" ca="1" si="42"/>
        <v>97.017130479041185</v>
      </c>
      <c r="J88" s="306">
        <f t="shared" ca="1" si="43"/>
        <v>3.6973289994945433</v>
      </c>
      <c r="K88" s="307">
        <f t="shared" ca="1" si="44"/>
        <v>39.931708417211176</v>
      </c>
      <c r="L88" s="304">
        <f t="shared" ca="1" si="29"/>
        <v>40.102513373199905</v>
      </c>
      <c r="M88" s="306">
        <f t="shared" ca="1" si="45"/>
        <v>1.4750593354598565</v>
      </c>
      <c r="N88" s="304">
        <f t="shared" ca="1" si="46"/>
        <v>84.514674453221673</v>
      </c>
      <c r="P88" s="310">
        <f t="shared" ca="1" si="47"/>
        <v>6</v>
      </c>
      <c r="Q88" s="304">
        <f t="shared" ca="1" si="48"/>
        <v>1020.7280701754386</v>
      </c>
      <c r="R88" s="306">
        <f t="shared" ca="1" si="49"/>
        <v>0.51131561993672869</v>
      </c>
      <c r="S88" s="307">
        <f t="shared" ca="1" si="50"/>
        <v>7.9086473605751779</v>
      </c>
      <c r="T88" s="304">
        <f t="shared" ca="1" si="30"/>
        <v>77.583830607242504</v>
      </c>
      <c r="U88" s="311">
        <f t="shared" ca="1" si="31"/>
        <v>0</v>
      </c>
      <c r="V88" s="306">
        <f t="shared" ca="1" si="32"/>
        <v>1.2201181128236545</v>
      </c>
      <c r="W88" s="304">
        <f t="shared" ca="1" si="33"/>
        <v>31.279560890689215</v>
      </c>
      <c r="Y88" s="314" t="str">
        <f t="shared" ca="1" si="51"/>
        <v/>
      </c>
      <c r="Z88" s="315" t="str">
        <f t="shared" ca="1" si="52"/>
        <v/>
      </c>
      <c r="AA88" s="316" t="str">
        <f t="shared" ca="1" si="53"/>
        <v/>
      </c>
      <c r="AC88" s="310" t="e">
        <f t="shared" ca="1" si="54"/>
        <v>#N/A</v>
      </c>
      <c r="AD88" s="323" t="e">
        <f t="shared" ca="1" si="55"/>
        <v>#N/A</v>
      </c>
      <c r="AE88" s="324">
        <f t="shared" ca="1" si="34"/>
        <v>39.931708417211176</v>
      </c>
      <c r="AG88" s="306">
        <f t="shared" ca="1" si="56"/>
        <v>115.43772425688164</v>
      </c>
      <c r="AH88" s="304">
        <f t="shared" ca="1" si="57"/>
        <v>125.20289196003289</v>
      </c>
    </row>
    <row r="89" spans="1:34" x14ac:dyDescent="0.2">
      <c r="A89" s="347">
        <f t="shared" ca="1" si="35"/>
        <v>0.01</v>
      </c>
      <c r="B89" s="304">
        <f t="shared" ca="1" si="36"/>
        <v>0.85000000000000053</v>
      </c>
      <c r="D89" s="306">
        <f t="shared" ca="1" si="37"/>
        <v>11.961002482952797</v>
      </c>
      <c r="E89" s="307">
        <f t="shared" ca="1" si="38"/>
        <v>114.74412298539259</v>
      </c>
      <c r="F89" s="304">
        <f t="shared" ca="1" si="39"/>
        <v>115.36584997339595</v>
      </c>
      <c r="G89" s="306">
        <f t="shared" ca="1" si="40"/>
        <v>9.393556205214459</v>
      </c>
      <c r="H89" s="307">
        <f t="shared" ca="1" si="41"/>
        <v>97.720302472703224</v>
      </c>
      <c r="I89" s="304">
        <f t="shared" ca="1" si="42"/>
        <v>98.170751313907815</v>
      </c>
      <c r="J89" s="306">
        <f t="shared" ca="1" si="43"/>
        <v>3.7906665114225402</v>
      </c>
      <c r="K89" s="307">
        <f t="shared" ca="1" si="44"/>
        <v>40.903174235788939</v>
      </c>
      <c r="L89" s="304">
        <f t="shared" ca="1" si="29"/>
        <v>41.078447088030586</v>
      </c>
      <c r="M89" s="306">
        <f t="shared" ca="1" si="45"/>
        <v>1.4749638135407022</v>
      </c>
      <c r="N89" s="304">
        <f t="shared" ca="1" si="46"/>
        <v>84.50920145040314</v>
      </c>
      <c r="P89" s="310">
        <f t="shared" ca="1" si="47"/>
        <v>6</v>
      </c>
      <c r="Q89" s="304">
        <f t="shared" ca="1" si="48"/>
        <v>1020.2263157894737</v>
      </c>
      <c r="R89" s="306">
        <f t="shared" ca="1" si="49"/>
        <v>0.51106427497776075</v>
      </c>
      <c r="S89" s="307">
        <f t="shared" ca="1" si="50"/>
        <v>7.9035367178253999</v>
      </c>
      <c r="T89" s="304">
        <f t="shared" ca="1" si="30"/>
        <v>77.533695201867175</v>
      </c>
      <c r="U89" s="311">
        <f t="shared" ca="1" si="31"/>
        <v>0</v>
      </c>
      <c r="V89" s="306">
        <f t="shared" ca="1" si="32"/>
        <v>1.2199995877927043</v>
      </c>
      <c r="W89" s="304">
        <f t="shared" ca="1" si="33"/>
        <v>32.024756513432536</v>
      </c>
      <c r="Y89" s="314" t="str">
        <f t="shared" ca="1" si="51"/>
        <v/>
      </c>
      <c r="Z89" s="315" t="str">
        <f t="shared" ca="1" si="52"/>
        <v/>
      </c>
      <c r="AA89" s="316" t="str">
        <f t="shared" ca="1" si="53"/>
        <v/>
      </c>
      <c r="AC89" s="310" t="e">
        <f t="shared" ca="1" si="54"/>
        <v>#N/A</v>
      </c>
      <c r="AD89" s="323" t="e">
        <f t="shared" ca="1" si="55"/>
        <v>#N/A</v>
      </c>
      <c r="AE89" s="324">
        <f t="shared" ca="1" si="34"/>
        <v>40.903174235788939</v>
      </c>
      <c r="AG89" s="306">
        <f t="shared" ca="1" si="56"/>
        <v>115.3620386990209</v>
      </c>
      <c r="AH89" s="304">
        <f t="shared" ca="1" si="57"/>
        <v>125.1271158984235</v>
      </c>
    </row>
    <row r="90" spans="1:34" x14ac:dyDescent="0.2">
      <c r="A90" s="347">
        <f t="shared" ca="1" si="35"/>
        <v>0.01</v>
      </c>
      <c r="B90" s="304">
        <f t="shared" ca="1" si="36"/>
        <v>0.86000000000000054</v>
      </c>
      <c r="D90" s="306">
        <f t="shared" ca="1" si="37"/>
        <v>11.965537042256758</v>
      </c>
      <c r="E90" s="307">
        <f t="shared" ca="1" si="38"/>
        <v>114.66638290263158</v>
      </c>
      <c r="F90" s="304">
        <f t="shared" ca="1" si="39"/>
        <v>115.28899966901673</v>
      </c>
      <c r="G90" s="306">
        <f t="shared" ca="1" si="40"/>
        <v>9.5132115756370261</v>
      </c>
      <c r="H90" s="307">
        <f t="shared" ca="1" si="41"/>
        <v>98.866966301729533</v>
      </c>
      <c r="I90" s="304">
        <f t="shared" ca="1" si="42"/>
        <v>99.323603540095945</v>
      </c>
      <c r="J90" s="306">
        <f t="shared" ca="1" si="43"/>
        <v>3.8852003503267976</v>
      </c>
      <c r="K90" s="307">
        <f t="shared" ca="1" si="44"/>
        <v>41.8861105796611</v>
      </c>
      <c r="L90" s="304">
        <f t="shared" ca="1" si="29"/>
        <v>42.065913056223764</v>
      </c>
      <c r="M90" s="306">
        <f t="shared" ca="1" si="45"/>
        <v>1.4748693064348197</v>
      </c>
      <c r="N90" s="304">
        <f t="shared" ca="1" si="46"/>
        <v>84.503786592102074</v>
      </c>
      <c r="P90" s="310">
        <f t="shared" ca="1" si="47"/>
        <v>6</v>
      </c>
      <c r="Q90" s="304">
        <f t="shared" ca="1" si="48"/>
        <v>1019.7245614035087</v>
      </c>
      <c r="R90" s="306">
        <f t="shared" ca="1" si="49"/>
        <v>0.51081293001879291</v>
      </c>
      <c r="S90" s="307">
        <f t="shared" ca="1" si="50"/>
        <v>7.8984285885252117</v>
      </c>
      <c r="T90" s="304">
        <f t="shared" ca="1" si="30"/>
        <v>77.483584453432329</v>
      </c>
      <c r="U90" s="311">
        <f t="shared" ca="1" si="31"/>
        <v>0</v>
      </c>
      <c r="V90" s="306">
        <f t="shared" ca="1" si="32"/>
        <v>1.2198796749789933</v>
      </c>
      <c r="W90" s="304">
        <f t="shared" ca="1" si="33"/>
        <v>32.778105889776235</v>
      </c>
      <c r="Y90" s="314" t="str">
        <f t="shared" ca="1" si="51"/>
        <v/>
      </c>
      <c r="Z90" s="315" t="str">
        <f t="shared" ca="1" si="52"/>
        <v/>
      </c>
      <c r="AA90" s="316" t="str">
        <f t="shared" ca="1" si="53"/>
        <v/>
      </c>
      <c r="AC90" s="310" t="e">
        <f t="shared" ca="1" si="54"/>
        <v>#N/A</v>
      </c>
      <c r="AD90" s="323" t="e">
        <f t="shared" ca="1" si="55"/>
        <v>#N/A</v>
      </c>
      <c r="AE90" s="324">
        <f t="shared" ca="1" si="34"/>
        <v>41.8861105796611</v>
      </c>
      <c r="AG90" s="306">
        <f t="shared" ca="1" si="56"/>
        <v>115.28517826291316</v>
      </c>
      <c r="AH90" s="304">
        <f t="shared" ca="1" si="57"/>
        <v>125.05016584248168</v>
      </c>
    </row>
    <row r="91" spans="1:34" x14ac:dyDescent="0.2">
      <c r="A91" s="347">
        <f t="shared" ca="1" si="35"/>
        <v>0.01</v>
      </c>
      <c r="B91" s="304">
        <f t="shared" ca="1" si="36"/>
        <v>0.87000000000000055</v>
      </c>
      <c r="D91" s="306">
        <f t="shared" ca="1" si="37"/>
        <v>11.969818326655728</v>
      </c>
      <c r="E91" s="307">
        <f t="shared" ca="1" si="38"/>
        <v>114.58748824361169</v>
      </c>
      <c r="F91" s="304">
        <f t="shared" ca="1" si="39"/>
        <v>115.21097609495803</v>
      </c>
      <c r="G91" s="306">
        <f t="shared" ca="1" si="40"/>
        <v>9.6329097589035833</v>
      </c>
      <c r="H91" s="307">
        <f t="shared" ca="1" si="41"/>
        <v>100.01284118416565</v>
      </c>
      <c r="I91" s="304">
        <f t="shared" ca="1" si="42"/>
        <v>100.47567542521085</v>
      </c>
      <c r="J91" s="306">
        <f t="shared" ca="1" si="43"/>
        <v>3.9809309569995008</v>
      </c>
      <c r="K91" s="307">
        <f t="shared" ca="1" si="44"/>
        <v>42.880509617090574</v>
      </c>
      <c r="L91" s="304">
        <f t="shared" ca="1" si="29"/>
        <v>43.064903532990691</v>
      </c>
      <c r="M91" s="306">
        <f t="shared" ca="1" si="45"/>
        <v>1.4747757911153996</v>
      </c>
      <c r="N91" s="304">
        <f t="shared" ca="1" si="46"/>
        <v>84.498428558979484</v>
      </c>
      <c r="P91" s="310">
        <f t="shared" ca="1" si="47"/>
        <v>6</v>
      </c>
      <c r="Q91" s="304">
        <f t="shared" ca="1" si="48"/>
        <v>1019.2228070175438</v>
      </c>
      <c r="R91" s="306">
        <f t="shared" ca="1" si="49"/>
        <v>0.51056158505982496</v>
      </c>
      <c r="S91" s="307">
        <f t="shared" ca="1" si="50"/>
        <v>7.8933229726746132</v>
      </c>
      <c r="T91" s="304">
        <f t="shared" ca="1" si="30"/>
        <v>77.433498361937964</v>
      </c>
      <c r="U91" s="311">
        <f t="shared" ca="1" si="31"/>
        <v>0</v>
      </c>
      <c r="V91" s="306">
        <f t="shared" ca="1" si="32"/>
        <v>1.2197583757478641</v>
      </c>
      <c r="W91" s="304">
        <f t="shared" ca="1" si="33"/>
        <v>33.539578521227234</v>
      </c>
      <c r="Y91" s="314" t="str">
        <f t="shared" ca="1" si="51"/>
        <v/>
      </c>
      <c r="Z91" s="315" t="str">
        <f t="shared" ca="1" si="52"/>
        <v/>
      </c>
      <c r="AA91" s="316" t="str">
        <f t="shared" ca="1" si="53"/>
        <v/>
      </c>
      <c r="AC91" s="310" t="e">
        <f t="shared" ca="1" si="54"/>
        <v>#N/A</v>
      </c>
      <c r="AD91" s="323" t="e">
        <f t="shared" ca="1" si="55"/>
        <v>#N/A</v>
      </c>
      <c r="AE91" s="324">
        <f t="shared" ca="1" si="34"/>
        <v>42.880509617090574</v>
      </c>
      <c r="AG91" s="306">
        <f t="shared" ca="1" si="56"/>
        <v>115.20714457792565</v>
      </c>
      <c r="AH91" s="304">
        <f t="shared" ca="1" si="57"/>
        <v>124.97204340208515</v>
      </c>
    </row>
    <row r="92" spans="1:34" x14ac:dyDescent="0.2">
      <c r="A92" s="347">
        <f t="shared" ca="1" si="35"/>
        <v>0.01</v>
      </c>
      <c r="B92" s="304">
        <f t="shared" ca="1" si="36"/>
        <v>0.88000000000000056</v>
      </c>
      <c r="D92" s="306">
        <f t="shared" ca="1" si="37"/>
        <v>11.973849267785159</v>
      </c>
      <c r="E92" s="307">
        <f t="shared" ca="1" si="38"/>
        <v>114.50744043644384</v>
      </c>
      <c r="F92" s="304">
        <f t="shared" ca="1" si="39"/>
        <v>115.13178093642681</v>
      </c>
      <c r="G92" s="306">
        <f t="shared" ca="1" si="40"/>
        <v>9.7526482515814354</v>
      </c>
      <c r="H92" s="307">
        <f t="shared" ca="1" si="41"/>
        <v>101.15791558853009</v>
      </c>
      <c r="I92" s="304">
        <f t="shared" ca="1" si="42"/>
        <v>101.62695525368873</v>
      </c>
      <c r="J92" s="306">
        <f t="shared" ca="1" si="43"/>
        <v>4.0778587470519261</v>
      </c>
      <c r="K92" s="307">
        <f t="shared" ca="1" si="44"/>
        <v>43.886363400954053</v>
      </c>
      <c r="L92" s="304">
        <f t="shared" ca="1" si="29"/>
        <v>44.075410656300271</v>
      </c>
      <c r="M92" s="306">
        <f t="shared" ca="1" si="45"/>
        <v>1.4746832453287744</v>
      </c>
      <c r="N92" s="304">
        <f t="shared" ca="1" si="46"/>
        <v>84.493126075994141</v>
      </c>
      <c r="P92" s="310">
        <f t="shared" ca="1" si="47"/>
        <v>6</v>
      </c>
      <c r="Q92" s="304">
        <f t="shared" ca="1" si="48"/>
        <v>1018.7210526315789</v>
      </c>
      <c r="R92" s="306">
        <f t="shared" ca="1" si="49"/>
        <v>0.51031024010085713</v>
      </c>
      <c r="S92" s="307">
        <f t="shared" ca="1" si="50"/>
        <v>7.8882198702736046</v>
      </c>
      <c r="T92" s="304">
        <f t="shared" ca="1" si="30"/>
        <v>77.383436927384068</v>
      </c>
      <c r="U92" s="311">
        <f t="shared" ca="1" si="31"/>
        <v>0</v>
      </c>
      <c r="V92" s="306">
        <f t="shared" ca="1" si="32"/>
        <v>1.2196356914830317</v>
      </c>
      <c r="W92" s="304">
        <f t="shared" ca="1" si="33"/>
        <v>34.309143530795865</v>
      </c>
      <c r="Y92" s="314" t="str">
        <f t="shared" ca="1" si="51"/>
        <v/>
      </c>
      <c r="Z92" s="315" t="str">
        <f t="shared" ca="1" si="52"/>
        <v/>
      </c>
      <c r="AA92" s="316" t="str">
        <f t="shared" ca="1" si="53"/>
        <v/>
      </c>
      <c r="AC92" s="310" t="e">
        <f t="shared" ca="1" si="54"/>
        <v>#N/A</v>
      </c>
      <c r="AD92" s="323" t="e">
        <f t="shared" ca="1" si="55"/>
        <v>#N/A</v>
      </c>
      <c r="AE92" s="324">
        <f t="shared" ca="1" si="34"/>
        <v>43.886363400954053</v>
      </c>
      <c r="AG92" s="306">
        <f t="shared" ca="1" si="56"/>
        <v>115.12793932745419</v>
      </c>
      <c r="AH92" s="304">
        <f t="shared" ca="1" si="57"/>
        <v>124.89275024178306</v>
      </c>
    </row>
    <row r="93" spans="1:34" x14ac:dyDescent="0.2">
      <c r="A93" s="347">
        <f t="shared" ca="1" si="35"/>
        <v>0.01</v>
      </c>
      <c r="B93" s="304">
        <f t="shared" ca="1" si="36"/>
        <v>0.89000000000000057</v>
      </c>
      <c r="D93" s="306">
        <f t="shared" ca="1" si="37"/>
        <v>11.977632706671352</v>
      </c>
      <c r="E93" s="307">
        <f t="shared" ca="1" si="38"/>
        <v>114.42624097130823</v>
      </c>
      <c r="F93" s="304">
        <f t="shared" ca="1" si="39"/>
        <v>115.05141593252915</v>
      </c>
      <c r="G93" s="306">
        <f t="shared" ca="1" si="40"/>
        <v>9.8724245786481486</v>
      </c>
      <c r="H93" s="307">
        <f t="shared" ca="1" si="41"/>
        <v>102.30217799824317</v>
      </c>
      <c r="I93" s="304">
        <f t="shared" ca="1" si="42"/>
        <v>102.77743132733627</v>
      </c>
      <c r="J93" s="306">
        <f t="shared" ca="1" si="43"/>
        <v>4.175984111203074</v>
      </c>
      <c r="K93" s="307">
        <f t="shared" ca="1" si="44"/>
        <v>44.903663868887918</v>
      </c>
      <c r="L93" s="304">
        <f t="shared" ca="1" si="29"/>
        <v>45.097426447050069</v>
      </c>
      <c r="M93" s="306">
        <f t="shared" ca="1" si="45"/>
        <v>1.474591647559933</v>
      </c>
      <c r="N93" s="304">
        <f t="shared" ca="1" si="46"/>
        <v>84.487877910426718</v>
      </c>
      <c r="P93" s="310">
        <f t="shared" ca="1" si="47"/>
        <v>6</v>
      </c>
      <c r="Q93" s="304">
        <f t="shared" ca="1" si="48"/>
        <v>1018.219298245614</v>
      </c>
      <c r="R93" s="306">
        <f t="shared" ca="1" si="49"/>
        <v>0.51005889514188918</v>
      </c>
      <c r="S93" s="307">
        <f t="shared" ca="1" si="50"/>
        <v>7.8831192813221858</v>
      </c>
      <c r="T93" s="304">
        <f t="shared" ca="1" si="30"/>
        <v>77.33340014977064</v>
      </c>
      <c r="U93" s="311">
        <f t="shared" ca="1" si="31"/>
        <v>0</v>
      </c>
      <c r="V93" s="306">
        <f t="shared" ca="1" si="32"/>
        <v>1.219511623586544</v>
      </c>
      <c r="W93" s="304">
        <f t="shared" ca="1" si="33"/>
        <v>35.086769665231294</v>
      </c>
      <c r="Y93" s="314" t="str">
        <f t="shared" ca="1" si="51"/>
        <v/>
      </c>
      <c r="Z93" s="315" t="str">
        <f t="shared" ca="1" si="52"/>
        <v/>
      </c>
      <c r="AA93" s="316" t="str">
        <f t="shared" ca="1" si="53"/>
        <v/>
      </c>
      <c r="AC93" s="310" t="e">
        <f t="shared" ca="1" si="54"/>
        <v>#N/A</v>
      </c>
      <c r="AD93" s="323" t="e">
        <f t="shared" ca="1" si="55"/>
        <v>#N/A</v>
      </c>
      <c r="AE93" s="324">
        <f t="shared" ca="1" si="34"/>
        <v>44.903663868887918</v>
      </c>
      <c r="AG93" s="306">
        <f t="shared" ca="1" si="56"/>
        <v>115.04756424884454</v>
      </c>
      <c r="AH93" s="304">
        <f t="shared" ca="1" si="57"/>
        <v>124.81228808068894</v>
      </c>
    </row>
    <row r="94" spans="1:34" x14ac:dyDescent="0.2">
      <c r="A94" s="347">
        <f t="shared" ca="1" si="35"/>
        <v>0.01</v>
      </c>
      <c r="B94" s="304">
        <f t="shared" ca="1" si="36"/>
        <v>0.90000000000000058</v>
      </c>
      <c r="D94" s="306">
        <f t="shared" ca="1" si="37"/>
        <v>11.981171398063434</v>
      </c>
      <c r="E94" s="307">
        <f t="shared" ca="1" si="38"/>
        <v>114.34389139999709</v>
      </c>
      <c r="F94" s="304">
        <f t="shared" ca="1" si="39"/>
        <v>114.96988287618676</v>
      </c>
      <c r="G94" s="306">
        <f t="shared" ca="1" si="40"/>
        <v>9.9922362926287835</v>
      </c>
      <c r="H94" s="307">
        <f t="shared" ca="1" si="41"/>
        <v>103.44561691224314</v>
      </c>
      <c r="I94" s="304">
        <f t="shared" ca="1" si="42"/>
        <v>103.92709196586948</v>
      </c>
      <c r="J94" s="306">
        <f t="shared" ca="1" si="43"/>
        <v>4.2753074155594586</v>
      </c>
      <c r="K94" s="307">
        <f t="shared" ca="1" si="44"/>
        <v>45.93240284344035</v>
      </c>
      <c r="L94" s="304">
        <f t="shared" ca="1" si="29"/>
        <v>46.130942809242747</v>
      </c>
      <c r="M94" s="306">
        <f t="shared" ca="1" si="45"/>
        <v>1.4745009769999475</v>
      </c>
      <c r="N94" s="304">
        <f t="shared" ca="1" si="46"/>
        <v>84.482682870013463</v>
      </c>
      <c r="P94" s="310">
        <f t="shared" ca="1" si="47"/>
        <v>6</v>
      </c>
      <c r="Q94" s="304">
        <f t="shared" ca="1" si="48"/>
        <v>1017.7175438596491</v>
      </c>
      <c r="R94" s="306">
        <f t="shared" ca="1" si="49"/>
        <v>0.50980755018292134</v>
      </c>
      <c r="S94" s="307">
        <f t="shared" ca="1" si="50"/>
        <v>7.8780212058203567</v>
      </c>
      <c r="T94" s="304">
        <f t="shared" ca="1" si="30"/>
        <v>77.283388029097708</v>
      </c>
      <c r="U94" s="311">
        <f t="shared" ca="1" si="31"/>
        <v>0</v>
      </c>
      <c r="V94" s="306">
        <f t="shared" ca="1" si="32"/>
        <v>1.2193861734787419</v>
      </c>
      <c r="W94" s="304">
        <f t="shared" ca="1" si="33"/>
        <v>35.872425297294747</v>
      </c>
      <c r="Y94" s="314" t="str">
        <f t="shared" ca="1" si="51"/>
        <v/>
      </c>
      <c r="Z94" s="315" t="str">
        <f t="shared" ca="1" si="52"/>
        <v/>
      </c>
      <c r="AA94" s="316" t="str">
        <f t="shared" ca="1" si="53"/>
        <v/>
      </c>
      <c r="AC94" s="310" t="e">
        <f t="shared" ca="1" si="54"/>
        <v>#N/A</v>
      </c>
      <c r="AD94" s="323" t="e">
        <f t="shared" ca="1" si="55"/>
        <v>#N/A</v>
      </c>
      <c r="AE94" s="324">
        <f t="shared" ca="1" si="34"/>
        <v>45.93240284344035</v>
      </c>
      <c r="AG94" s="306">
        <f t="shared" ca="1" si="56"/>
        <v>114.96602113330675</v>
      </c>
      <c r="AH94" s="304">
        <f t="shared" ca="1" si="57"/>
        <v>124.73065869236819</v>
      </c>
    </row>
    <row r="95" spans="1:34" x14ac:dyDescent="0.2">
      <c r="A95" s="347">
        <f t="shared" ca="1" si="35"/>
        <v>0.01</v>
      </c>
      <c r="B95" s="304">
        <f t="shared" ca="1" si="36"/>
        <v>0.91000000000000059</v>
      </c>
      <c r="D95" s="306">
        <f t="shared" ca="1" si="37"/>
        <v>11.984468014523424</v>
      </c>
      <c r="E95" s="307">
        <f t="shared" ca="1" si="38"/>
        <v>114.26039333547104</v>
      </c>
      <c r="F95" s="304">
        <f t="shared" ca="1" si="39"/>
        <v>114.88718361404673</v>
      </c>
      <c r="G95" s="306">
        <f t="shared" ca="1" si="40"/>
        <v>10.112080972774018</v>
      </c>
      <c r="H95" s="307">
        <f t="shared" ca="1" si="41"/>
        <v>104.58822084559785</v>
      </c>
      <c r="I95" s="304">
        <f t="shared" ca="1" si="42"/>
        <v>105.07592550745144</v>
      </c>
      <c r="J95" s="306">
        <f t="shared" ca="1" si="43"/>
        <v>4.3758290018864727</v>
      </c>
      <c r="K95" s="307">
        <f t="shared" ca="1" si="44"/>
        <v>46.972572032229557</v>
      </c>
      <c r="L95" s="304">
        <f t="shared" ca="1" si="29"/>
        <v>47.175951530167836</v>
      </c>
      <c r="M95" s="306">
        <f t="shared" ca="1" si="45"/>
        <v>1.4744112135151795</v>
      </c>
      <c r="N95" s="304">
        <f t="shared" ca="1" si="46"/>
        <v>84.477539801181862</v>
      </c>
      <c r="P95" s="310">
        <f t="shared" ca="1" si="47"/>
        <v>6</v>
      </c>
      <c r="Q95" s="304">
        <f t="shared" ca="1" si="48"/>
        <v>1017.2157894736841</v>
      </c>
      <c r="R95" s="306">
        <f t="shared" ca="1" si="49"/>
        <v>0.5095562052239534</v>
      </c>
      <c r="S95" s="307">
        <f t="shared" ca="1" si="50"/>
        <v>7.8729256437681174</v>
      </c>
      <c r="T95" s="304">
        <f t="shared" ca="1" si="30"/>
        <v>77.23340056536523</v>
      </c>
      <c r="U95" s="311">
        <f t="shared" ca="1" si="31"/>
        <v>0</v>
      </c>
      <c r="V95" s="306">
        <f t="shared" ca="1" si="32"/>
        <v>1.2192593425982177</v>
      </c>
      <c r="W95" s="304">
        <f t="shared" ca="1" si="33"/>
        <v>36.666078428070023</v>
      </c>
      <c r="Y95" s="314" t="str">
        <f t="shared" ca="1" si="51"/>
        <v/>
      </c>
      <c r="Z95" s="315" t="str">
        <f t="shared" ca="1" si="52"/>
        <v/>
      </c>
      <c r="AA95" s="316" t="str">
        <f t="shared" ca="1" si="53"/>
        <v/>
      </c>
      <c r="AC95" s="310" t="e">
        <f t="shared" ca="1" si="54"/>
        <v>#N/A</v>
      </c>
      <c r="AD95" s="323" t="e">
        <f t="shared" ca="1" si="55"/>
        <v>#N/A</v>
      </c>
      <c r="AE95" s="324">
        <f t="shared" ca="1" si="34"/>
        <v>46.972572032229557</v>
      </c>
      <c r="AG95" s="306">
        <f t="shared" ca="1" si="56"/>
        <v>114.8833118258226</v>
      </c>
      <c r="AH95" s="304">
        <f t="shared" ca="1" si="57"/>
        <v>124.64786390472013</v>
      </c>
    </row>
    <row r="96" spans="1:34" x14ac:dyDescent="0.2">
      <c r="A96" s="347">
        <f t="shared" ca="1" si="35"/>
        <v>0.01</v>
      </c>
      <c r="B96" s="304">
        <f t="shared" ca="1" si="36"/>
        <v>0.9200000000000006</v>
      </c>
      <c r="D96" s="306">
        <f t="shared" ca="1" si="37"/>
        <v>11.987525150291271</v>
      </c>
      <c r="E96" s="307">
        <f t="shared" ca="1" si="38"/>
        <v>114.17574845142721</v>
      </c>
      <c r="F96" s="304">
        <f t="shared" ca="1" si="39"/>
        <v>114.80332004638389</v>
      </c>
      <c r="G96" s="306">
        <f t="shared" ca="1" si="40"/>
        <v>10.231956224276932</v>
      </c>
      <c r="H96" s="307">
        <f t="shared" ca="1" si="41"/>
        <v>105.72997833011212</v>
      </c>
      <c r="I96" s="304">
        <f t="shared" ca="1" si="42"/>
        <v>106.22392030922931</v>
      </c>
      <c r="J96" s="306">
        <f t="shared" ca="1" si="43"/>
        <v>4.4775491878717277</v>
      </c>
      <c r="K96" s="307">
        <f t="shared" ca="1" si="44"/>
        <v>48.024163028108106</v>
      </c>
      <c r="L96" s="304">
        <f t="shared" ca="1" si="29"/>
        <v>48.232444280588936</v>
      </c>
      <c r="M96" s="306">
        <f t="shared" ca="1" si="45"/>
        <v>1.4743223376181567</v>
      </c>
      <c r="N96" s="304">
        <f t="shared" ca="1" si="46"/>
        <v>84.472447587382021</v>
      </c>
      <c r="P96" s="310">
        <f t="shared" ca="1" si="47"/>
        <v>6</v>
      </c>
      <c r="Q96" s="304">
        <f t="shared" ca="1" si="48"/>
        <v>1016.7140350877193</v>
      </c>
      <c r="R96" s="306">
        <f t="shared" ca="1" si="49"/>
        <v>0.50930486026498556</v>
      </c>
      <c r="S96" s="307">
        <f t="shared" ca="1" si="50"/>
        <v>7.867832595165468</v>
      </c>
      <c r="T96" s="304">
        <f t="shared" ca="1" si="30"/>
        <v>77.183437758573248</v>
      </c>
      <c r="U96" s="311">
        <f t="shared" ca="1" si="31"/>
        <v>0</v>
      </c>
      <c r="V96" s="306">
        <f t="shared" ca="1" si="32"/>
        <v>1.2191311324017731</v>
      </c>
      <c r="W96" s="304">
        <f t="shared" ca="1" si="33"/>
        <v>37.46769668931131</v>
      </c>
      <c r="Y96" s="314" t="str">
        <f t="shared" ca="1" si="51"/>
        <v/>
      </c>
      <c r="Z96" s="315" t="str">
        <f t="shared" ca="1" si="52"/>
        <v/>
      </c>
      <c r="AA96" s="316" t="str">
        <f t="shared" ca="1" si="53"/>
        <v/>
      </c>
      <c r="AC96" s="310" t="e">
        <f t="shared" ca="1" si="54"/>
        <v>#N/A</v>
      </c>
      <c r="AD96" s="323" t="e">
        <f t="shared" ca="1" si="55"/>
        <v>#N/A</v>
      </c>
      <c r="AE96" s="324">
        <f t="shared" ca="1" si="34"/>
        <v>48.024163028108106</v>
      </c>
      <c r="AG96" s="306">
        <f t="shared" ca="1" si="56"/>
        <v>114.79943822504598</v>
      </c>
      <c r="AH96" s="304">
        <f t="shared" ca="1" si="57"/>
        <v>124.56390559985445</v>
      </c>
    </row>
    <row r="97" spans="1:34" x14ac:dyDescent="0.2">
      <c r="A97" s="347">
        <f t="shared" ca="1" si="35"/>
        <v>0.01</v>
      </c>
      <c r="B97" s="304">
        <f t="shared" ca="1" si="36"/>
        <v>0.9300000000000006</v>
      </c>
      <c r="D97" s="306">
        <f t="shared" ca="1" si="37"/>
        <v>11.990345324938533</v>
      </c>
      <c r="E97" s="307">
        <f t="shared" ca="1" si="38"/>
        <v>114.08995848187872</v>
      </c>
      <c r="F97" s="304">
        <f t="shared" ca="1" si="39"/>
        <v>114.71829412699654</v>
      </c>
      <c r="G97" s="306">
        <f t="shared" ca="1" si="40"/>
        <v>10.351859677526317</v>
      </c>
      <c r="H97" s="307">
        <f t="shared" ca="1" si="41"/>
        <v>106.8708779149309</v>
      </c>
      <c r="I97" s="304">
        <f t="shared" ca="1" si="42"/>
        <v>107.37106474786985</v>
      </c>
      <c r="J97" s="306">
        <f t="shared" ca="1" si="43"/>
        <v>4.580468267380744</v>
      </c>
      <c r="K97" s="307">
        <f t="shared" ca="1" si="44"/>
        <v>49.087167309333324</v>
      </c>
      <c r="L97" s="304">
        <f t="shared" ca="1" si="29"/>
        <v>49.300412614936242</v>
      </c>
      <c r="M97" s="306">
        <f t="shared" ca="1" si="45"/>
        <v>1.4742343304400087</v>
      </c>
      <c r="N97" s="304">
        <f t="shared" ca="1" si="46"/>
        <v>84.467405147507293</v>
      </c>
      <c r="P97" s="310">
        <f t="shared" ca="1" si="47"/>
        <v>6</v>
      </c>
      <c r="Q97" s="304">
        <f t="shared" ca="1" si="48"/>
        <v>1016.2122807017544</v>
      </c>
      <c r="R97" s="306">
        <f t="shared" ca="1" si="49"/>
        <v>0.50905351530601761</v>
      </c>
      <c r="S97" s="307">
        <f t="shared" ca="1" si="50"/>
        <v>7.8627420600124074</v>
      </c>
      <c r="T97" s="304">
        <f t="shared" ca="1" si="30"/>
        <v>77.133499608721721</v>
      </c>
      <c r="U97" s="311">
        <f t="shared" ca="1" si="31"/>
        <v>0</v>
      </c>
      <c r="V97" s="306">
        <f t="shared" ca="1" si="32"/>
        <v>1.2190015443643762</v>
      </c>
      <c r="W97" s="304">
        <f t="shared" ca="1" si="33"/>
        <v>38.277247345827504</v>
      </c>
      <c r="Y97" s="314" t="str">
        <f t="shared" ca="1" si="51"/>
        <v/>
      </c>
      <c r="Z97" s="315" t="str">
        <f t="shared" ca="1" si="52"/>
        <v/>
      </c>
      <c r="AA97" s="316" t="str">
        <f t="shared" ca="1" si="53"/>
        <v/>
      </c>
      <c r="AC97" s="310" t="e">
        <f t="shared" ca="1" si="54"/>
        <v>#N/A</v>
      </c>
      <c r="AD97" s="323" t="e">
        <f t="shared" ca="1" si="55"/>
        <v>#N/A</v>
      </c>
      <c r="AE97" s="324">
        <f t="shared" ca="1" si="34"/>
        <v>49.087167309333324</v>
      </c>
      <c r="AG97" s="306">
        <f t="shared" ca="1" si="56"/>
        <v>114.71440228319675</v>
      </c>
      <c r="AH97" s="304">
        <f t="shared" ca="1" si="57"/>
        <v>124.47878571396231</v>
      </c>
    </row>
    <row r="98" spans="1:34" x14ac:dyDescent="0.2">
      <c r="A98" s="347">
        <f t="shared" ca="1" si="35"/>
        <v>0.01</v>
      </c>
      <c r="B98" s="304">
        <f t="shared" ca="1" si="36"/>
        <v>0.94000000000000061</v>
      </c>
      <c r="D98" s="306">
        <f t="shared" ca="1" si="37"/>
        <v>11.992930986825028</v>
      </c>
      <c r="E98" s="307">
        <f t="shared" ca="1" si="38"/>
        <v>114.00302522074401</v>
      </c>
      <c r="F98" s="304">
        <f t="shared" ca="1" si="39"/>
        <v>114.63210786309541</v>
      </c>
      <c r="G98" s="306">
        <f t="shared" ca="1" si="40"/>
        <v>10.471788987394568</v>
      </c>
      <c r="H98" s="307">
        <f t="shared" ca="1" si="41"/>
        <v>108.01090816713834</v>
      </c>
      <c r="I98" s="304">
        <f t="shared" ca="1" si="42"/>
        <v>108.51734722009431</v>
      </c>
      <c r="J98" s="306">
        <f t="shared" ca="1" si="43"/>
        <v>4.6845865107053486</v>
      </c>
      <c r="K98" s="307">
        <f t="shared" ca="1" si="44"/>
        <v>50.161576239743674</v>
      </c>
      <c r="L98" s="304">
        <f t="shared" ca="1" si="29"/>
        <v>50.379847971504432</v>
      </c>
      <c r="M98" s="306">
        <f t="shared" ca="1" si="45"/>
        <v>1.4741471737043625</v>
      </c>
      <c r="N98" s="304">
        <f t="shared" ca="1" si="46"/>
        <v>84.462411434398618</v>
      </c>
      <c r="P98" s="310">
        <f t="shared" ca="1" si="47"/>
        <v>6</v>
      </c>
      <c r="Q98" s="304">
        <f t="shared" ca="1" si="48"/>
        <v>1015.7105263157895</v>
      </c>
      <c r="R98" s="306">
        <f t="shared" ca="1" si="49"/>
        <v>0.50880217034704978</v>
      </c>
      <c r="S98" s="307">
        <f t="shared" ca="1" si="50"/>
        <v>7.8576540383089366</v>
      </c>
      <c r="T98" s="304">
        <f t="shared" ca="1" si="30"/>
        <v>77.083586115810675</v>
      </c>
      <c r="U98" s="311">
        <f t="shared" ca="1" si="31"/>
        <v>0</v>
      </c>
      <c r="V98" s="306">
        <f t="shared" ca="1" si="32"/>
        <v>1.2188705799791155</v>
      </c>
      <c r="W98" s="304">
        <f t="shared" ca="1" si="33"/>
        <v>39.094697297903359</v>
      </c>
      <c r="Y98" s="314" t="str">
        <f t="shared" ca="1" si="51"/>
        <v/>
      </c>
      <c r="Z98" s="315" t="str">
        <f t="shared" ca="1" si="52"/>
        <v/>
      </c>
      <c r="AA98" s="316" t="str">
        <f t="shared" ca="1" si="53"/>
        <v/>
      </c>
      <c r="AC98" s="310" t="e">
        <f t="shared" ca="1" si="54"/>
        <v>#N/A</v>
      </c>
      <c r="AD98" s="323" t="e">
        <f t="shared" ca="1" si="55"/>
        <v>#N/A</v>
      </c>
      <c r="AE98" s="324">
        <f t="shared" ca="1" si="34"/>
        <v>50.161576239743674</v>
      </c>
      <c r="AG98" s="306">
        <f t="shared" ca="1" si="56"/>
        <v>114.62820600594785</v>
      </c>
      <c r="AH98" s="304">
        <f t="shared" ca="1" si="57"/>
        <v>124.39250623718191</v>
      </c>
    </row>
    <row r="99" spans="1:34" x14ac:dyDescent="0.2">
      <c r="A99" s="347">
        <f t="shared" ca="1" si="35"/>
        <v>0.01</v>
      </c>
      <c r="B99" s="304">
        <f t="shared" ca="1" si="36"/>
        <v>0.95000000000000062</v>
      </c>
      <c r="D99" s="306">
        <f t="shared" ca="1" si="37"/>
        <v>11.995284516370671</v>
      </c>
      <c r="E99" s="307">
        <f t="shared" ca="1" si="38"/>
        <v>113.91495052144521</v>
      </c>
      <c r="F99" s="304">
        <f t="shared" ca="1" si="39"/>
        <v>114.54476331518605</v>
      </c>
      <c r="G99" s="306">
        <f t="shared" ca="1" si="40"/>
        <v>10.591741832558276</v>
      </c>
      <c r="H99" s="307">
        <f t="shared" ca="1" si="41"/>
        <v>109.15005767235279</v>
      </c>
      <c r="I99" s="304">
        <f t="shared" ca="1" si="42"/>
        <v>109.66275614321164</v>
      </c>
      <c r="J99" s="306">
        <f t="shared" ca="1" si="43"/>
        <v>4.7899041648051126</v>
      </c>
      <c r="K99" s="307">
        <f t="shared" ca="1" si="44"/>
        <v>51.247381068941131</v>
      </c>
      <c r="L99" s="304">
        <f t="shared" ca="1" si="29"/>
        <v>51.470741672655961</v>
      </c>
      <c r="M99" s="306">
        <f t="shared" ca="1" si="45"/>
        <v>1.4740608497026066</v>
      </c>
      <c r="N99" s="304">
        <f t="shared" ca="1" si="46"/>
        <v>84.45746543342733</v>
      </c>
      <c r="P99" s="310">
        <f t="shared" ca="1" si="47"/>
        <v>6</v>
      </c>
      <c r="Q99" s="304">
        <f t="shared" ca="1" si="48"/>
        <v>1015.2087719298245</v>
      </c>
      <c r="R99" s="306">
        <f t="shared" ca="1" si="49"/>
        <v>0.50855082538808183</v>
      </c>
      <c r="S99" s="307">
        <f t="shared" ca="1" si="50"/>
        <v>7.8525685300550556</v>
      </c>
      <c r="T99" s="304">
        <f t="shared" ca="1" si="30"/>
        <v>77.033697279840098</v>
      </c>
      <c r="U99" s="311">
        <f t="shared" ca="1" si="31"/>
        <v>0</v>
      </c>
      <c r="V99" s="306">
        <f t="shared" ca="1" si="32"/>
        <v>1.2187382407571588</v>
      </c>
      <c r="W99" s="304">
        <f t="shared" ca="1" si="33"/>
        <v>39.920013083756466</v>
      </c>
      <c r="Y99" s="314" t="str">
        <f t="shared" ca="1" si="51"/>
        <v/>
      </c>
      <c r="Z99" s="315" t="str">
        <f t="shared" ca="1" si="52"/>
        <v/>
      </c>
      <c r="AA99" s="316" t="str">
        <f t="shared" ca="1" si="53"/>
        <v/>
      </c>
      <c r="AC99" s="310" t="e">
        <f t="shared" ca="1" si="54"/>
        <v>#N/A</v>
      </c>
      <c r="AD99" s="323" t="e">
        <f t="shared" ca="1" si="55"/>
        <v>#N/A</v>
      </c>
      <c r="AE99" s="324">
        <f t="shared" ca="1" si="34"/>
        <v>51.247381068941131</v>
      </c>
      <c r="AG99" s="306">
        <f t="shared" ca="1" si="56"/>
        <v>114.5408514523059</v>
      </c>
      <c r="AH99" s="304">
        <f t="shared" ca="1" si="57"/>
        <v>124.30506921345867</v>
      </c>
    </row>
    <row r="100" spans="1:34" x14ac:dyDescent="0.2">
      <c r="A100" s="347">
        <f t="shared" ca="1" si="35"/>
        <v>0.01</v>
      </c>
      <c r="B100" s="304">
        <f t="shared" ca="1" si="36"/>
        <v>0.96000000000000063</v>
      </c>
      <c r="D100" s="306">
        <f t="shared" ca="1" si="37"/>
        <v>11.9974082291542</v>
      </c>
      <c r="E100" s="307">
        <f t="shared" ca="1" si="38"/>
        <v>113.82573629651498</v>
      </c>
      <c r="F100" s="304">
        <f t="shared" ca="1" si="39"/>
        <v>114.45626259694463</v>
      </c>
      <c r="G100" s="306">
        <f t="shared" ca="1" si="40"/>
        <v>10.711715914849817</v>
      </c>
      <c r="H100" s="307">
        <f t="shared" ca="1" si="41"/>
        <v>110.28831503531794</v>
      </c>
      <c r="I100" s="304">
        <f t="shared" ca="1" si="42"/>
        <v>110.80727995565086</v>
      </c>
      <c r="J100" s="306">
        <f t="shared" ca="1" si="43"/>
        <v>4.8964214535421533</v>
      </c>
      <c r="K100" s="307">
        <f t="shared" ca="1" si="44"/>
        <v>52.344572932479487</v>
      </c>
      <c r="L100" s="304">
        <f t="shared" ca="1" si="29"/>
        <v>52.573084925029576</v>
      </c>
      <c r="M100" s="306">
        <f t="shared" ca="1" si="45"/>
        <v>1.4739753412704379</v>
      </c>
      <c r="N100" s="304">
        <f t="shared" ca="1" si="46"/>
        <v>84.452566161151282</v>
      </c>
      <c r="P100" s="310">
        <f t="shared" ca="1" si="47"/>
        <v>6</v>
      </c>
      <c r="Q100" s="304">
        <f t="shared" ca="1" si="48"/>
        <v>1014.7070175438596</v>
      </c>
      <c r="R100" s="306">
        <f t="shared" ca="1" si="49"/>
        <v>0.50829948042911399</v>
      </c>
      <c r="S100" s="307">
        <f t="shared" ca="1" si="50"/>
        <v>7.8474855352507644</v>
      </c>
      <c r="T100" s="304">
        <f t="shared" ca="1" si="30"/>
        <v>76.983833100810003</v>
      </c>
      <c r="U100" s="311">
        <f t="shared" ca="1" si="31"/>
        <v>0</v>
      </c>
      <c r="V100" s="306">
        <f t="shared" ca="1" si="32"/>
        <v>1.2186045282277023</v>
      </c>
      <c r="W100" s="304">
        <f t="shared" ca="1" si="33"/>
        <v>40.753160882030279</v>
      </c>
      <c r="Y100" s="314" t="str">
        <f t="shared" ca="1" si="51"/>
        <v/>
      </c>
      <c r="Z100" s="315" t="str">
        <f t="shared" ca="1" si="52"/>
        <v/>
      </c>
      <c r="AA100" s="316" t="str">
        <f t="shared" ca="1" si="53"/>
        <v/>
      </c>
      <c r="AC100" s="310" t="e">
        <f t="shared" ca="1" si="54"/>
        <v>#N/A</v>
      </c>
      <c r="AD100" s="323" t="e">
        <f t="shared" ca="1" si="55"/>
        <v>#N/A</v>
      </c>
      <c r="AE100" s="324">
        <f t="shared" ca="1" si="34"/>
        <v>52.344572932479487</v>
      </c>
      <c r="AG100" s="306">
        <f t="shared" ca="1" si="56"/>
        <v>114.4523407344854</v>
      </c>
      <c r="AH100" s="304">
        <f t="shared" ca="1" si="57"/>
        <v>124.21647674040014</v>
      </c>
    </row>
    <row r="101" spans="1:34" x14ac:dyDescent="0.2">
      <c r="A101" s="347">
        <f t="shared" ca="1" si="35"/>
        <v>0.01</v>
      </c>
      <c r="B101" s="304">
        <f t="shared" ca="1" si="36"/>
        <v>0.97000000000000064</v>
      </c>
      <c r="D101" s="306">
        <f t="shared" ca="1" si="37"/>
        <v>11.999304378849635</v>
      </c>
      <c r="E101" s="307">
        <f t="shared" ca="1" si="38"/>
        <v>113.73538451721012</v>
      </c>
      <c r="F101" s="304">
        <f t="shared" ca="1" si="39"/>
        <v>114.36660787508703</v>
      </c>
      <c r="G101" s="306">
        <f t="shared" ca="1" si="40"/>
        <v>10.831708958638313</v>
      </c>
      <c r="H101" s="307">
        <f t="shared" ca="1" si="41"/>
        <v>111.42566888049004</v>
      </c>
      <c r="I101" s="304">
        <f t="shared" ca="1" si="42"/>
        <v>111.95090711749168</v>
      </c>
      <c r="J101" s="306">
        <f t="shared" ca="1" si="43"/>
        <v>5.0041385779095942</v>
      </c>
      <c r="K101" s="307">
        <f t="shared" ca="1" si="44"/>
        <v>53.453142852058527</v>
      </c>
      <c r="L101" s="304">
        <f t="shared" ca="1" si="29"/>
        <v>53.686868819754224</v>
      </c>
      <c r="M101" s="306">
        <f t="shared" ca="1" si="45"/>
        <v>1.4738906317656126</v>
      </c>
      <c r="N101" s="304">
        <f t="shared" ca="1" si="46"/>
        <v>84.447712664040154</v>
      </c>
      <c r="P101" s="310">
        <f t="shared" ca="1" si="47"/>
        <v>6</v>
      </c>
      <c r="Q101" s="304">
        <f t="shared" ca="1" si="48"/>
        <v>1014.2052631578947</v>
      </c>
      <c r="R101" s="306">
        <f t="shared" ca="1" si="49"/>
        <v>0.50804813547014605</v>
      </c>
      <c r="S101" s="307">
        <f t="shared" ca="1" si="50"/>
        <v>7.842405053896063</v>
      </c>
      <c r="T101" s="304">
        <f t="shared" ca="1" si="30"/>
        <v>76.933993578720376</v>
      </c>
      <c r="U101" s="311">
        <f t="shared" ca="1" si="31"/>
        <v>0</v>
      </c>
      <c r="V101" s="306">
        <f t="shared" ca="1" si="32"/>
        <v>1.2184694439379276</v>
      </c>
      <c r="W101" s="304">
        <f t="shared" ca="1" si="33"/>
        <v>41.59410651432237</v>
      </c>
      <c r="Y101" s="314" t="str">
        <f t="shared" ca="1" si="51"/>
        <v/>
      </c>
      <c r="Z101" s="315" t="str">
        <f t="shared" ca="1" si="52"/>
        <v/>
      </c>
      <c r="AA101" s="316" t="str">
        <f t="shared" ca="1" si="53"/>
        <v/>
      </c>
      <c r="AC101" s="310" t="e">
        <f t="shared" ca="1" si="54"/>
        <v>#N/A</v>
      </c>
      <c r="AD101" s="323" t="e">
        <f t="shared" ca="1" si="55"/>
        <v>#N/A</v>
      </c>
      <c r="AE101" s="324">
        <f t="shared" ca="1" si="34"/>
        <v>53.453142852058527</v>
      </c>
      <c r="AG101" s="306">
        <f t="shared" ca="1" si="56"/>
        <v>114.36267601777635</v>
      </c>
      <c r="AH101" s="304">
        <f t="shared" ca="1" si="57"/>
        <v>124.12673096912519</v>
      </c>
    </row>
    <row r="102" spans="1:34" x14ac:dyDescent="0.2">
      <c r="A102" s="347">
        <f t="shared" ca="1" si="35"/>
        <v>0.01</v>
      </c>
      <c r="B102" s="304">
        <f t="shared" ca="1" si="36"/>
        <v>0.98000000000000065</v>
      </c>
      <c r="D102" s="306">
        <f t="shared" ca="1" si="37"/>
        <v>12.000975160010363</v>
      </c>
      <c r="E102" s="307">
        <f t="shared" ca="1" si="38"/>
        <v>113.64389721313243</v>
      </c>
      <c r="F102" s="304">
        <f t="shared" ca="1" si="39"/>
        <v>114.27580136923213</v>
      </c>
      <c r="G102" s="306">
        <f t="shared" ca="1" si="40"/>
        <v>10.951718710238417</v>
      </c>
      <c r="H102" s="307">
        <f t="shared" ca="1" si="41"/>
        <v>112.56210785262137</v>
      </c>
      <c r="I102" s="304">
        <f t="shared" ca="1" si="42"/>
        <v>113.09362611099421</v>
      </c>
      <c r="J102" s="306">
        <f t="shared" ca="1" si="43"/>
        <v>5.113055716253978</v>
      </c>
      <c r="K102" s="307">
        <f t="shared" ca="1" si="44"/>
        <v>54.573081735724081</v>
      </c>
      <c r="L102" s="304">
        <f t="shared" ca="1" si="29"/>
        <v>54.812084332668277</v>
      </c>
      <c r="M102" s="306">
        <f t="shared" ca="1" si="45"/>
        <v>1.4738067050468275</v>
      </c>
      <c r="N102" s="304">
        <f t="shared" ca="1" si="46"/>
        <v>84.442904017265377</v>
      </c>
      <c r="P102" s="310">
        <f t="shared" ca="1" si="47"/>
        <v>6</v>
      </c>
      <c r="Q102" s="304">
        <f t="shared" ca="1" si="48"/>
        <v>1013.7035087719298</v>
      </c>
      <c r="R102" s="306">
        <f t="shared" ca="1" si="49"/>
        <v>0.50779679051117821</v>
      </c>
      <c r="S102" s="307">
        <f t="shared" ca="1" si="50"/>
        <v>7.8373270859909514</v>
      </c>
      <c r="T102" s="304">
        <f t="shared" ca="1" si="30"/>
        <v>76.884178713571231</v>
      </c>
      <c r="U102" s="311">
        <f t="shared" ca="1" si="31"/>
        <v>0</v>
      </c>
      <c r="V102" s="306">
        <f t="shared" ca="1" si="32"/>
        <v>1.2183329894529495</v>
      </c>
      <c r="W102" s="304">
        <f t="shared" ca="1" si="33"/>
        <v>42.44281544774806</v>
      </c>
      <c r="Y102" s="314" t="str">
        <f t="shared" ca="1" si="51"/>
        <v/>
      </c>
      <c r="Z102" s="315" t="str">
        <f t="shared" ca="1" si="52"/>
        <v/>
      </c>
      <c r="AA102" s="316" t="str">
        <f t="shared" ca="1" si="53"/>
        <v/>
      </c>
      <c r="AC102" s="310" t="e">
        <f t="shared" ca="1" si="54"/>
        <v>#N/A</v>
      </c>
      <c r="AD102" s="323" t="e">
        <f t="shared" ca="1" si="55"/>
        <v>#N/A</v>
      </c>
      <c r="AE102" s="324">
        <f t="shared" ca="1" si="34"/>
        <v>54.573081735724081</v>
      </c>
      <c r="AG102" s="306">
        <f t="shared" ca="1" si="56"/>
        <v>114.27185952040591</v>
      </c>
      <c r="AH102" s="304">
        <f t="shared" ca="1" si="57"/>
        <v>124.03583410410822</v>
      </c>
    </row>
    <row r="103" spans="1:34" x14ac:dyDescent="0.2">
      <c r="A103" s="347">
        <f t="shared" ca="1" si="35"/>
        <v>0.01</v>
      </c>
      <c r="B103" s="304">
        <f t="shared" ca="1" si="36"/>
        <v>0.99000000000000066</v>
      </c>
      <c r="D103" s="306">
        <f t="shared" ca="1" si="37"/>
        <v>12.002422710710139</v>
      </c>
      <c r="E103" s="307">
        <f t="shared" ca="1" si="38"/>
        <v>113.55127647185495</v>
      </c>
      <c r="F103" s="304">
        <f t="shared" ca="1" si="39"/>
        <v>114.18384535175809</v>
      </c>
      <c r="G103" s="306">
        <f t="shared" ca="1" si="40"/>
        <v>11.071742937345519</v>
      </c>
      <c r="H103" s="307">
        <f t="shared" ca="1" si="41"/>
        <v>113.69762061733992</v>
      </c>
      <c r="I103" s="304">
        <f t="shared" ca="1" si="42"/>
        <v>114.23542544112672</v>
      </c>
      <c r="J103" s="306">
        <f t="shared" ca="1" si="43"/>
        <v>5.2231730244918975</v>
      </c>
      <c r="K103" s="307">
        <f t="shared" ca="1" si="44"/>
        <v>55.704380378073886</v>
      </c>
      <c r="L103" s="304">
        <f t="shared" ca="1" si="29"/>
        <v>55.948722324543951</v>
      </c>
      <c r="M103" s="306">
        <f t="shared" ca="1" si="45"/>
        <v>1.473723545453661</v>
      </c>
      <c r="N103" s="304">
        <f t="shared" ca="1" si="46"/>
        <v>84.438139323550914</v>
      </c>
      <c r="P103" s="310">
        <f t="shared" ca="1" si="47"/>
        <v>6</v>
      </c>
      <c r="Q103" s="304">
        <f t="shared" ca="1" si="48"/>
        <v>1013.2017543859648</v>
      </c>
      <c r="R103" s="306">
        <f t="shared" ca="1" si="49"/>
        <v>0.50754544555221026</v>
      </c>
      <c r="S103" s="307">
        <f t="shared" ca="1" si="50"/>
        <v>7.8322516315354296</v>
      </c>
      <c r="T103" s="304">
        <f t="shared" ca="1" si="30"/>
        <v>76.834388505362568</v>
      </c>
      <c r="U103" s="311">
        <f t="shared" ca="1" si="31"/>
        <v>0</v>
      </c>
      <c r="V103" s="306">
        <f t="shared" ca="1" si="32"/>
        <v>1.2181951663557726</v>
      </c>
      <c r="W103" s="304">
        <f t="shared" ca="1" si="33"/>
        <v>43.299252797538664</v>
      </c>
      <c r="Y103" s="314" t="str">
        <f t="shared" ca="1" si="51"/>
        <v/>
      </c>
      <c r="Z103" s="315" t="str">
        <f t="shared" ca="1" si="52"/>
        <v/>
      </c>
      <c r="AA103" s="316" t="str">
        <f t="shared" ca="1" si="53"/>
        <v/>
      </c>
      <c r="AC103" s="310" t="e">
        <f t="shared" ca="1" si="54"/>
        <v>#N/A</v>
      </c>
      <c r="AD103" s="323" t="e">
        <f t="shared" ca="1" si="55"/>
        <v>#N/A</v>
      </c>
      <c r="AE103" s="324">
        <f t="shared" ca="1" si="34"/>
        <v>55.704380378073886</v>
      </c>
      <c r="AG103" s="306">
        <f t="shared" ca="1" si="56"/>
        <v>114.17989351339332</v>
      </c>
      <c r="AH103" s="304">
        <f t="shared" ca="1" si="57"/>
        <v>123.94378840301761</v>
      </c>
    </row>
    <row r="104" spans="1:34" x14ac:dyDescent="0.2">
      <c r="A104" s="347">
        <f t="shared" ca="1" si="35"/>
        <v>0.01</v>
      </c>
      <c r="B104" s="304">
        <f t="shared" ca="1" si="36"/>
        <v>1.0000000000000007</v>
      </c>
      <c r="D104" s="306">
        <f t="shared" ca="1" si="37"/>
        <v>12.003649115050012</v>
      </c>
      <c r="E104" s="307">
        <f t="shared" ca="1" si="38"/>
        <v>113.45752443855382</v>
      </c>
      <c r="F104" s="304">
        <f t="shared" ca="1" si="39"/>
        <v>114.09074214765315</v>
      </c>
      <c r="G104" s="306">
        <f t="shared" ca="1" si="40"/>
        <v>11.191779428496019</v>
      </c>
      <c r="H104" s="307">
        <f t="shared" ca="1" si="41"/>
        <v>114.83219586172547</v>
      </c>
      <c r="I104" s="304">
        <f t="shared" ca="1" si="42"/>
        <v>115.37629363609227</v>
      </c>
      <c r="J104" s="306">
        <f t="shared" ca="1" si="43"/>
        <v>5.3344906363211049</v>
      </c>
      <c r="K104" s="307">
        <f t="shared" ca="1" si="44"/>
        <v>56.847029460469216</v>
      </c>
      <c r="L104" s="304">
        <f t="shared" ca="1" si="29"/>
        <v>57.096773541317134</v>
      </c>
      <c r="M104" s="306">
        <f t="shared" ca="1" si="45"/>
        <v>1.4736411377875152</v>
      </c>
      <c r="N104" s="304">
        <f t="shared" ca="1" si="46"/>
        <v>84.433417712081237</v>
      </c>
      <c r="P104" s="310">
        <f t="shared" ca="1" si="47"/>
        <v>6</v>
      </c>
      <c r="Q104" s="304">
        <f t="shared" ca="1" si="48"/>
        <v>1012.6999999999999</v>
      </c>
      <c r="R104" s="306">
        <f t="shared" ca="1" si="49"/>
        <v>0.50729410059324243</v>
      </c>
      <c r="S104" s="307">
        <f t="shared" ca="1" si="50"/>
        <v>7.8271786905294976</v>
      </c>
      <c r="T104" s="304">
        <f t="shared" ca="1" si="30"/>
        <v>76.784622954094374</v>
      </c>
      <c r="U104" s="311">
        <f t="shared" ca="1" si="31"/>
        <v>0</v>
      </c>
      <c r="V104" s="306">
        <f t="shared" ca="1" si="32"/>
        <v>1.2180559762472349</v>
      </c>
      <c r="W104" s="304">
        <f t="shared" ca="1" si="33"/>
        <v>44.163383329674097</v>
      </c>
      <c r="Y104" s="314" t="str">
        <f t="shared" ca="1" si="51"/>
        <v/>
      </c>
      <c r="Z104" s="315" t="str">
        <f t="shared" ca="1" si="52"/>
        <v/>
      </c>
      <c r="AA104" s="316" t="str">
        <f t="shared" ca="1" si="53"/>
        <v/>
      </c>
      <c r="AC104" s="310">
        <f t="shared" ca="1" si="54"/>
        <v>1.0000000000000007</v>
      </c>
      <c r="AD104" s="323">
        <f t="shared" ca="1" si="55"/>
        <v>5.3344906363211049</v>
      </c>
      <c r="AE104" s="324">
        <f t="shared" ca="1" si="34"/>
        <v>56.847029460469216</v>
      </c>
      <c r="AG104" s="306">
        <f t="shared" ca="1" si="56"/>
        <v>114.08678032039946</v>
      </c>
      <c r="AH104" s="304">
        <f t="shared" ca="1" si="57"/>
        <v>123.85059617654937</v>
      </c>
    </row>
    <row r="105" spans="1:34" x14ac:dyDescent="0.2">
      <c r="A105" s="347">
        <f t="shared" ca="1" si="35"/>
        <v>0.01</v>
      </c>
      <c r="B105" s="304">
        <f t="shared" ca="1" si="36"/>
        <v>1.0100000000000007</v>
      </c>
      <c r="D105" s="306">
        <f t="shared" ca="1" si="37"/>
        <v>12.004656405538462</v>
      </c>
      <c r="E105" s="307">
        <f t="shared" ca="1" si="38"/>
        <v>113.36264331564458</v>
      </c>
      <c r="F105" s="304">
        <f t="shared" ca="1" si="39"/>
        <v>113.99649413435964</v>
      </c>
      <c r="G105" s="306">
        <f t="shared" ca="1" si="40"/>
        <v>11.311825992551404</v>
      </c>
      <c r="H105" s="307">
        <f t="shared" ca="1" si="41"/>
        <v>115.96582229488192</v>
      </c>
      <c r="I105" s="304">
        <f t="shared" ca="1" si="42"/>
        <v>116.51621924785361</v>
      </c>
      <c r="J105" s="306">
        <f t="shared" ca="1" si="43"/>
        <v>5.4470086634263417</v>
      </c>
      <c r="K105" s="307">
        <f t="shared" ca="1" si="44"/>
        <v>58.001019551252256</v>
      </c>
      <c r="L105" s="304">
        <f t="shared" ca="1" si="29"/>
        <v>58.256228614322332</v>
      </c>
      <c r="M105" s="306">
        <f t="shared" ca="1" si="45"/>
        <v>1.4735594672934944</v>
      </c>
      <c r="N105" s="304">
        <f t="shared" ca="1" si="46"/>
        <v>84.428738337463102</v>
      </c>
      <c r="P105" s="310">
        <f t="shared" ca="1" si="47"/>
        <v>6</v>
      </c>
      <c r="Q105" s="304">
        <f t="shared" ca="1" si="48"/>
        <v>1012.198245614035</v>
      </c>
      <c r="R105" s="306">
        <f t="shared" ca="1" si="49"/>
        <v>0.50704275563427448</v>
      </c>
      <c r="S105" s="307">
        <f t="shared" ca="1" si="50"/>
        <v>7.8221082629731544</v>
      </c>
      <c r="T105" s="304">
        <f t="shared" ca="1" si="30"/>
        <v>76.734882059766647</v>
      </c>
      <c r="U105" s="311">
        <f t="shared" ca="1" si="31"/>
        <v>0</v>
      </c>
      <c r="V105" s="306">
        <f t="shared" ca="1" si="32"/>
        <v>1.217915420745963</v>
      </c>
      <c r="W105" s="304">
        <f t="shared" ca="1" si="33"/>
        <v>45.035171463549787</v>
      </c>
      <c r="Y105" s="314" t="str">
        <f t="shared" ca="1" si="51"/>
        <v/>
      </c>
      <c r="Z105" s="315" t="str">
        <f t="shared" ca="1" si="52"/>
        <v/>
      </c>
      <c r="AA105" s="316" t="str">
        <f t="shared" ca="1" si="53"/>
        <v/>
      </c>
      <c r="AC105" s="310" t="e">
        <f t="shared" ca="1" si="54"/>
        <v>#N/A</v>
      </c>
      <c r="AD105" s="323" t="e">
        <f t="shared" ca="1" si="55"/>
        <v>#N/A</v>
      </c>
      <c r="AE105" s="324">
        <f t="shared" ca="1" si="34"/>
        <v>58.001019551252256</v>
      </c>
      <c r="AG105" s="306">
        <f t="shared" ca="1" si="56"/>
        <v>113.99252231756941</v>
      </c>
      <c r="AH105" s="304">
        <f t="shared" ca="1" si="57"/>
        <v>123.75625978825491</v>
      </c>
    </row>
    <row r="106" spans="1:34" x14ac:dyDescent="0.2">
      <c r="A106" s="347">
        <f t="shared" ca="1" si="35"/>
        <v>0.01</v>
      </c>
      <c r="B106" s="304">
        <f t="shared" ca="1" si="36"/>
        <v>1.0200000000000007</v>
      </c>
      <c r="D106" s="306">
        <f t="shared" ca="1" si="37"/>
        <v>12.005446565352976</v>
      </c>
      <c r="E106" s="307">
        <f t="shared" ca="1" si="38"/>
        <v>113.26663536242251</v>
      </c>
      <c r="F106" s="304">
        <f t="shared" ca="1" si="39"/>
        <v>113.90110374161229</v>
      </c>
      <c r="G106" s="306">
        <f t="shared" ca="1" si="40"/>
        <v>11.431880458204933</v>
      </c>
      <c r="H106" s="307">
        <f t="shared" ca="1" si="41"/>
        <v>117.09848864850615</v>
      </c>
      <c r="I106" s="304">
        <f t="shared" ca="1" si="42"/>
        <v>117.65519085265645</v>
      </c>
      <c r="J106" s="306">
        <f t="shared" ca="1" si="43"/>
        <v>5.5607271956801236</v>
      </c>
      <c r="K106" s="307">
        <f t="shared" ca="1" si="44"/>
        <v>59.166341105969195</v>
      </c>
      <c r="L106" s="304">
        <f t="shared" ca="1" si="29"/>
        <v>59.427078060532949</v>
      </c>
      <c r="M106" s="306">
        <f t="shared" ca="1" si="45"/>
        <v>1.4734785196431692</v>
      </c>
      <c r="N106" s="304">
        <f t="shared" ca="1" si="46"/>
        <v>84.424100378737961</v>
      </c>
      <c r="P106" s="310">
        <f t="shared" ca="1" si="47"/>
        <v>6</v>
      </c>
      <c r="Q106" s="304">
        <f t="shared" ca="1" si="48"/>
        <v>1011.6964912280702</v>
      </c>
      <c r="R106" s="306">
        <f t="shared" ca="1" si="49"/>
        <v>0.50679141067530664</v>
      </c>
      <c r="S106" s="307">
        <f t="shared" ca="1" si="50"/>
        <v>7.8170403488664011</v>
      </c>
      <c r="T106" s="304">
        <f t="shared" ca="1" si="30"/>
        <v>76.685165822379403</v>
      </c>
      <c r="U106" s="311">
        <f t="shared" ca="1" si="31"/>
        <v>0</v>
      </c>
      <c r="V106" s="306">
        <f t="shared" ca="1" si="32"/>
        <v>1.2177735014883158</v>
      </c>
      <c r="W106" s="304">
        <f t="shared" ca="1" si="33"/>
        <v>45.91458127467692</v>
      </c>
      <c r="Y106" s="314" t="str">
        <f t="shared" ca="1" si="51"/>
        <v/>
      </c>
      <c r="Z106" s="315" t="str">
        <f t="shared" ca="1" si="52"/>
        <v/>
      </c>
      <c r="AA106" s="316" t="str">
        <f t="shared" ca="1" si="53"/>
        <v/>
      </c>
      <c r="AC106" s="310" t="e">
        <f t="shared" ca="1" si="54"/>
        <v>#N/A</v>
      </c>
      <c r="AD106" s="323" t="e">
        <f t="shared" ca="1" si="55"/>
        <v>#N/A</v>
      </c>
      <c r="AE106" s="324">
        <f t="shared" ca="1" si="34"/>
        <v>59.166341105969195</v>
      </c>
      <c r="AG106" s="306">
        <f t="shared" ca="1" si="56"/>
        <v>113.89712193336972</v>
      </c>
      <c r="AH106" s="304">
        <f t="shared" ca="1" si="57"/>
        <v>123.66078165436387</v>
      </c>
    </row>
    <row r="107" spans="1:34" x14ac:dyDescent="0.2">
      <c r="A107" s="347">
        <f t="shared" ca="1" si="35"/>
        <v>0.01</v>
      </c>
      <c r="B107" s="304">
        <f t="shared" ca="1" si="36"/>
        <v>1.0300000000000007</v>
      </c>
      <c r="D107" s="306">
        <f t="shared" ca="1" si="37"/>
        <v>12.006021530489582</v>
      </c>
      <c r="E107" s="307">
        <f t="shared" ca="1" si="38"/>
        <v>113.16950289470681</v>
      </c>
      <c r="F107" s="304">
        <f t="shared" ca="1" si="39"/>
        <v>113.80457345127054</v>
      </c>
      <c r="G107" s="306">
        <f t="shared" ca="1" si="40"/>
        <v>11.551940673509829</v>
      </c>
      <c r="H107" s="307">
        <f t="shared" ca="1" si="41"/>
        <v>118.23018367745321</v>
      </c>
      <c r="I107" s="304">
        <f t="shared" ca="1" si="42"/>
        <v>118.79319705155096</v>
      </c>
      <c r="J107" s="306">
        <f t="shared" ca="1" si="43"/>
        <v>5.6756463013386975</v>
      </c>
      <c r="K107" s="307">
        <f t="shared" ca="1" si="44"/>
        <v>60.342984467598995</v>
      </c>
      <c r="L107" s="304">
        <f t="shared" ca="1" si="29"/>
        <v>60.609312282806783</v>
      </c>
      <c r="M107" s="306">
        <f t="shared" ca="1" si="45"/>
        <v>1.4733982809181712</v>
      </c>
      <c r="N107" s="304">
        <f t="shared" ca="1" si="46"/>
        <v>84.419503038442059</v>
      </c>
      <c r="P107" s="310">
        <f t="shared" ca="1" si="47"/>
        <v>6</v>
      </c>
      <c r="Q107" s="304">
        <f t="shared" ca="1" si="48"/>
        <v>1011.1947368421052</v>
      </c>
      <c r="R107" s="306">
        <f t="shared" ca="1" si="49"/>
        <v>0.50654006571633869</v>
      </c>
      <c r="S107" s="307">
        <f t="shared" ca="1" si="50"/>
        <v>7.8119749482092375</v>
      </c>
      <c r="T107" s="304">
        <f t="shared" ca="1" si="30"/>
        <v>76.635474241932627</v>
      </c>
      <c r="U107" s="311">
        <f t="shared" ca="1" si="31"/>
        <v>0</v>
      </c>
      <c r="V107" s="306">
        <f t="shared" ca="1" si="32"/>
        <v>1.2176302201283355</v>
      </c>
      <c r="W107" s="304">
        <f t="shared" ca="1" si="33"/>
        <v>46.801576497416214</v>
      </c>
      <c r="Y107" s="314" t="str">
        <f t="shared" ca="1" si="51"/>
        <v/>
      </c>
      <c r="Z107" s="315" t="str">
        <f t="shared" ca="1" si="52"/>
        <v/>
      </c>
      <c r="AA107" s="316" t="str">
        <f t="shared" ca="1" si="53"/>
        <v/>
      </c>
      <c r="AC107" s="310" t="e">
        <f t="shared" ca="1" si="54"/>
        <v>#N/A</v>
      </c>
      <c r="AD107" s="323" t="e">
        <f t="shared" ca="1" si="55"/>
        <v>#N/A</v>
      </c>
      <c r="AE107" s="324">
        <f t="shared" ca="1" si="34"/>
        <v>60.342984467598995</v>
      </c>
      <c r="AG107" s="306">
        <f t="shared" ca="1" si="56"/>
        <v>113.80058164841944</v>
      </c>
      <c r="AH107" s="304">
        <f t="shared" ca="1" si="57"/>
        <v>123.56416424360171</v>
      </c>
    </row>
    <row r="108" spans="1:34" x14ac:dyDescent="0.2">
      <c r="A108" s="347">
        <f t="shared" ca="1" si="35"/>
        <v>0.01</v>
      </c>
      <c r="B108" s="304">
        <f t="shared" ca="1" si="36"/>
        <v>1.0400000000000007</v>
      </c>
      <c r="D108" s="306">
        <f t="shared" ca="1" si="37"/>
        <v>12.006383191807041</v>
      </c>
      <c r="E108" s="307">
        <f t="shared" ca="1" si="38"/>
        <v>113.07124828448767</v>
      </c>
      <c r="F108" s="304">
        <f t="shared" ca="1" si="39"/>
        <v>113.7069057971448</v>
      </c>
      <c r="G108" s="306">
        <f t="shared" ca="1" si="40"/>
        <v>11.6720045054279</v>
      </c>
      <c r="H108" s="307">
        <f t="shared" ca="1" si="41"/>
        <v>119.36089616029808</v>
      </c>
      <c r="I108" s="304">
        <f t="shared" ca="1" si="42"/>
        <v>119.93022647091179</v>
      </c>
      <c r="J108" s="306">
        <f t="shared" ca="1" si="43"/>
        <v>5.7917660272333862</v>
      </c>
      <c r="K108" s="307">
        <f t="shared" ca="1" si="44"/>
        <v>61.530939866787755</v>
      </c>
      <c r="L108" s="304">
        <f t="shared" ca="1" si="29"/>
        <v>61.802921570136682</v>
      </c>
      <c r="M108" s="306">
        <f t="shared" ca="1" si="45"/>
        <v>1.4733187375945747</v>
      </c>
      <c r="N108" s="304">
        <f t="shared" ca="1" si="46"/>
        <v>84.414945541711546</v>
      </c>
      <c r="P108" s="310">
        <f t="shared" ca="1" si="47"/>
        <v>6</v>
      </c>
      <c r="Q108" s="304">
        <f t="shared" ca="1" si="48"/>
        <v>1010.6929824561403</v>
      </c>
      <c r="R108" s="306">
        <f t="shared" ca="1" si="49"/>
        <v>0.50628872075737075</v>
      </c>
      <c r="S108" s="307">
        <f t="shared" ca="1" si="50"/>
        <v>7.8069120610016638</v>
      </c>
      <c r="T108" s="304">
        <f t="shared" ca="1" si="30"/>
        <v>76.585807318426319</v>
      </c>
      <c r="U108" s="311">
        <f t="shared" ca="1" si="31"/>
        <v>0</v>
      </c>
      <c r="V108" s="306">
        <f t="shared" ca="1" si="32"/>
        <v>1.2174855783376903</v>
      </c>
      <c r="W108" s="304">
        <f t="shared" ca="1" si="33"/>
        <v>47.696120527744469</v>
      </c>
      <c r="Y108" s="314" t="str">
        <f t="shared" ca="1" si="51"/>
        <v/>
      </c>
      <c r="Z108" s="315" t="str">
        <f t="shared" ca="1" si="52"/>
        <v/>
      </c>
      <c r="AA108" s="316" t="str">
        <f t="shared" ca="1" si="53"/>
        <v/>
      </c>
      <c r="AC108" s="310" t="e">
        <f t="shared" ca="1" si="54"/>
        <v>#N/A</v>
      </c>
      <c r="AD108" s="323" t="e">
        <f t="shared" ca="1" si="55"/>
        <v>#N/A</v>
      </c>
      <c r="AE108" s="324">
        <f t="shared" ca="1" si="34"/>
        <v>61.530939866787755</v>
      </c>
      <c r="AG108" s="306">
        <f t="shared" ca="1" si="56"/>
        <v>113.70290399531534</v>
      </c>
      <c r="AH108" s="304">
        <f t="shared" ca="1" si="57"/>
        <v>123.46641007700197</v>
      </c>
    </row>
    <row r="109" spans="1:34" x14ac:dyDescent="0.2">
      <c r="A109" s="347">
        <f t="shared" ca="1" si="35"/>
        <v>0.01</v>
      </c>
      <c r="B109" s="304">
        <f t="shared" ca="1" si="36"/>
        <v>1.0500000000000007</v>
      </c>
      <c r="D109" s="306">
        <f t="shared" ca="1" si="37"/>
        <v>12.006533396971381</v>
      </c>
      <c r="E109" s="307">
        <f t="shared" ca="1" si="38"/>
        <v>112.97187395957602</v>
      </c>
      <c r="F109" s="304">
        <f t="shared" ca="1" si="39"/>
        <v>113.6081033648169</v>
      </c>
      <c r="G109" s="306">
        <f t="shared" ca="1" si="40"/>
        <v>11.792069839397614</v>
      </c>
      <c r="H109" s="307">
        <f t="shared" ca="1" si="41"/>
        <v>120.49061489989384</v>
      </c>
      <c r="I109" s="304">
        <f t="shared" ca="1" si="42"/>
        <v>121.06626776295596</v>
      </c>
      <c r="J109" s="306">
        <f t="shared" ca="1" si="43"/>
        <v>5.9090863989575135</v>
      </c>
      <c r="K109" s="307">
        <f t="shared" ca="1" si="44"/>
        <v>62.730197422088715</v>
      </c>
      <c r="L109" s="304">
        <f t="shared" ca="1" si="29"/>
        <v>63.007896097906418</v>
      </c>
      <c r="M109" s="306">
        <f t="shared" ca="1" si="45"/>
        <v>1.4732398765280159</v>
      </c>
      <c r="N109" s="304">
        <f t="shared" ca="1" si="46"/>
        <v>84.410427135429828</v>
      </c>
      <c r="P109" s="310">
        <f t="shared" ca="1" si="47"/>
        <v>6</v>
      </c>
      <c r="Q109" s="304">
        <f t="shared" ca="1" si="48"/>
        <v>1010.1912280701754</v>
      </c>
      <c r="R109" s="306">
        <f t="shared" ca="1" si="49"/>
        <v>0.50603737579840291</v>
      </c>
      <c r="S109" s="307">
        <f t="shared" ca="1" si="50"/>
        <v>7.8018516872436798</v>
      </c>
      <c r="T109" s="304">
        <f t="shared" ca="1" si="30"/>
        <v>76.536165051860507</v>
      </c>
      <c r="U109" s="311">
        <f t="shared" ca="1" si="31"/>
        <v>0</v>
      </c>
      <c r="V109" s="306">
        <f t="shared" ca="1" si="32"/>
        <v>1.2173395778056235</v>
      </c>
      <c r="W109" s="304">
        <f t="shared" ca="1" si="33"/>
        <v>48.598176426053826</v>
      </c>
      <c r="Y109" s="314" t="str">
        <f t="shared" ca="1" si="51"/>
        <v/>
      </c>
      <c r="Z109" s="315" t="str">
        <f t="shared" ca="1" si="52"/>
        <v/>
      </c>
      <c r="AA109" s="316" t="str">
        <f t="shared" ca="1" si="53"/>
        <v/>
      </c>
      <c r="AC109" s="310" t="e">
        <f t="shared" ca="1" si="54"/>
        <v>#N/A</v>
      </c>
      <c r="AD109" s="323" t="e">
        <f t="shared" ca="1" si="55"/>
        <v>#N/A</v>
      </c>
      <c r="AE109" s="324">
        <f t="shared" ca="1" si="34"/>
        <v>62.730197422088715</v>
      </c>
      <c r="AG109" s="306">
        <f t="shared" ca="1" si="56"/>
        <v>113.60409155845124</v>
      </c>
      <c r="AH109" s="304">
        <f t="shared" ca="1" si="57"/>
        <v>123.36752172771324</v>
      </c>
    </row>
    <row r="110" spans="1:34" x14ac:dyDescent="0.2">
      <c r="A110" s="347">
        <f t="shared" ca="1" si="35"/>
        <v>0.01</v>
      </c>
      <c r="B110" s="304">
        <f t="shared" ca="1" si="36"/>
        <v>1.0600000000000007</v>
      </c>
      <c r="D110" s="306">
        <f t="shared" ca="1" si="37"/>
        <v>12.006473952307049</v>
      </c>
      <c r="E110" s="307">
        <f t="shared" ca="1" si="38"/>
        <v>112.87138240325544</v>
      </c>
      <c r="F110" s="304">
        <f t="shared" ca="1" si="39"/>
        <v>113.50816879145461</v>
      </c>
      <c r="G110" s="306">
        <f t="shared" ca="1" si="40"/>
        <v>11.912134578920684</v>
      </c>
      <c r="H110" s="307">
        <f t="shared" ca="1" si="41"/>
        <v>121.6193287239264</v>
      </c>
      <c r="I110" s="304">
        <f t="shared" ca="1" si="42"/>
        <v>122.20130960625907</v>
      </c>
      <c r="J110" s="306">
        <f t="shared" ca="1" si="43"/>
        <v>6.0276074210491046</v>
      </c>
      <c r="K110" s="307">
        <f t="shared" ca="1" si="44"/>
        <v>63.940747140207819</v>
      </c>
      <c r="L110" s="304">
        <f t="shared" ca="1" si="29"/>
        <v>64.224225928151753</v>
      </c>
      <c r="M110" s="306">
        <f t="shared" ca="1" si="45"/>
        <v>1.4731616849395122</v>
      </c>
      <c r="N110" s="304">
        <f t="shared" ca="1" si="46"/>
        <v>84.405947087415143</v>
      </c>
      <c r="P110" s="310">
        <f t="shared" ca="1" si="47"/>
        <v>6</v>
      </c>
      <c r="Q110" s="304">
        <f t="shared" ca="1" si="48"/>
        <v>1009.6894736842105</v>
      </c>
      <c r="R110" s="306">
        <f t="shared" ca="1" si="49"/>
        <v>0.50578603083943507</v>
      </c>
      <c r="S110" s="307">
        <f t="shared" ca="1" si="50"/>
        <v>7.7967938269352857</v>
      </c>
      <c r="T110" s="304">
        <f t="shared" ca="1" si="30"/>
        <v>76.48654744223515</v>
      </c>
      <c r="U110" s="311">
        <f t="shared" ca="1" si="31"/>
        <v>0</v>
      </c>
      <c r="V110" s="306">
        <f t="shared" ca="1" si="32"/>
        <v>1.2171922202388961</v>
      </c>
      <c r="W110" s="304">
        <f t="shared" ca="1" si="33"/>
        <v>49.507706919982922</v>
      </c>
      <c r="Y110" s="314" t="str">
        <f t="shared" ca="1" si="51"/>
        <v/>
      </c>
      <c r="Z110" s="315" t="str">
        <f t="shared" ca="1" si="52"/>
        <v/>
      </c>
      <c r="AA110" s="316" t="str">
        <f t="shared" ca="1" si="53"/>
        <v/>
      </c>
      <c r="AC110" s="310" t="e">
        <f t="shared" ca="1" si="54"/>
        <v>#N/A</v>
      </c>
      <c r="AD110" s="323" t="e">
        <f t="shared" ca="1" si="55"/>
        <v>#N/A</v>
      </c>
      <c r="AE110" s="324">
        <f t="shared" ca="1" si="34"/>
        <v>63.940747140207819</v>
      </c>
      <c r="AG110" s="306">
        <f t="shared" ca="1" si="56"/>
        <v>113.50414697383171</v>
      </c>
      <c r="AH110" s="304">
        <f t="shared" ca="1" si="57"/>
        <v>123.26750182080117</v>
      </c>
    </row>
    <row r="111" spans="1:34" x14ac:dyDescent="0.2">
      <c r="A111" s="347">
        <f t="shared" ca="1" si="35"/>
        <v>0.01</v>
      </c>
      <c r="B111" s="304">
        <f t="shared" ca="1" si="36"/>
        <v>1.0700000000000007</v>
      </c>
      <c r="D111" s="306">
        <f t="shared" ca="1" si="37"/>
        <v>12.006206624559296</v>
      </c>
      <c r="E111" s="307">
        <f t="shared" ca="1" si="38"/>
        <v>112.76977615393621</v>
      </c>
      <c r="F111" s="304">
        <f t="shared" ca="1" si="39"/>
        <v>113.4071047656208</v>
      </c>
      <c r="G111" s="306">
        <f t="shared" ca="1" si="40"/>
        <v>12.032196645166277</v>
      </c>
      <c r="H111" s="307">
        <f t="shared" ca="1" si="41"/>
        <v>122.74702648546577</v>
      </c>
      <c r="I111" s="304">
        <f t="shared" ca="1" si="42"/>
        <v>123.33534070626952</v>
      </c>
      <c r="J111" s="306">
        <f t="shared" ca="1" si="43"/>
        <v>6.1473290771695392</v>
      </c>
      <c r="K111" s="307">
        <f t="shared" ca="1" si="44"/>
        <v>65.162578916254773</v>
      </c>
      <c r="L111" s="304">
        <f t="shared" ca="1" si="29"/>
        <v>65.451901009826642</v>
      </c>
      <c r="M111" s="306">
        <f t="shared" ca="1" si="45"/>
        <v>1.4730841504019376</v>
      </c>
      <c r="N111" s="304">
        <f t="shared" ca="1" si="46"/>
        <v>84.401504685645619</v>
      </c>
      <c r="P111" s="310">
        <f t="shared" ca="1" si="47"/>
        <v>6</v>
      </c>
      <c r="Q111" s="304">
        <f t="shared" ca="1" si="48"/>
        <v>1009.1877192982456</v>
      </c>
      <c r="R111" s="306">
        <f t="shared" ca="1" si="49"/>
        <v>0.50553468588046713</v>
      </c>
      <c r="S111" s="307">
        <f t="shared" ca="1" si="50"/>
        <v>7.7917384800764813</v>
      </c>
      <c r="T111" s="304">
        <f t="shared" ca="1" si="30"/>
        <v>76.436954489550288</v>
      </c>
      <c r="U111" s="311">
        <f t="shared" ca="1" si="31"/>
        <v>0</v>
      </c>
      <c r="V111" s="306">
        <f t="shared" ca="1" si="32"/>
        <v>1.2170435073617309</v>
      </c>
      <c r="W111" s="304">
        <f t="shared" ca="1" si="33"/>
        <v>50.424674407279923</v>
      </c>
      <c r="Y111" s="314" t="str">
        <f t="shared" ca="1" si="51"/>
        <v/>
      </c>
      <c r="Z111" s="315" t="str">
        <f t="shared" ca="1" si="52"/>
        <v/>
      </c>
      <c r="AA111" s="316" t="str">
        <f t="shared" ca="1" si="53"/>
        <v/>
      </c>
      <c r="AC111" s="310" t="e">
        <f t="shared" ca="1" si="54"/>
        <v>#N/A</v>
      </c>
      <c r="AD111" s="323" t="e">
        <f t="shared" ca="1" si="55"/>
        <v>#N/A</v>
      </c>
      <c r="AE111" s="324">
        <f t="shared" ca="1" si="34"/>
        <v>65.162578916254773</v>
      </c>
      <c r="AG111" s="306">
        <f t="shared" ca="1" si="56"/>
        <v>113.40307292888001</v>
      </c>
      <c r="AH111" s="304">
        <f t="shared" ca="1" si="57"/>
        <v>123.16635303304518</v>
      </c>
    </row>
    <row r="112" spans="1:34" x14ac:dyDescent="0.2">
      <c r="A112" s="347">
        <f t="shared" ca="1" si="35"/>
        <v>0.01</v>
      </c>
      <c r="B112" s="304">
        <f t="shared" ca="1" si="36"/>
        <v>1.0800000000000007</v>
      </c>
      <c r="D112" s="306">
        <f t="shared" ca="1" si="37"/>
        <v>12.005733142573286</v>
      </c>
      <c r="E112" s="307">
        <f t="shared" ca="1" si="38"/>
        <v>112.66705780481044</v>
      </c>
      <c r="F112" s="304">
        <f t="shared" ca="1" si="39"/>
        <v>113.30491402707642</v>
      </c>
      <c r="G112" s="306">
        <f t="shared" ca="1" si="40"/>
        <v>12.152253976592009</v>
      </c>
      <c r="H112" s="307">
        <f t="shared" ca="1" si="41"/>
        <v>123.87369706351387</v>
      </c>
      <c r="I112" s="304">
        <f t="shared" ca="1" si="42"/>
        <v>124.46834979582079</v>
      </c>
      <c r="J112" s="306">
        <f t="shared" ca="1" si="43"/>
        <v>6.2682513302783303</v>
      </c>
      <c r="K112" s="307">
        <f t="shared" ca="1" si="44"/>
        <v>66.395682533999675</v>
      </c>
      <c r="L112" s="304">
        <f t="shared" ca="1" si="29"/>
        <v>66.690911179074519</v>
      </c>
      <c r="M112" s="306">
        <f t="shared" ca="1" si="45"/>
        <v>1.4730072608271252</v>
      </c>
      <c r="N112" s="304">
        <f t="shared" ca="1" si="46"/>
        <v>84.397099237520308</v>
      </c>
      <c r="P112" s="310">
        <f t="shared" ca="1" si="47"/>
        <v>6</v>
      </c>
      <c r="Q112" s="304">
        <f t="shared" ca="1" si="48"/>
        <v>1008.6859649122806</v>
      </c>
      <c r="R112" s="306">
        <f t="shared" ca="1" si="49"/>
        <v>0.50528334092149918</v>
      </c>
      <c r="S112" s="307">
        <f t="shared" ca="1" si="50"/>
        <v>7.7866856466672667</v>
      </c>
      <c r="T112" s="304">
        <f t="shared" ca="1" si="30"/>
        <v>76.387386193805895</v>
      </c>
      <c r="U112" s="311">
        <f t="shared" ca="1" si="31"/>
        <v>0</v>
      </c>
      <c r="V112" s="306">
        <f t="shared" ca="1" si="32"/>
        <v>1.2168934409157552</v>
      </c>
      <c r="W112" s="304">
        <f t="shared" ca="1" si="33"/>
        <v>51.34904095869679</v>
      </c>
      <c r="Y112" s="314" t="str">
        <f t="shared" ca="1" si="51"/>
        <v/>
      </c>
      <c r="Z112" s="315" t="str">
        <f t="shared" ca="1" si="52"/>
        <v/>
      </c>
      <c r="AA112" s="316" t="str">
        <f t="shared" ca="1" si="53"/>
        <v/>
      </c>
      <c r="AC112" s="310" t="e">
        <f t="shared" ca="1" si="54"/>
        <v>#N/A</v>
      </c>
      <c r="AD112" s="323" t="e">
        <f t="shared" ca="1" si="55"/>
        <v>#N/A</v>
      </c>
      <c r="AE112" s="324">
        <f t="shared" ca="1" si="34"/>
        <v>66.395682533999675</v>
      </c>
      <c r="AG112" s="306">
        <f t="shared" ca="1" si="56"/>
        <v>113.30087216224035</v>
      </c>
      <c r="AH112" s="304">
        <f t="shared" ca="1" si="57"/>
        <v>123.06407809273006</v>
      </c>
    </row>
    <row r="113" spans="1:34" x14ac:dyDescent="0.2">
      <c r="A113" s="347">
        <f t="shared" ca="1" si="35"/>
        <v>0.01</v>
      </c>
      <c r="B113" s="304">
        <f t="shared" ca="1" si="36"/>
        <v>1.0900000000000007</v>
      </c>
      <c r="D113" s="306">
        <f t="shared" ca="1" si="37"/>
        <v>12.005055198893924</v>
      </c>
      <c r="E113" s="307">
        <f t="shared" ca="1" si="38"/>
        <v>112.56323000350886</v>
      </c>
      <c r="F113" s="304">
        <f t="shared" ca="1" si="39"/>
        <v>113.20159936657842</v>
      </c>
      <c r="G113" s="306">
        <f t="shared" ca="1" si="40"/>
        <v>12.272304528580948</v>
      </c>
      <c r="H113" s="307">
        <f t="shared" ca="1" si="41"/>
        <v>124.99932936354897</v>
      </c>
      <c r="I113" s="304">
        <f t="shared" ca="1" si="42"/>
        <v>125.60032563564165</v>
      </c>
      <c r="J113" s="306">
        <f t="shared" ca="1" si="43"/>
        <v>6.3903741228041948</v>
      </c>
      <c r="K113" s="307">
        <f t="shared" ca="1" si="44"/>
        <v>67.64004766613499</v>
      </c>
      <c r="L113" s="304">
        <f t="shared" ca="1" si="29"/>
        <v>67.941246159504743</v>
      </c>
      <c r="M113" s="306">
        <f t="shared" ca="1" si="45"/>
        <v>1.4729310044535526</v>
      </c>
      <c r="N113" s="304">
        <f t="shared" ca="1" si="46"/>
        <v>84.392730069153629</v>
      </c>
      <c r="P113" s="310">
        <f t="shared" ca="1" si="47"/>
        <v>6</v>
      </c>
      <c r="Q113" s="304">
        <f t="shared" ca="1" si="48"/>
        <v>1008.1842105263157</v>
      </c>
      <c r="R113" s="306">
        <f t="shared" ca="1" si="49"/>
        <v>0.50503199596253134</v>
      </c>
      <c r="S113" s="307">
        <f t="shared" ca="1" si="50"/>
        <v>7.781635326707641</v>
      </c>
      <c r="T113" s="304">
        <f t="shared" ca="1" si="30"/>
        <v>76.337842555001956</v>
      </c>
      <c r="U113" s="311">
        <f t="shared" ca="1" si="31"/>
        <v>0</v>
      </c>
      <c r="V113" s="306">
        <f t="shared" ca="1" si="32"/>
        <v>1.2167420226599437</v>
      </c>
      <c r="W113" s="304">
        <f t="shared" ca="1" si="33"/>
        <v>52.280768320914611</v>
      </c>
      <c r="Y113" s="314" t="str">
        <f t="shared" ca="1" si="51"/>
        <v/>
      </c>
      <c r="Z113" s="315" t="str">
        <f t="shared" ca="1" si="52"/>
        <v/>
      </c>
      <c r="AA113" s="316" t="str">
        <f t="shared" ca="1" si="53"/>
        <v/>
      </c>
      <c r="AC113" s="310" t="e">
        <f t="shared" ca="1" si="54"/>
        <v>#N/A</v>
      </c>
      <c r="AD113" s="323" t="e">
        <f t="shared" ca="1" si="55"/>
        <v>#N/A</v>
      </c>
      <c r="AE113" s="324">
        <f t="shared" ca="1" si="34"/>
        <v>67.64004766613499</v>
      </c>
      <c r="AG113" s="306">
        <f t="shared" ca="1" si="56"/>
        <v>113.19754746357484</v>
      </c>
      <c r="AH113" s="304">
        <f t="shared" ca="1" si="57"/>
        <v>122.96067977943264</v>
      </c>
    </row>
    <row r="114" spans="1:34" x14ac:dyDescent="0.2">
      <c r="A114" s="347">
        <f t="shared" ca="1" si="35"/>
        <v>0.01</v>
      </c>
      <c r="B114" s="304">
        <f t="shared" ca="1" si="36"/>
        <v>1.1000000000000008</v>
      </c>
      <c r="D114" s="306">
        <f t="shared" ca="1" si="37"/>
        <v>12.004174451291465</v>
      </c>
      <c r="E114" s="307">
        <f t="shared" ca="1" si="38"/>
        <v>112.45829545175795</v>
      </c>
      <c r="F114" s="304">
        <f t="shared" ca="1" si="39"/>
        <v>113.09716362567154</v>
      </c>
      <c r="G114" s="306">
        <f t="shared" ca="1" si="40"/>
        <v>12.392346273093862</v>
      </c>
      <c r="H114" s="307">
        <f t="shared" ca="1" si="41"/>
        <v>126.12391231806654</v>
      </c>
      <c r="I114" s="304">
        <f t="shared" ca="1" si="42"/>
        <v>126.73125701486434</v>
      </c>
      <c r="J114" s="306">
        <f t="shared" ca="1" si="43"/>
        <v>6.5136973768125692</v>
      </c>
      <c r="K114" s="307">
        <f t="shared" ca="1" si="44"/>
        <v>68.895663874543061</v>
      </c>
      <c r="L114" s="304">
        <f t="shared" ca="1" si="29"/>
        <v>69.202895562474211</v>
      </c>
      <c r="M114" s="306">
        <f t="shared" ca="1" si="45"/>
        <v>1.4728553698345885</v>
      </c>
      <c r="N114" s="304">
        <f t="shared" ca="1" si="46"/>
        <v>84.388396524701903</v>
      </c>
      <c r="P114" s="310">
        <f t="shared" ca="1" si="47"/>
        <v>6</v>
      </c>
      <c r="Q114" s="304">
        <f t="shared" ca="1" si="48"/>
        <v>1007.6824561403508</v>
      </c>
      <c r="R114" s="306">
        <f t="shared" ca="1" si="49"/>
        <v>0.50478065100356351</v>
      </c>
      <c r="S114" s="307">
        <f t="shared" ca="1" si="50"/>
        <v>7.7765875201976051</v>
      </c>
      <c r="T114" s="304">
        <f t="shared" ca="1" si="30"/>
        <v>76.288323573138513</v>
      </c>
      <c r="U114" s="311">
        <f t="shared" ca="1" si="31"/>
        <v>0</v>
      </c>
      <c r="V114" s="306">
        <f t="shared" ca="1" si="32"/>
        <v>1.2165892543705594</v>
      </c>
      <c r="W114" s="304">
        <f t="shared" ca="1" si="33"/>
        <v>53.219817919499285</v>
      </c>
      <c r="Y114" s="314" t="str">
        <f t="shared" ca="1" si="51"/>
        <v/>
      </c>
      <c r="Z114" s="315" t="str">
        <f t="shared" ca="1" si="52"/>
        <v/>
      </c>
      <c r="AA114" s="316" t="str">
        <f t="shared" ca="1" si="53"/>
        <v/>
      </c>
      <c r="AC114" s="310" t="e">
        <f t="shared" ca="1" si="54"/>
        <v>#N/A</v>
      </c>
      <c r="AD114" s="323" t="e">
        <f t="shared" ca="1" si="55"/>
        <v>#N/A</v>
      </c>
      <c r="AE114" s="324">
        <f t="shared" ca="1" si="34"/>
        <v>68.895663874543061</v>
      </c>
      <c r="AG114" s="306">
        <f t="shared" ca="1" si="56"/>
        <v>113.09310167335448</v>
      </c>
      <c r="AH114" s="304">
        <f t="shared" ca="1" si="57"/>
        <v>122.85616092380315</v>
      </c>
    </row>
    <row r="115" spans="1:34" x14ac:dyDescent="0.2">
      <c r="A115" s="347">
        <f t="shared" ca="1" si="35"/>
        <v>0.01</v>
      </c>
      <c r="B115" s="304">
        <f t="shared" ca="1" si="36"/>
        <v>1.1100000000000008</v>
      </c>
      <c r="D115" s="306">
        <f t="shared" ca="1" si="37"/>
        <v>12.00309252421618</v>
      </c>
      <c r="E115" s="307">
        <f t="shared" ca="1" si="38"/>
        <v>112.35225690503798</v>
      </c>
      <c r="F115" s="304">
        <f t="shared" ca="1" si="39"/>
        <v>112.99160969647502</v>
      </c>
      <c r="G115" s="306">
        <f t="shared" ca="1" si="40"/>
        <v>12.512377198336024</v>
      </c>
      <c r="H115" s="307">
        <f t="shared" ca="1" si="41"/>
        <v>127.24743488711692</v>
      </c>
      <c r="I115" s="304">
        <f t="shared" ca="1" si="42"/>
        <v>127.86113275153048</v>
      </c>
      <c r="J115" s="306">
        <f t="shared" ca="1" si="43"/>
        <v>6.6382209941697186</v>
      </c>
      <c r="K115" s="307">
        <f t="shared" ca="1" si="44"/>
        <v>70.162520610568976</v>
      </c>
      <c r="L115" s="304">
        <f t="shared" ca="1" si="29"/>
        <v>70.475848887373829</v>
      </c>
      <c r="M115" s="306">
        <f t="shared" ca="1" si="45"/>
        <v>1.4727803458272626</v>
      </c>
      <c r="N115" s="304">
        <f t="shared" ca="1" si="46"/>
        <v>84.384097965719974</v>
      </c>
      <c r="P115" s="310">
        <f t="shared" ca="1" si="47"/>
        <v>6</v>
      </c>
      <c r="Q115" s="304">
        <f t="shared" ca="1" si="48"/>
        <v>1007.180701754386</v>
      </c>
      <c r="R115" s="306">
        <f t="shared" ca="1" si="49"/>
        <v>0.50452930604459556</v>
      </c>
      <c r="S115" s="307">
        <f t="shared" ca="1" si="50"/>
        <v>7.771542227137159</v>
      </c>
      <c r="T115" s="304">
        <f t="shared" ca="1" si="30"/>
        <v>76.238829248215538</v>
      </c>
      <c r="U115" s="311">
        <f t="shared" ca="1" si="31"/>
        <v>0</v>
      </c>
      <c r="V115" s="306">
        <f t="shared" ca="1" si="32"/>
        <v>1.2164351378410931</v>
      </c>
      <c r="W115" s="304">
        <f t="shared" ca="1" si="33"/>
        <v>54.166150861887296</v>
      </c>
      <c r="Y115" s="314" t="str">
        <f t="shared" ca="1" si="51"/>
        <v/>
      </c>
      <c r="Z115" s="315" t="str">
        <f t="shared" ca="1" si="52"/>
        <v/>
      </c>
      <c r="AA115" s="316" t="str">
        <f t="shared" ca="1" si="53"/>
        <v/>
      </c>
      <c r="AC115" s="310" t="e">
        <f t="shared" ca="1" si="54"/>
        <v>#N/A</v>
      </c>
      <c r="AD115" s="323" t="e">
        <f t="shared" ca="1" si="55"/>
        <v>#N/A</v>
      </c>
      <c r="AE115" s="324">
        <f t="shared" ca="1" si="34"/>
        <v>70.162520610568976</v>
      </c>
      <c r="AG115" s="306">
        <f t="shared" ca="1" si="56"/>
        <v>112.98753768264513</v>
      </c>
      <c r="AH115" s="304">
        <f t="shared" ca="1" si="57"/>
        <v>122.75052440734171</v>
      </c>
    </row>
    <row r="116" spans="1:34" x14ac:dyDescent="0.2">
      <c r="A116" s="347">
        <f t="shared" ca="1" si="35"/>
        <v>0.01</v>
      </c>
      <c r="B116" s="304">
        <f t="shared" ca="1" si="36"/>
        <v>1.1200000000000008</v>
      </c>
      <c r="D116" s="306">
        <f t="shared" ca="1" si="37"/>
        <v>12.001811010186444</v>
      </c>
      <c r="E116" s="307">
        <f t="shared" ca="1" si="38"/>
        <v>112.24511717224129</v>
      </c>
      <c r="F116" s="304">
        <f t="shared" ca="1" si="39"/>
        <v>112.88494052146376</v>
      </c>
      <c r="G116" s="306">
        <f t="shared" ca="1" si="40"/>
        <v>12.632395308437887</v>
      </c>
      <c r="H116" s="307">
        <f t="shared" ca="1" si="41"/>
        <v>128.36988605883934</v>
      </c>
      <c r="I116" s="304">
        <f t="shared" ca="1" si="42"/>
        <v>128.98994169309498</v>
      </c>
      <c r="J116" s="306">
        <f t="shared" ca="1" si="43"/>
        <v>6.7639448567035885</v>
      </c>
      <c r="K116" s="307">
        <f t="shared" ca="1" si="44"/>
        <v>71.440607215298755</v>
      </c>
      <c r="L116" s="304">
        <f t="shared" ca="1" si="29"/>
        <v>71.760095521920277</v>
      </c>
      <c r="M116" s="306">
        <f t="shared" ca="1" si="45"/>
        <v>1.4727059215815346</v>
      </c>
      <c r="N116" s="304">
        <f t="shared" ca="1" si="46"/>
        <v>84.379833770546313</v>
      </c>
      <c r="P116" s="310">
        <f t="shared" ca="1" si="47"/>
        <v>6</v>
      </c>
      <c r="Q116" s="304">
        <f t="shared" ca="1" si="48"/>
        <v>1006.6789473684209</v>
      </c>
      <c r="R116" s="306">
        <f t="shared" ca="1" si="49"/>
        <v>0.50427796108562761</v>
      </c>
      <c r="S116" s="307">
        <f t="shared" ca="1" si="50"/>
        <v>7.7664994475263027</v>
      </c>
      <c r="T116" s="304">
        <f t="shared" ca="1" si="30"/>
        <v>76.189359580233031</v>
      </c>
      <c r="U116" s="311">
        <f t="shared" ca="1" si="31"/>
        <v>0</v>
      </c>
      <c r="V116" s="306">
        <f t="shared" ca="1" si="32"/>
        <v>1.2162796748822025</v>
      </c>
      <c r="W116" s="304">
        <f t="shared" ca="1" si="33"/>
        <v>55.119727940401226</v>
      </c>
      <c r="Y116" s="314" t="str">
        <f t="shared" ca="1" si="51"/>
        <v/>
      </c>
      <c r="Z116" s="315" t="str">
        <f t="shared" ca="1" si="52"/>
        <v/>
      </c>
      <c r="AA116" s="316" t="str">
        <f t="shared" ca="1" si="53"/>
        <v/>
      </c>
      <c r="AC116" s="310" t="e">
        <f t="shared" ca="1" si="54"/>
        <v>#N/A</v>
      </c>
      <c r="AD116" s="323" t="e">
        <f t="shared" ca="1" si="55"/>
        <v>#N/A</v>
      </c>
      <c r="AE116" s="324">
        <f t="shared" ca="1" si="34"/>
        <v>71.440607215298755</v>
      </c>
      <c r="AG116" s="306">
        <f t="shared" ca="1" si="56"/>
        <v>112.88085843288775</v>
      </c>
      <c r="AH116" s="304">
        <f t="shared" ca="1" si="57"/>
        <v>122.64377316216989</v>
      </c>
    </row>
    <row r="117" spans="1:34" x14ac:dyDescent="0.2">
      <c r="A117" s="347">
        <f t="shared" ca="1" si="35"/>
        <v>0.01</v>
      </c>
      <c r="B117" s="304">
        <f t="shared" ca="1" si="36"/>
        <v>1.1300000000000008</v>
      </c>
      <c r="D117" s="306">
        <f t="shared" ca="1" si="37"/>
        <v>12.000331471113515</v>
      </c>
      <c r="E117" s="307">
        <f t="shared" ca="1" si="38"/>
        <v>112.13687911533064</v>
      </c>
      <c r="F117" s="304">
        <f t="shared" ca="1" si="39"/>
        <v>112.77715909324402</v>
      </c>
      <c r="G117" s="306">
        <f t="shared" ca="1" si="40"/>
        <v>12.752398623149023</v>
      </c>
      <c r="H117" s="307">
        <f t="shared" ca="1" si="41"/>
        <v>129.49125484999266</v>
      </c>
      <c r="I117" s="304">
        <f t="shared" ca="1" si="42"/>
        <v>130.11767271692742</v>
      </c>
      <c r="J117" s="306">
        <f t="shared" ca="1" si="43"/>
        <v>6.8908688263615234</v>
      </c>
      <c r="K117" s="307">
        <f t="shared" ca="1" si="44"/>
        <v>72.729912919842917</v>
      </c>
      <c r="L117" s="304">
        <f t="shared" ca="1" si="29"/>
        <v>73.055624742452622</v>
      </c>
      <c r="M117" s="306">
        <f t="shared" ca="1" si="45"/>
        <v>1.4726320865300362</v>
      </c>
      <c r="N117" s="304">
        <f t="shared" ca="1" si="46"/>
        <v>84.375603333715318</v>
      </c>
      <c r="P117" s="310">
        <f t="shared" ca="1" si="47"/>
        <v>6</v>
      </c>
      <c r="Q117" s="304">
        <f t="shared" ca="1" si="48"/>
        <v>1006.1771929824561</v>
      </c>
      <c r="R117" s="306">
        <f t="shared" ca="1" si="49"/>
        <v>0.50402661612665978</v>
      </c>
      <c r="S117" s="307">
        <f t="shared" ca="1" si="50"/>
        <v>7.7614591813650362</v>
      </c>
      <c r="T117" s="304">
        <f t="shared" ca="1" si="30"/>
        <v>76.139914569191006</v>
      </c>
      <c r="U117" s="311">
        <f t="shared" ca="1" si="31"/>
        <v>0</v>
      </c>
      <c r="V117" s="306">
        <f t="shared" ca="1" si="32"/>
        <v>1.2161228673216531</v>
      </c>
      <c r="W117" s="304">
        <f t="shared" ca="1" si="33"/>
        <v>56.080509635294376</v>
      </c>
      <c r="Y117" s="314" t="str">
        <f t="shared" ca="1" si="51"/>
        <v/>
      </c>
      <c r="Z117" s="315" t="str">
        <f t="shared" ca="1" si="52"/>
        <v/>
      </c>
      <c r="AA117" s="316" t="str">
        <f t="shared" ca="1" si="53"/>
        <v/>
      </c>
      <c r="AC117" s="310" t="e">
        <f t="shared" ca="1" si="54"/>
        <v>#N/A</v>
      </c>
      <c r="AD117" s="323" t="e">
        <f t="shared" ca="1" si="55"/>
        <v>#N/A</v>
      </c>
      <c r="AE117" s="324">
        <f t="shared" ca="1" si="34"/>
        <v>72.729912919842917</v>
      </c>
      <c r="AG117" s="306">
        <f t="shared" ca="1" si="56"/>
        <v>112.77306691567358</v>
      </c>
      <c r="AH117" s="304">
        <f t="shared" ca="1" si="57"/>
        <v>122.53591017079714</v>
      </c>
    </row>
    <row r="118" spans="1:34" x14ac:dyDescent="0.2">
      <c r="A118" s="347">
        <f t="shared" ca="1" si="35"/>
        <v>0.01</v>
      </c>
      <c r="B118" s="304">
        <f t="shared" ca="1" si="36"/>
        <v>1.1400000000000008</v>
      </c>
      <c r="D118" s="306">
        <f t="shared" ca="1" si="37"/>
        <v>11.998655439566301</v>
      </c>
      <c r="E118" s="307">
        <f t="shared" ca="1" si="38"/>
        <v>112.02754564899742</v>
      </c>
      <c r="F118" s="304">
        <f t="shared" ca="1" si="39"/>
        <v>112.66826845432406</v>
      </c>
      <c r="G118" s="306">
        <f t="shared" ca="1" si="40"/>
        <v>12.872385177544686</v>
      </c>
      <c r="H118" s="307">
        <f t="shared" ca="1" si="41"/>
        <v>130.61153030648262</v>
      </c>
      <c r="I118" s="304">
        <f t="shared" ca="1" si="42"/>
        <v>131.24431473081148</v>
      </c>
      <c r="J118" s="306">
        <f t="shared" ca="1" si="43"/>
        <v>7.0189927453649918</v>
      </c>
      <c r="K118" s="307">
        <f t="shared" ca="1" si="44"/>
        <v>74.0304268456253</v>
      </c>
      <c r="L118" s="304">
        <f t="shared" ca="1" si="29"/>
        <v>74.362425714233964</v>
      </c>
      <c r="M118" s="306">
        <f t="shared" ca="1" si="45"/>
        <v>1.472558830378258</v>
      </c>
      <c r="N118" s="304">
        <f t="shared" ca="1" si="46"/>
        <v>84.371406065395064</v>
      </c>
      <c r="P118" s="310">
        <f t="shared" ca="1" si="47"/>
        <v>6</v>
      </c>
      <c r="Q118" s="304">
        <f t="shared" ca="1" si="48"/>
        <v>1005.6754385964912</v>
      </c>
      <c r="R118" s="306">
        <f t="shared" ca="1" si="49"/>
        <v>0.50377527116769194</v>
      </c>
      <c r="S118" s="307">
        <f t="shared" ca="1" si="50"/>
        <v>7.7564214286533595</v>
      </c>
      <c r="T118" s="304">
        <f t="shared" ca="1" si="30"/>
        <v>76.090494215089464</v>
      </c>
      <c r="U118" s="311">
        <f t="shared" ca="1" si="31"/>
        <v>0</v>
      </c>
      <c r="V118" s="306">
        <f t="shared" ca="1" si="32"/>
        <v>1.2159647170042536</v>
      </c>
      <c r="W118" s="304">
        <f t="shared" ca="1" si="33"/>
        <v>57.048456117824358</v>
      </c>
      <c r="Y118" s="314" t="str">
        <f t="shared" ca="1" si="51"/>
        <v/>
      </c>
      <c r="Z118" s="315" t="str">
        <f t="shared" ca="1" si="52"/>
        <v/>
      </c>
      <c r="AA118" s="316" t="str">
        <f t="shared" ca="1" si="53"/>
        <v/>
      </c>
      <c r="AC118" s="310" t="e">
        <f t="shared" ca="1" si="54"/>
        <v>#N/A</v>
      </c>
      <c r="AD118" s="323" t="e">
        <f t="shared" ca="1" si="55"/>
        <v>#N/A</v>
      </c>
      <c r="AE118" s="324">
        <f t="shared" ca="1" si="34"/>
        <v>74.0304268456253</v>
      </c>
      <c r="AG118" s="306">
        <f t="shared" ca="1" si="56"/>
        <v>112.6641661725138</v>
      </c>
      <c r="AH118" s="304">
        <f t="shared" ca="1" si="57"/>
        <v>122.42693846588244</v>
      </c>
    </row>
    <row r="119" spans="1:34" x14ac:dyDescent="0.2">
      <c r="A119" s="347">
        <f t="shared" ca="1" si="35"/>
        <v>0.01</v>
      </c>
      <c r="B119" s="304">
        <f t="shared" ca="1" si="36"/>
        <v>1.1500000000000008</v>
      </c>
      <c r="D119" s="306">
        <f t="shared" ca="1" si="37"/>
        <v>11.996784419979521</v>
      </c>
      <c r="E119" s="307">
        <f t="shared" ca="1" si="38"/>
        <v>111.91711974031927</v>
      </c>
      <c r="F119" s="304">
        <f t="shared" ca="1" si="39"/>
        <v>112.55827169687896</v>
      </c>
      <c r="G119" s="306">
        <f t="shared" ca="1" si="40"/>
        <v>12.992353021744481</v>
      </c>
      <c r="H119" s="307">
        <f t="shared" ca="1" si="41"/>
        <v>131.73070150388583</v>
      </c>
      <c r="I119" s="304">
        <f t="shared" ca="1" si="42"/>
        <v>132.36985667344172</v>
      </c>
      <c r="J119" s="306">
        <f t="shared" ca="1" si="43"/>
        <v>7.148316436361438</v>
      </c>
      <c r="K119" s="307">
        <f t="shared" ca="1" si="44"/>
        <v>75.342138004677139</v>
      </c>
      <c r="L119" s="304">
        <f t="shared" ca="1" si="29"/>
        <v>75.680487491758214</v>
      </c>
      <c r="M119" s="306">
        <f t="shared" ca="1" si="45"/>
        <v>1.4724861430951628</v>
      </c>
      <c r="N119" s="304">
        <f t="shared" ca="1" si="46"/>
        <v>84.367241390849429</v>
      </c>
      <c r="P119" s="310">
        <f t="shared" ca="1" si="47"/>
        <v>6</v>
      </c>
      <c r="Q119" s="304">
        <f t="shared" ca="1" si="48"/>
        <v>1005.1736842105263</v>
      </c>
      <c r="R119" s="306">
        <f t="shared" ca="1" si="49"/>
        <v>0.50352392620872399</v>
      </c>
      <c r="S119" s="307">
        <f t="shared" ca="1" si="50"/>
        <v>7.7513861893912726</v>
      </c>
      <c r="T119" s="304">
        <f t="shared" ca="1" si="30"/>
        <v>76.04109851792839</v>
      </c>
      <c r="U119" s="311">
        <f t="shared" ca="1" si="31"/>
        <v>0</v>
      </c>
      <c r="V119" s="306">
        <f t="shared" ca="1" si="32"/>
        <v>1.2158052257917928</v>
      </c>
      <c r="W119" s="304">
        <f t="shared" ca="1" si="33"/>
        <v>58.023527253354757</v>
      </c>
      <c r="Y119" s="314" t="str">
        <f t="shared" ca="1" si="51"/>
        <v/>
      </c>
      <c r="Z119" s="315" t="str">
        <f t="shared" ca="1" si="52"/>
        <v/>
      </c>
      <c r="AA119" s="316" t="str">
        <f t="shared" ca="1" si="53"/>
        <v/>
      </c>
      <c r="AC119" s="310" t="e">
        <f t="shared" ca="1" si="54"/>
        <v>#N/A</v>
      </c>
      <c r="AD119" s="323" t="e">
        <f t="shared" ca="1" si="55"/>
        <v>#N/A</v>
      </c>
      <c r="AE119" s="324">
        <f t="shared" ca="1" si="34"/>
        <v>75.342138004677139</v>
      </c>
      <c r="AG119" s="306">
        <f t="shared" ca="1" si="56"/>
        <v>112.55415929460401</v>
      </c>
      <c r="AH119" s="304">
        <f t="shared" ca="1" si="57"/>
        <v>122.31686112999094</v>
      </c>
    </row>
    <row r="120" spans="1:34" x14ac:dyDescent="0.2">
      <c r="A120" s="347">
        <f t="shared" ca="1" si="35"/>
        <v>0.01</v>
      </c>
      <c r="B120" s="304">
        <f t="shared" ca="1" si="36"/>
        <v>1.1600000000000008</v>
      </c>
      <c r="D120" s="306">
        <f t="shared" ca="1" si="37"/>
        <v>11.994719889807735</v>
      </c>
      <c r="E120" s="307">
        <f t="shared" ca="1" si="38"/>
        <v>111.80560440841751</v>
      </c>
      <c r="F120" s="304">
        <f t="shared" ca="1" si="39"/>
        <v>112.44717196251089</v>
      </c>
      <c r="G120" s="306">
        <f t="shared" ca="1" si="40"/>
        <v>13.112300220642558</v>
      </c>
      <c r="H120" s="307">
        <f t="shared" ca="1" si="41"/>
        <v>132.84875754797</v>
      </c>
      <c r="I120" s="304">
        <f t="shared" ca="1" si="42"/>
        <v>133.49428751491794</v>
      </c>
      <c r="J120" s="306">
        <f t="shared" ca="1" si="43"/>
        <v>7.2788397025733733</v>
      </c>
      <c r="K120" s="307">
        <f t="shared" ca="1" si="44"/>
        <v>76.66503529993642</v>
      </c>
      <c r="L120" s="304">
        <f t="shared" ca="1" si="29"/>
        <v>77.009799019061575</v>
      </c>
      <c r="M120" s="306">
        <f t="shared" ca="1" si="45"/>
        <v>1.4724140149041989</v>
      </c>
      <c r="N120" s="304">
        <f t="shared" ca="1" si="46"/>
        <v>84.363108749923285</v>
      </c>
      <c r="P120" s="310">
        <f t="shared" ca="1" si="47"/>
        <v>6</v>
      </c>
      <c r="Q120" s="304">
        <f t="shared" ca="1" si="48"/>
        <v>1004.6719298245613</v>
      </c>
      <c r="R120" s="306">
        <f t="shared" ca="1" si="49"/>
        <v>0.50327258124975605</v>
      </c>
      <c r="S120" s="307">
        <f t="shared" ca="1" si="50"/>
        <v>7.7463534635787754</v>
      </c>
      <c r="T120" s="304">
        <f t="shared" ca="1" si="30"/>
        <v>75.991727477707784</v>
      </c>
      <c r="U120" s="311">
        <f t="shared" ca="1" si="31"/>
        <v>0</v>
      </c>
      <c r="V120" s="306">
        <f t="shared" ca="1" si="32"/>
        <v>1.215644395562979</v>
      </c>
      <c r="W120" s="304">
        <f t="shared" ca="1" si="33"/>
        <v>59.005682604484953</v>
      </c>
      <c r="Y120" s="314" t="str">
        <f t="shared" ca="1" si="51"/>
        <v/>
      </c>
      <c r="Z120" s="315" t="str">
        <f t="shared" ca="1" si="52"/>
        <v/>
      </c>
      <c r="AA120" s="316" t="str">
        <f t="shared" ca="1" si="53"/>
        <v/>
      </c>
      <c r="AC120" s="310" t="e">
        <f t="shared" ca="1" si="54"/>
        <v>#N/A</v>
      </c>
      <c r="AD120" s="323" t="e">
        <f t="shared" ca="1" si="55"/>
        <v>#N/A</v>
      </c>
      <c r="AE120" s="324">
        <f t="shared" ca="1" si="34"/>
        <v>76.66503529993642</v>
      </c>
      <c r="AG120" s="306">
        <f t="shared" ca="1" si="56"/>
        <v>112.44304942258358</v>
      </c>
      <c r="AH120" s="304">
        <f t="shared" ca="1" si="57"/>
        <v>122.20568129534588</v>
      </c>
    </row>
    <row r="121" spans="1:34" x14ac:dyDescent="0.2">
      <c r="A121" s="347">
        <f t="shared" ca="1" si="35"/>
        <v>0.01</v>
      </c>
      <c r="B121" s="304">
        <f t="shared" ca="1" si="36"/>
        <v>1.1700000000000008</v>
      </c>
      <c r="D121" s="306">
        <f t="shared" ca="1" si="37"/>
        <v>11.99246330062854</v>
      </c>
      <c r="E121" s="307">
        <f t="shared" ca="1" si="38"/>
        <v>111.69300272411363</v>
      </c>
      <c r="F121" s="304">
        <f t="shared" ca="1" si="39"/>
        <v>112.3349724420039</v>
      </c>
      <c r="G121" s="306">
        <f t="shared" ca="1" si="40"/>
        <v>13.232224853648843</v>
      </c>
      <c r="H121" s="307">
        <f t="shared" ca="1" si="41"/>
        <v>133.96568757521112</v>
      </c>
      <c r="I121" s="304">
        <f t="shared" ca="1" si="42"/>
        <v>134.61759625723747</v>
      </c>
      <c r="J121" s="306">
        <f t="shared" ca="1" si="43"/>
        <v>7.4105623279448301</v>
      </c>
      <c r="K121" s="307">
        <f t="shared" ca="1" si="44"/>
        <v>77.999107525552333</v>
      </c>
      <c r="L121" s="304">
        <f t="shared" ca="1" si="29"/>
        <v>78.350349130039163</v>
      </c>
      <c r="M121" s="306">
        <f t="shared" ca="1" si="45"/>
        <v>1.4723424362746962</v>
      </c>
      <c r="N121" s="304">
        <f t="shared" ca="1" si="46"/>
        <v>84.359007596549446</v>
      </c>
      <c r="P121" s="310">
        <f t="shared" ca="1" si="47"/>
        <v>6</v>
      </c>
      <c r="Q121" s="304">
        <f t="shared" ca="1" si="48"/>
        <v>1004.1701754385964</v>
      </c>
      <c r="R121" s="306">
        <f t="shared" ca="1" si="49"/>
        <v>0.50302123629078821</v>
      </c>
      <c r="S121" s="307">
        <f t="shared" ca="1" si="50"/>
        <v>7.7413232512158672</v>
      </c>
      <c r="T121" s="304">
        <f t="shared" ca="1" si="30"/>
        <v>75.94238109442766</v>
      </c>
      <c r="U121" s="311">
        <f t="shared" ca="1" si="31"/>
        <v>0</v>
      </c>
      <c r="V121" s="306">
        <f t="shared" ca="1" si="32"/>
        <v>1.2154822282133695</v>
      </c>
      <c r="W121" s="304">
        <f t="shared" ca="1" si="33"/>
        <v>59.994881434207237</v>
      </c>
      <c r="Y121" s="314" t="str">
        <f t="shared" ca="1" si="51"/>
        <v/>
      </c>
      <c r="Z121" s="315" t="str">
        <f t="shared" ca="1" si="52"/>
        <v/>
      </c>
      <c r="AA121" s="316" t="str">
        <f t="shared" ca="1" si="53"/>
        <v/>
      </c>
      <c r="AC121" s="310" t="e">
        <f t="shared" ca="1" si="54"/>
        <v>#N/A</v>
      </c>
      <c r="AD121" s="323" t="e">
        <f t="shared" ca="1" si="55"/>
        <v>#N/A</v>
      </c>
      <c r="AE121" s="324">
        <f t="shared" ca="1" si="34"/>
        <v>77.999107525552333</v>
      </c>
      <c r="AG121" s="306">
        <f t="shared" ca="1" si="56"/>
        <v>112.33083974628994</v>
      </c>
      <c r="AH121" s="304">
        <f t="shared" ca="1" si="57"/>
        <v>122.09340214357566</v>
      </c>
    </row>
    <row r="122" spans="1:34" x14ac:dyDescent="0.2">
      <c r="A122" s="347">
        <f t="shared" ca="1" si="35"/>
        <v>0.01</v>
      </c>
      <c r="B122" s="304">
        <f t="shared" ca="1" si="36"/>
        <v>1.1800000000000008</v>
      </c>
      <c r="D122" s="306">
        <f t="shared" ca="1" si="37"/>
        <v>11.990016079197002</v>
      </c>
      <c r="E122" s="307">
        <f t="shared" ca="1" si="38"/>
        <v>111.57931780958471</v>
      </c>
      <c r="F122" s="304">
        <f t="shared" ca="1" si="39"/>
        <v>112.22167637507341</v>
      </c>
      <c r="G122" s="306">
        <f t="shared" ca="1" si="40"/>
        <v>13.352125014440812</v>
      </c>
      <c r="H122" s="307">
        <f t="shared" ca="1" si="41"/>
        <v>135.08148075330698</v>
      </c>
      <c r="I122" s="304">
        <f t="shared" ca="1" si="42"/>
        <v>135.73977193478447</v>
      </c>
      <c r="J122" s="306">
        <f t="shared" ca="1" si="43"/>
        <v>7.543484077285278</v>
      </c>
      <c r="K122" s="307">
        <f t="shared" ca="1" si="44"/>
        <v>79.344343367194924</v>
      </c>
      <c r="L122" s="304">
        <f t="shared" ca="1" si="29"/>
        <v>79.702126548766472</v>
      </c>
      <c r="M122" s="306">
        <f t="shared" ca="1" si="45"/>
        <v>1.4722713979136235</v>
      </c>
      <c r="N122" s="304">
        <f t="shared" ca="1" si="46"/>
        <v>84.354937398276462</v>
      </c>
      <c r="P122" s="310">
        <f t="shared" ca="1" si="47"/>
        <v>6</v>
      </c>
      <c r="Q122" s="304">
        <f t="shared" ca="1" si="48"/>
        <v>1003.6684210526315</v>
      </c>
      <c r="R122" s="306">
        <f t="shared" ca="1" si="49"/>
        <v>0.50276989133182026</v>
      </c>
      <c r="S122" s="307">
        <f t="shared" ca="1" si="50"/>
        <v>7.7362955523025487</v>
      </c>
      <c r="T122" s="304">
        <f t="shared" ca="1" si="30"/>
        <v>75.893059368088004</v>
      </c>
      <c r="U122" s="311">
        <f t="shared" ca="1" si="31"/>
        <v>0</v>
      </c>
      <c r="V122" s="306">
        <f t="shared" ca="1" si="32"/>
        <v>1.2153187256553104</v>
      </c>
      <c r="W122" s="304">
        <f t="shared" ca="1" si="33"/>
        <v>60.991082709091145</v>
      </c>
      <c r="Y122" s="314" t="str">
        <f t="shared" ca="1" si="51"/>
        <v/>
      </c>
      <c r="Z122" s="315" t="str">
        <f t="shared" ca="1" si="52"/>
        <v/>
      </c>
      <c r="AA122" s="316" t="str">
        <f t="shared" ca="1" si="53"/>
        <v/>
      </c>
      <c r="AC122" s="310" t="e">
        <f t="shared" ca="1" si="54"/>
        <v>#N/A</v>
      </c>
      <c r="AD122" s="323" t="e">
        <f t="shared" ca="1" si="55"/>
        <v>#N/A</v>
      </c>
      <c r="AE122" s="324">
        <f t="shared" ca="1" si="34"/>
        <v>79.344343367194924</v>
      </c>
      <c r="AG122" s="306">
        <f t="shared" ca="1" si="56"/>
        <v>112.21753350450754</v>
      </c>
      <c r="AH122" s="304">
        <f t="shared" ca="1" si="57"/>
        <v>121.98002690545597</v>
      </c>
    </row>
    <row r="123" spans="1:34" x14ac:dyDescent="0.2">
      <c r="A123" s="347">
        <f t="shared" ca="1" si="35"/>
        <v>0.01</v>
      </c>
      <c r="B123" s="304">
        <f t="shared" ca="1" si="36"/>
        <v>1.1900000000000008</v>
      </c>
      <c r="D123" s="306">
        <f t="shared" ca="1" si="37"/>
        <v>11.987379628454239</v>
      </c>
      <c r="E123" s="307">
        <f t="shared" ca="1" si="38"/>
        <v>111.46455283801809</v>
      </c>
      <c r="F123" s="304">
        <f t="shared" ca="1" si="39"/>
        <v>112.10728705011108</v>
      </c>
      <c r="G123" s="306">
        <f t="shared" ca="1" si="40"/>
        <v>13.471998810725355</v>
      </c>
      <c r="H123" s="307">
        <f t="shared" ca="1" si="41"/>
        <v>136.19612628168716</v>
      </c>
      <c r="I123" s="304">
        <f t="shared" ca="1" si="42"/>
        <v>136.86080361481683</v>
      </c>
      <c r="J123" s="306">
        <f t="shared" ca="1" si="43"/>
        <v>7.6776046964111089</v>
      </c>
      <c r="K123" s="307">
        <f t="shared" ca="1" si="44"/>
        <v>80.700731402369897</v>
      </c>
      <c r="L123" s="304">
        <f t="shared" ca="1" si="29"/>
        <v>81.065119889825638</v>
      </c>
      <c r="M123" s="306">
        <f t="shared" ca="1" si="45"/>
        <v>1.4722008907576913</v>
      </c>
      <c r="N123" s="304">
        <f t="shared" ca="1" si="46"/>
        <v>84.350897635816082</v>
      </c>
      <c r="P123" s="310">
        <f t="shared" ca="1" si="47"/>
        <v>6</v>
      </c>
      <c r="Q123" s="304">
        <f t="shared" ca="1" si="48"/>
        <v>1003.1666666666666</v>
      </c>
      <c r="R123" s="306">
        <f t="shared" ca="1" si="49"/>
        <v>0.50251854637285243</v>
      </c>
      <c r="S123" s="307">
        <f t="shared" ca="1" si="50"/>
        <v>7.7312703668388201</v>
      </c>
      <c r="T123" s="304">
        <f t="shared" ca="1" si="30"/>
        <v>75.84376229868883</v>
      </c>
      <c r="U123" s="311">
        <f t="shared" ca="1" si="31"/>
        <v>0</v>
      </c>
      <c r="V123" s="306">
        <f t="shared" ca="1" si="32"/>
        <v>1.2151538898178684</v>
      </c>
      <c r="W123" s="304">
        <f t="shared" ca="1" si="33"/>
        <v>61.994245102493871</v>
      </c>
      <c r="Y123" s="314" t="str">
        <f t="shared" ca="1" si="51"/>
        <v/>
      </c>
      <c r="Z123" s="315" t="str">
        <f t="shared" ca="1" si="52"/>
        <v/>
      </c>
      <c r="AA123" s="316" t="str">
        <f t="shared" ca="1" si="53"/>
        <v/>
      </c>
      <c r="AC123" s="310" t="e">
        <f t="shared" ca="1" si="54"/>
        <v>#N/A</v>
      </c>
      <c r="AD123" s="323" t="e">
        <f t="shared" ca="1" si="55"/>
        <v>#N/A</v>
      </c>
      <c r="AE123" s="324">
        <f t="shared" ca="1" si="34"/>
        <v>80.700731402369897</v>
      </c>
      <c r="AG123" s="306">
        <f t="shared" ca="1" si="56"/>
        <v>112.103133984712</v>
      </c>
      <c r="AH123" s="304">
        <f t="shared" ca="1" si="57"/>
        <v>121.86555886064743</v>
      </c>
    </row>
    <row r="124" spans="1:34" x14ac:dyDescent="0.2">
      <c r="A124" s="347">
        <f t="shared" ca="1" si="35"/>
        <v>0.01</v>
      </c>
      <c r="B124" s="304">
        <f t="shared" ca="1" si="36"/>
        <v>1.2000000000000008</v>
      </c>
      <c r="D124" s="306">
        <f t="shared" ca="1" si="37"/>
        <v>11.984555328491961</v>
      </c>
      <c r="E124" s="307">
        <f t="shared" ca="1" si="38"/>
        <v>111.34871103326465</v>
      </c>
      <c r="F124" s="304">
        <f t="shared" ca="1" si="39"/>
        <v>111.99180780392447</v>
      </c>
      <c r="G124" s="306">
        <f t="shared" ca="1" si="40"/>
        <v>13.591844364010274</v>
      </c>
      <c r="H124" s="307">
        <f t="shared" ca="1" si="41"/>
        <v>137.3096133920198</v>
      </c>
      <c r="I124" s="304">
        <f t="shared" ca="1" si="42"/>
        <v>137.98068039795072</v>
      </c>
      <c r="J124" s="306">
        <f t="shared" ca="1" si="43"/>
        <v>7.8129239122847869</v>
      </c>
      <c r="K124" s="307">
        <f t="shared" ca="1" si="44"/>
        <v>82.068260100738428</v>
      </c>
      <c r="L124" s="304">
        <f t="shared" ca="1" si="29"/>
        <v>82.439317658636682</v>
      </c>
      <c r="M124" s="306">
        <f t="shared" ca="1" si="45"/>
        <v>1.4721309059657794</v>
      </c>
      <c r="N124" s="304">
        <f t="shared" ca="1" si="46"/>
        <v>84.34688780260943</v>
      </c>
      <c r="P124" s="310">
        <f t="shared" ca="1" si="47"/>
        <v>6</v>
      </c>
      <c r="Q124" s="304">
        <f t="shared" ca="1" si="48"/>
        <v>1002.6649122807017</v>
      </c>
      <c r="R124" s="306">
        <f t="shared" ca="1" si="49"/>
        <v>0.50226720141388459</v>
      </c>
      <c r="S124" s="307">
        <f t="shared" ca="1" si="50"/>
        <v>7.7262476948246812</v>
      </c>
      <c r="T124" s="304">
        <f t="shared" ca="1" si="30"/>
        <v>75.794489886230124</v>
      </c>
      <c r="U124" s="311">
        <f t="shared" ca="1" si="31"/>
        <v>0</v>
      </c>
      <c r="V124" s="306">
        <f t="shared" ca="1" si="32"/>
        <v>1.2149877226467607</v>
      </c>
      <c r="W124" s="304">
        <f t="shared" ca="1" si="33"/>
        <v>63.004326997797321</v>
      </c>
      <c r="Y124" s="314" t="str">
        <f t="shared" ca="1" si="51"/>
        <v/>
      </c>
      <c r="Z124" s="315" t="str">
        <f t="shared" ca="1" si="52"/>
        <v/>
      </c>
      <c r="AA124" s="316" t="str">
        <f t="shared" ca="1" si="53"/>
        <v/>
      </c>
      <c r="AC124" s="310" t="e">
        <f t="shared" ca="1" si="54"/>
        <v>#N/A</v>
      </c>
      <c r="AD124" s="323" t="e">
        <f t="shared" ca="1" si="55"/>
        <v>#N/A</v>
      </c>
      <c r="AE124" s="324">
        <f t="shared" ca="1" si="34"/>
        <v>82.068260100738428</v>
      </c>
      <c r="AG124" s="306">
        <f t="shared" ca="1" si="56"/>
        <v>111.98764452280929</v>
      </c>
      <c r="AH124" s="304">
        <f t="shared" ca="1" si="57"/>
        <v>121.75000133742837</v>
      </c>
    </row>
    <row r="125" spans="1:34" x14ac:dyDescent="0.2">
      <c r="A125" s="347">
        <f t="shared" ca="1" si="35"/>
        <v>0.01</v>
      </c>
      <c r="B125" s="304">
        <f t="shared" ca="1" si="36"/>
        <v>1.2100000000000009</v>
      </c>
      <c r="D125" s="306">
        <f t="shared" ca="1" si="37"/>
        <v>11.981544537475674</v>
      </c>
      <c r="E125" s="307">
        <f t="shared" ca="1" si="38"/>
        <v>111.23179566949074</v>
      </c>
      <c r="F125" s="304">
        <f t="shared" ca="1" si="39"/>
        <v>111.87524202147164</v>
      </c>
      <c r="G125" s="306">
        <f t="shared" ca="1" si="40"/>
        <v>13.711659809385031</v>
      </c>
      <c r="H125" s="307">
        <f t="shared" ca="1" si="41"/>
        <v>138.42193134871471</v>
      </c>
      <c r="I125" s="304">
        <f t="shared" ca="1" si="42"/>
        <v>139.09939141864206</v>
      </c>
      <c r="J125" s="306">
        <f t="shared" ca="1" si="43"/>
        <v>7.9494414331517635</v>
      </c>
      <c r="K125" s="307">
        <f t="shared" ca="1" si="44"/>
        <v>83.446917824442096</v>
      </c>
      <c r="L125" s="304">
        <f t="shared" ca="1" si="29"/>
        <v>83.824708251793524</v>
      </c>
      <c r="M125" s="306">
        <f t="shared" ca="1" si="45"/>
        <v>1.4720614349116772</v>
      </c>
      <c r="N125" s="304">
        <f t="shared" ca="1" si="46"/>
        <v>84.342907404411037</v>
      </c>
      <c r="P125" s="310">
        <f t="shared" ca="1" si="47"/>
        <v>6</v>
      </c>
      <c r="Q125" s="304">
        <f t="shared" ca="1" si="48"/>
        <v>1002.1631578947367</v>
      </c>
      <c r="R125" s="306">
        <f t="shared" ca="1" si="49"/>
        <v>0.50201585645491664</v>
      </c>
      <c r="S125" s="307">
        <f t="shared" ca="1" si="50"/>
        <v>7.7212275362601321</v>
      </c>
      <c r="T125" s="304">
        <f t="shared" ca="1" si="30"/>
        <v>75.745242130711901</v>
      </c>
      <c r="U125" s="311">
        <f t="shared" ca="1" si="31"/>
        <v>0</v>
      </c>
      <c r="V125" s="306">
        <f t="shared" ca="1" si="32"/>
        <v>1.2148202261042931</v>
      </c>
      <c r="W125" s="304">
        <f t="shared" ca="1" si="33"/>
        <v>64.021286491670509</v>
      </c>
      <c r="Y125" s="314" t="str">
        <f t="shared" ca="1" si="51"/>
        <v/>
      </c>
      <c r="Z125" s="315" t="str">
        <f t="shared" ca="1" si="52"/>
        <v/>
      </c>
      <c r="AA125" s="316" t="str">
        <f t="shared" ca="1" si="53"/>
        <v/>
      </c>
      <c r="AC125" s="310" t="e">
        <f t="shared" ca="1" si="54"/>
        <v>#N/A</v>
      </c>
      <c r="AD125" s="323" t="e">
        <f t="shared" ca="1" si="55"/>
        <v>#N/A</v>
      </c>
      <c r="AE125" s="324">
        <f t="shared" ca="1" si="34"/>
        <v>83.446917824442096</v>
      </c>
      <c r="AG125" s="306">
        <f t="shared" ca="1" si="56"/>
        <v>111.87106850286989</v>
      </c>
      <c r="AH125" s="304">
        <f t="shared" ca="1" si="57"/>
        <v>121.63335771242303</v>
      </c>
    </row>
    <row r="126" spans="1:34" x14ac:dyDescent="0.2">
      <c r="A126" s="347">
        <f t="shared" ca="1" si="35"/>
        <v>0.01</v>
      </c>
      <c r="B126" s="304">
        <f t="shared" ca="1" si="36"/>
        <v>1.2200000000000009</v>
      </c>
      <c r="D126" s="306">
        <f t="shared" ca="1" si="37"/>
        <v>11.978348592528052</v>
      </c>
      <c r="E126" s="307">
        <f t="shared" ca="1" si="38"/>
        <v>111.11381007082873</v>
      </c>
      <c r="F126" s="304">
        <f t="shared" ca="1" si="39"/>
        <v>111.75759313559109</v>
      </c>
      <c r="G126" s="306">
        <f t="shared" ca="1" si="40"/>
        <v>13.831443295310311</v>
      </c>
      <c r="H126" s="307">
        <f t="shared" ca="1" si="41"/>
        <v>139.53306944942298</v>
      </c>
      <c r="I126" s="304">
        <f t="shared" ca="1" si="42"/>
        <v>140.2169258456656</v>
      </c>
      <c r="J126" s="306">
        <f t="shared" ca="1" si="43"/>
        <v>8.0871569486752399</v>
      </c>
      <c r="K126" s="307">
        <f t="shared" ca="1" si="44"/>
        <v>84.836692828432788</v>
      </c>
      <c r="L126" s="304">
        <f t="shared" ca="1" si="29"/>
        <v>85.221279957404803</v>
      </c>
      <c r="M126" s="306">
        <f t="shared" ca="1" si="45"/>
        <v>1.4719924691771176</v>
      </c>
      <c r="N126" s="304">
        <f t="shared" ca="1" si="46"/>
        <v>84.338955958889755</v>
      </c>
      <c r="P126" s="310">
        <f t="shared" ca="1" si="47"/>
        <v>6</v>
      </c>
      <c r="Q126" s="304">
        <f t="shared" ca="1" si="48"/>
        <v>1001.6614035087719</v>
      </c>
      <c r="R126" s="306">
        <f t="shared" ca="1" si="49"/>
        <v>0.5017645114959487</v>
      </c>
      <c r="S126" s="307">
        <f t="shared" ca="1" si="50"/>
        <v>7.7162098911451729</v>
      </c>
      <c r="T126" s="304">
        <f t="shared" ca="1" si="30"/>
        <v>75.696019032134146</v>
      </c>
      <c r="U126" s="311">
        <f t="shared" ca="1" si="31"/>
        <v>0</v>
      </c>
      <c r="V126" s="306">
        <f t="shared" ca="1" si="32"/>
        <v>1.2146514021692854</v>
      </c>
      <c r="W126" s="304">
        <f t="shared" ca="1" si="33"/>
        <v>65.045081397356981</v>
      </c>
      <c r="Y126" s="314" t="str">
        <f t="shared" ca="1" si="51"/>
        <v/>
      </c>
      <c r="Z126" s="315" t="str">
        <f t="shared" ca="1" si="52"/>
        <v/>
      </c>
      <c r="AA126" s="316" t="str">
        <f t="shared" ca="1" si="53"/>
        <v/>
      </c>
      <c r="AC126" s="310" t="e">
        <f t="shared" ca="1" si="54"/>
        <v>#N/A</v>
      </c>
      <c r="AD126" s="323" t="e">
        <f t="shared" ca="1" si="55"/>
        <v>#N/A</v>
      </c>
      <c r="AE126" s="324">
        <f t="shared" ca="1" si="34"/>
        <v>84.836692828432788</v>
      </c>
      <c r="AG126" s="306">
        <f t="shared" ca="1" si="56"/>
        <v>111.75340935685817</v>
      </c>
      <c r="AH126" s="304">
        <f t="shared" ca="1" si="57"/>
        <v>121.51563141032507</v>
      </c>
    </row>
    <row r="127" spans="1:34" x14ac:dyDescent="0.2">
      <c r="A127" s="347">
        <f t="shared" ca="1" si="35"/>
        <v>0.01</v>
      </c>
      <c r="B127" s="304">
        <f t="shared" ca="1" si="36"/>
        <v>1.2300000000000009</v>
      </c>
      <c r="D127" s="306">
        <f t="shared" ca="1" si="37"/>
        <v>11.974968810574847</v>
      </c>
      <c r="E127" s="307">
        <f t="shared" ca="1" si="38"/>
        <v>110.994757611026</v>
      </c>
      <c r="F127" s="304">
        <f t="shared" ca="1" si="39"/>
        <v>111.6388646267269</v>
      </c>
      <c r="G127" s="306">
        <f t="shared" ca="1" si="40"/>
        <v>13.95119298341606</v>
      </c>
      <c r="H127" s="307">
        <f t="shared" ca="1" si="41"/>
        <v>140.64301702553325</v>
      </c>
      <c r="I127" s="304">
        <f t="shared" ca="1" si="42"/>
        <v>141.33327288259107</v>
      </c>
      <c r="J127" s="306">
        <f t="shared" ca="1" si="43"/>
        <v>8.2260701300688712</v>
      </c>
      <c r="K127" s="307">
        <f t="shared" ca="1" si="44"/>
        <v>86.237573260807565</v>
      </c>
      <c r="L127" s="304">
        <f t="shared" ca="1" si="29"/>
        <v>86.629020955439429</v>
      </c>
      <c r="M127" s="306">
        <f t="shared" ca="1" si="45"/>
        <v>1.4719240005450942</v>
      </c>
      <c r="N127" s="304">
        <f t="shared" ca="1" si="46"/>
        <v>84.335032995245783</v>
      </c>
      <c r="P127" s="310">
        <f t="shared" ca="1" si="47"/>
        <v>6</v>
      </c>
      <c r="Q127" s="304">
        <f t="shared" ca="1" si="48"/>
        <v>1001.159649122807</v>
      </c>
      <c r="R127" s="306">
        <f t="shared" ca="1" si="49"/>
        <v>0.50151316653698086</v>
      </c>
      <c r="S127" s="307">
        <f t="shared" ca="1" si="50"/>
        <v>7.7111947594798034</v>
      </c>
      <c r="T127" s="304">
        <f t="shared" ca="1" si="30"/>
        <v>75.646820590496873</v>
      </c>
      <c r="U127" s="311">
        <f t="shared" ca="1" si="31"/>
        <v>0</v>
      </c>
      <c r="V127" s="306">
        <f t="shared" ca="1" si="32"/>
        <v>1.214481252837005</v>
      </c>
      <c r="W127" s="304">
        <f t="shared" ca="1" si="33"/>
        <v>66.075669247987179</v>
      </c>
      <c r="Y127" s="314" t="str">
        <f t="shared" ca="1" si="51"/>
        <v/>
      </c>
      <c r="Z127" s="315" t="str">
        <f t="shared" ca="1" si="52"/>
        <v/>
      </c>
      <c r="AA127" s="316" t="str">
        <f t="shared" ca="1" si="53"/>
        <v/>
      </c>
      <c r="AC127" s="310" t="e">
        <f t="shared" ca="1" si="54"/>
        <v>#N/A</v>
      </c>
      <c r="AD127" s="323" t="e">
        <f t="shared" ca="1" si="55"/>
        <v>#N/A</v>
      </c>
      <c r="AE127" s="324">
        <f t="shared" ca="1" si="34"/>
        <v>86.237573260807565</v>
      </c>
      <c r="AG127" s="306">
        <f t="shared" ca="1" si="56"/>
        <v>111.6346705643569</v>
      </c>
      <c r="AH127" s="304">
        <f t="shared" ca="1" si="57"/>
        <v>121.39682590361654</v>
      </c>
    </row>
    <row r="128" spans="1:34" x14ac:dyDescent="0.2">
      <c r="A128" s="347">
        <f t="shared" ca="1" si="35"/>
        <v>0.01</v>
      </c>
      <c r="B128" s="304">
        <f t="shared" ca="1" si="36"/>
        <v>1.2400000000000009</v>
      </c>
      <c r="D128" s="306">
        <f t="shared" ca="1" si="37"/>
        <v>11.971406489154759</v>
      </c>
      <c r="E128" s="307">
        <f t="shared" ca="1" si="38"/>
        <v>110.87464171309215</v>
      </c>
      <c r="F128" s="304">
        <f t="shared" ca="1" si="39"/>
        <v>111.51906002264873</v>
      </c>
      <c r="G128" s="306">
        <f t="shared" ca="1" si="40"/>
        <v>14.070907048307609</v>
      </c>
      <c r="H128" s="307">
        <f t="shared" ca="1" si="41"/>
        <v>141.75176344266418</v>
      </c>
      <c r="I128" s="304">
        <f t="shared" ca="1" si="42"/>
        <v>142.44842176825665</v>
      </c>
      <c r="J128" s="306">
        <f t="shared" ca="1" si="43"/>
        <v>8.3661806302274897</v>
      </c>
      <c r="K128" s="307">
        <f t="shared" ca="1" si="44"/>
        <v>87.649547163148554</v>
      </c>
      <c r="L128" s="304">
        <f t="shared" ca="1" si="29"/>
        <v>88.047919318076993</v>
      </c>
      <c r="M128" s="306">
        <f t="shared" ca="1" si="45"/>
        <v>1.4718560209934439</v>
      </c>
      <c r="N128" s="304">
        <f t="shared" ca="1" si="46"/>
        <v>84.331138053843034</v>
      </c>
      <c r="P128" s="310">
        <f t="shared" ca="1" si="47"/>
        <v>6</v>
      </c>
      <c r="Q128" s="304">
        <f t="shared" ca="1" si="48"/>
        <v>1000.6578947368421</v>
      </c>
      <c r="R128" s="306">
        <f t="shared" ca="1" si="49"/>
        <v>0.50126182157801302</v>
      </c>
      <c r="S128" s="307">
        <f t="shared" ca="1" si="50"/>
        <v>7.7061821412640237</v>
      </c>
      <c r="T128" s="304">
        <f t="shared" ca="1" si="30"/>
        <v>75.597646805800082</v>
      </c>
      <c r="U128" s="311">
        <f t="shared" ca="1" si="31"/>
        <v>0</v>
      </c>
      <c r="V128" s="306">
        <f t="shared" ca="1" si="32"/>
        <v>1.2143097801190961</v>
      </c>
      <c r="W128" s="304">
        <f t="shared" ca="1" si="33"/>
        <v>67.113007299914784</v>
      </c>
      <c r="Y128" s="314" t="str">
        <f t="shared" ca="1" si="51"/>
        <v/>
      </c>
      <c r="Z128" s="315" t="str">
        <f t="shared" ca="1" si="52"/>
        <v/>
      </c>
      <c r="AA128" s="316" t="str">
        <f t="shared" ca="1" si="53"/>
        <v/>
      </c>
      <c r="AC128" s="310" t="e">
        <f t="shared" ca="1" si="54"/>
        <v>#N/A</v>
      </c>
      <c r="AD128" s="323" t="e">
        <f t="shared" ca="1" si="55"/>
        <v>#N/A</v>
      </c>
      <c r="AE128" s="324">
        <f t="shared" ca="1" si="34"/>
        <v>87.649547163148554</v>
      </c>
      <c r="AG128" s="306">
        <f t="shared" ca="1" si="56"/>
        <v>111.51485565228703</v>
      </c>
      <c r="AH128" s="304">
        <f t="shared" ca="1" si="57"/>
        <v>121.27694471228239</v>
      </c>
    </row>
    <row r="129" spans="1:34" x14ac:dyDescent="0.2">
      <c r="A129" s="347">
        <f t="shared" ca="1" si="35"/>
        <v>0.01</v>
      </c>
      <c r="B129" s="304">
        <f t="shared" ca="1" si="36"/>
        <v>1.2500000000000009</v>
      </c>
      <c r="D129" s="306">
        <f t="shared" ca="1" si="37"/>
        <v>11.96766290719539</v>
      </c>
      <c r="E129" s="307">
        <f t="shared" ca="1" si="38"/>
        <v>110.75346584894456</v>
      </c>
      <c r="F129" s="304">
        <f t="shared" ca="1" si="39"/>
        <v>111.39818289816755</v>
      </c>
      <c r="G129" s="306">
        <f t="shared" ca="1" si="40"/>
        <v>14.190583677379562</v>
      </c>
      <c r="H129" s="307">
        <f t="shared" ca="1" si="41"/>
        <v>142.85929810115363</v>
      </c>
      <c r="I129" s="304">
        <f t="shared" ca="1" si="42"/>
        <v>143.56236177723946</v>
      </c>
      <c r="J129" s="306">
        <f t="shared" ca="1" si="43"/>
        <v>8.5074880838559253</v>
      </c>
      <c r="K129" s="307">
        <f t="shared" ca="1" si="44"/>
        <v>89.07260247086765</v>
      </c>
      <c r="L129" s="304">
        <f t="shared" ca="1" si="29"/>
        <v>89.477963010062808</v>
      </c>
      <c r="M129" s="306">
        <f t="shared" ca="1" si="45"/>
        <v>1.4717885226886862</v>
      </c>
      <c r="N129" s="304">
        <f t="shared" ca="1" si="46"/>
        <v>84.327270685856121</v>
      </c>
      <c r="P129" s="310">
        <f t="shared" ca="1" si="47"/>
        <v>6</v>
      </c>
      <c r="Q129" s="304">
        <f t="shared" ca="1" si="48"/>
        <v>1000.1561403508771</v>
      </c>
      <c r="R129" s="306">
        <f t="shared" ca="1" si="49"/>
        <v>0.50101047661904508</v>
      </c>
      <c r="S129" s="307">
        <f t="shared" ca="1" si="50"/>
        <v>7.7011720364978329</v>
      </c>
      <c r="T129" s="304">
        <f t="shared" ca="1" si="30"/>
        <v>75.548497678043745</v>
      </c>
      <c r="U129" s="311">
        <f t="shared" ca="1" si="31"/>
        <v>0</v>
      </c>
      <c r="V129" s="306">
        <f t="shared" ca="1" si="32"/>
        <v>1.2141369860435081</v>
      </c>
      <c r="W129" s="304">
        <f t="shared" ca="1" si="33"/>
        <v>68.157052536077003</v>
      </c>
      <c r="Y129" s="314" t="str">
        <f t="shared" ca="1" si="51"/>
        <v/>
      </c>
      <c r="Z129" s="315" t="str">
        <f t="shared" ca="1" si="52"/>
        <v/>
      </c>
      <c r="AA129" s="316" t="str">
        <f t="shared" ca="1" si="53"/>
        <v/>
      </c>
      <c r="AC129" s="310" t="e">
        <f t="shared" ca="1" si="54"/>
        <v>#N/A</v>
      </c>
      <c r="AD129" s="323" t="e">
        <f t="shared" ca="1" si="55"/>
        <v>#N/A</v>
      </c>
      <c r="AE129" s="324">
        <f t="shared" ca="1" si="34"/>
        <v>89.07260247086765</v>
      </c>
      <c r="AG129" s="306">
        <f t="shared" ca="1" si="56"/>
        <v>111.39396819462283</v>
      </c>
      <c r="AH129" s="304">
        <f t="shared" ca="1" si="57"/>
        <v>121.15599140352029</v>
      </c>
    </row>
    <row r="130" spans="1:34" x14ac:dyDescent="0.2">
      <c r="A130" s="347">
        <f t="shared" ca="1" si="35"/>
        <v>0.01</v>
      </c>
      <c r="B130" s="304">
        <f t="shared" ca="1" si="36"/>
        <v>1.2600000000000009</v>
      </c>
      <c r="D130" s="306">
        <f t="shared" ca="1" si="37"/>
        <v>11.96373932575642</v>
      </c>
      <c r="E130" s="307">
        <f t="shared" ca="1" si="38"/>
        <v>110.6312335390521</v>
      </c>
      <c r="F130" s="304">
        <f t="shared" ca="1" si="39"/>
        <v>111.27623687484646</v>
      </c>
      <c r="G130" s="306">
        <f t="shared" ca="1" si="40"/>
        <v>14.310221070637127</v>
      </c>
      <c r="H130" s="307">
        <f t="shared" ca="1" si="41"/>
        <v>143.96561043654415</v>
      </c>
      <c r="I130" s="304">
        <f t="shared" ca="1" si="42"/>
        <v>144.67508222032328</v>
      </c>
      <c r="J130" s="306">
        <f t="shared" ca="1" si="43"/>
        <v>8.6499921075960096</v>
      </c>
      <c r="K130" s="307">
        <f t="shared" ca="1" si="44"/>
        <v>90.506727013556144</v>
      </c>
      <c r="L130" s="304">
        <f t="shared" ca="1" si="29"/>
        <v>90.919139889067608</v>
      </c>
      <c r="M130" s="306">
        <f t="shared" ca="1" si="45"/>
        <v>1.4717214979801034</v>
      </c>
      <c r="N130" s="304">
        <f t="shared" ca="1" si="46"/>
        <v>84.323430452931234</v>
      </c>
      <c r="P130" s="310">
        <f t="shared" ca="1" si="47"/>
        <v>6</v>
      </c>
      <c r="Q130" s="304">
        <f t="shared" ca="1" si="48"/>
        <v>999.65438596491219</v>
      </c>
      <c r="R130" s="306">
        <f t="shared" ca="1" si="49"/>
        <v>0.50075913166007713</v>
      </c>
      <c r="S130" s="307">
        <f t="shared" ca="1" si="50"/>
        <v>7.6961644451812319</v>
      </c>
      <c r="T130" s="304">
        <f t="shared" ca="1" si="30"/>
        <v>75.49937320722789</v>
      </c>
      <c r="U130" s="311">
        <f t="shared" ca="1" si="31"/>
        <v>0</v>
      </c>
      <c r="V130" s="306">
        <f t="shared" ca="1" si="32"/>
        <v>1.2139628726544236</v>
      </c>
      <c r="W130" s="304">
        <f t="shared" ca="1" si="33"/>
        <v>69.207761669377774</v>
      </c>
      <c r="Y130" s="314" t="str">
        <f t="shared" ca="1" si="51"/>
        <v/>
      </c>
      <c r="Z130" s="315" t="str">
        <f t="shared" ca="1" si="52"/>
        <v/>
      </c>
      <c r="AA130" s="316" t="str">
        <f t="shared" ca="1" si="53"/>
        <v/>
      </c>
      <c r="AC130" s="310" t="e">
        <f t="shared" ca="1" si="54"/>
        <v>#N/A</v>
      </c>
      <c r="AD130" s="323" t="e">
        <f t="shared" ca="1" si="55"/>
        <v>#N/A</v>
      </c>
      <c r="AE130" s="324">
        <f t="shared" ca="1" si="34"/>
        <v>90.506727013556144</v>
      </c>
      <c r="AG130" s="306">
        <f t="shared" ca="1" si="56"/>
        <v>111.27201181210229</v>
      </c>
      <c r="AH130" s="304">
        <f t="shared" ca="1" si="57"/>
        <v>121.03396959144627</v>
      </c>
    </row>
    <row r="131" spans="1:34" x14ac:dyDescent="0.2">
      <c r="A131" s="347">
        <f t="shared" ca="1" si="35"/>
        <v>0.01</v>
      </c>
      <c r="B131" s="304">
        <f t="shared" ca="1" si="36"/>
        <v>1.2700000000000009</v>
      </c>
      <c r="D131" s="306">
        <f t="shared" ca="1" si="37"/>
        <v>11.959636988742037</v>
      </c>
      <c r="E131" s="307">
        <f t="shared" ca="1" si="38"/>
        <v>110.50794835207684</v>
      </c>
      <c r="F131" s="304">
        <f t="shared" ca="1" si="39"/>
        <v>111.15322562070688</v>
      </c>
      <c r="G131" s="306">
        <f t="shared" ca="1" si="40"/>
        <v>14.429817440524547</v>
      </c>
      <c r="H131" s="307">
        <f t="shared" ca="1" si="41"/>
        <v>145.07068992006492</v>
      </c>
      <c r="I131" s="304">
        <f t="shared" ca="1" si="42"/>
        <v>145.78657244496316</v>
      </c>
      <c r="J131" s="306">
        <f t="shared" ca="1" si="43"/>
        <v>8.7936923001518181</v>
      </c>
      <c r="K131" s="307">
        <f t="shared" ca="1" si="44"/>
        <v>91.951908515339184</v>
      </c>
      <c r="L131" s="304">
        <f t="shared" ca="1" si="29"/>
        <v>92.371437706052063</v>
      </c>
      <c r="M131" s="306">
        <f t="shared" ca="1" si="45"/>
        <v>1.4716549393940546</v>
      </c>
      <c r="N131" s="304">
        <f t="shared" ca="1" si="46"/>
        <v>84.319616926860277</v>
      </c>
      <c r="P131" s="310">
        <f t="shared" ca="1" si="47"/>
        <v>6</v>
      </c>
      <c r="Q131" s="304">
        <f t="shared" ca="1" si="48"/>
        <v>999.15263157894731</v>
      </c>
      <c r="R131" s="306">
        <f t="shared" ca="1" si="49"/>
        <v>0.50050778670110929</v>
      </c>
      <c r="S131" s="307">
        <f t="shared" ca="1" si="50"/>
        <v>7.6911593673142207</v>
      </c>
      <c r="T131" s="304">
        <f t="shared" ca="1" si="30"/>
        <v>75.450273393352504</v>
      </c>
      <c r="U131" s="311">
        <f t="shared" ca="1" si="31"/>
        <v>0</v>
      </c>
      <c r="V131" s="306">
        <f t="shared" ca="1" si="32"/>
        <v>1.2137874420121868</v>
      </c>
      <c r="W131" s="304">
        <f t="shared" ca="1" si="33"/>
        <v>70.265091146093937</v>
      </c>
      <c r="Y131" s="314" t="str">
        <f t="shared" ca="1" si="51"/>
        <v/>
      </c>
      <c r="Z131" s="315" t="str">
        <f t="shared" ca="1" si="52"/>
        <v/>
      </c>
      <c r="AA131" s="316" t="str">
        <f t="shared" ca="1" si="53"/>
        <v/>
      </c>
      <c r="AC131" s="310" t="e">
        <f t="shared" ca="1" si="54"/>
        <v>#N/A</v>
      </c>
      <c r="AD131" s="323" t="e">
        <f t="shared" ca="1" si="55"/>
        <v>#N/A</v>
      </c>
      <c r="AE131" s="324">
        <f t="shared" ca="1" si="34"/>
        <v>91.951908515339184</v>
      </c>
      <c r="AG131" s="306">
        <f t="shared" ca="1" si="56"/>
        <v>111.14899017193297</v>
      </c>
      <c r="AH131" s="304">
        <f t="shared" ca="1" si="57"/>
        <v>120.91088293679572</v>
      </c>
    </row>
    <row r="132" spans="1:34" x14ac:dyDescent="0.2">
      <c r="A132" s="347">
        <f t="shared" ca="1" si="35"/>
        <v>0.01</v>
      </c>
      <c r="B132" s="304">
        <f t="shared" ca="1" si="36"/>
        <v>1.2800000000000009</v>
      </c>
      <c r="D132" s="306">
        <f t="shared" ca="1" si="37"/>
        <v>11.955357123583537</v>
      </c>
      <c r="E132" s="307">
        <f t="shared" ca="1" si="38"/>
        <v>110.38361390451385</v>
      </c>
      <c r="F132" s="304">
        <f t="shared" ca="1" si="39"/>
        <v>111.02915284993037</v>
      </c>
      <c r="G132" s="306">
        <f t="shared" ca="1" si="40"/>
        <v>14.549371011760382</v>
      </c>
      <c r="H132" s="307">
        <f t="shared" ca="1" si="41"/>
        <v>146.17452605911006</v>
      </c>
      <c r="I132" s="304">
        <f t="shared" ca="1" si="42"/>
        <v>146.89682183574735</v>
      </c>
      <c r="J132" s="306">
        <f t="shared" ca="1" si="43"/>
        <v>8.9385882424132426</v>
      </c>
      <c r="K132" s="307">
        <f t="shared" ca="1" si="44"/>
        <v>93.408134595235055</v>
      </c>
      <c r="L132" s="304">
        <f t="shared" ref="L132:L195" ca="1" si="58">SQRT(pos_x^2+pos_z^2)</f>
        <v>93.83484410563571</v>
      </c>
      <c r="M132" s="306">
        <f t="shared" ca="1" si="45"/>
        <v>1.4715888396285066</v>
      </c>
      <c r="N132" s="304">
        <f t="shared" ca="1" si="46"/>
        <v>84.315829689267574</v>
      </c>
      <c r="P132" s="310">
        <f t="shared" ca="1" si="47"/>
        <v>6</v>
      </c>
      <c r="Q132" s="304">
        <f t="shared" ca="1" si="48"/>
        <v>998.65087719298242</v>
      </c>
      <c r="R132" s="306">
        <f t="shared" ca="1" si="49"/>
        <v>0.50025644174214146</v>
      </c>
      <c r="S132" s="307">
        <f t="shared" ca="1" si="50"/>
        <v>7.6861568028967993</v>
      </c>
      <c r="T132" s="304">
        <f t="shared" ref="T132:T195" ca="1" si="59">m*g</f>
        <v>75.401198236417599</v>
      </c>
      <c r="U132" s="311">
        <f t="shared" ref="U132:U195" ca="1" si="60">IF(pos_xz&lt;L_rampe,Poids*COS(Beta),0)</f>
        <v>0</v>
      </c>
      <c r="V132" s="306">
        <f t="shared" ref="V132:V195" ca="1" si="61">Rho_moyen*(20000-Alt_rampe-pos_z)/(20000+Alt_rampe+pos_z)</f>
        <v>1.21361069619323</v>
      </c>
      <c r="W132" s="304">
        <f t="shared" ref="W132:W195" ca="1" si="62">1/2*Rho*Sref*Cx*vit_xz^2</f>
        <v>71.328997149303802</v>
      </c>
      <c r="Y132" s="314" t="str">
        <f t="shared" ca="1" si="51"/>
        <v/>
      </c>
      <c r="Z132" s="315" t="str">
        <f t="shared" ca="1" si="52"/>
        <v/>
      </c>
      <c r="AA132" s="316" t="str">
        <f t="shared" ca="1" si="53"/>
        <v/>
      </c>
      <c r="AC132" s="310" t="e">
        <f t="shared" ca="1" si="54"/>
        <v>#N/A</v>
      </c>
      <c r="AD132" s="323" t="e">
        <f t="shared" ca="1" si="55"/>
        <v>#N/A</v>
      </c>
      <c r="AE132" s="324">
        <f t="shared" ref="AE132:AE195" ca="1" si="63">IF(t&lt;T_para, pos_z, NA())</f>
        <v>93.408134595235055</v>
      </c>
      <c r="AG132" s="306">
        <f t="shared" ca="1" si="56"/>
        <v>111.02490698749325</v>
      </c>
      <c r="AH132" s="304">
        <f t="shared" ca="1" si="57"/>
        <v>120.78673514662016</v>
      </c>
    </row>
    <row r="133" spans="1:34" x14ac:dyDescent="0.2">
      <c r="A133" s="347">
        <f t="shared" ref="A133:A196" ca="1" si="64">IF(B132+0.01&lt;=T_ini+ROUNDUP(Temps_fin_propu,0), 0.01, IF(K132&gt;0, 0.1, 0.0001))</f>
        <v>0.01</v>
      </c>
      <c r="B133" s="304">
        <f t="shared" ref="B133:B196" ca="1" si="65">B132+pas</f>
        <v>1.2900000000000009</v>
      </c>
      <c r="D133" s="306">
        <f t="shared" ref="D133:D196" ca="1" si="66">IF(AND(L132&lt;L_rampe,Poussee&lt;Poids*SIN(M132)),0,(-W132+Poussee)/m*COS(M132)-U132/m*SIN(M132))</f>
        <v>11.946011057156644</v>
      </c>
      <c r="E133" s="307">
        <f t="shared" ref="E133:E196" ca="1" si="67">IF(AND(L132&lt;L_rampe,Poussee&lt;Poids*SIN(M132)),0,(-W132+Poussee)/m*SIN(M132)+U132/m*COS(M132)-Poids/m)</f>
        <v>110.20910619815038</v>
      </c>
      <c r="F133" s="304">
        <f t="shared" ref="F133:F196" ca="1" si="68">SQRT(acc_x^2+acc_z^2)</f>
        <v>110.85465380024827</v>
      </c>
      <c r="G133" s="306">
        <f t="shared" ref="G133:G196" ca="1" si="69">G132+acc_x*pas</f>
        <v>14.668831122331948</v>
      </c>
      <c r="H133" s="307">
        <f t="shared" ref="H133:H196" ca="1" si="70">H132+acc_z*pas</f>
        <v>147.27661712109156</v>
      </c>
      <c r="I133" s="304">
        <f t="shared" ref="I133:I196" ca="1" si="71">SQRT(vit_x^2+vit_z^2)</f>
        <v>148.00532611067783</v>
      </c>
      <c r="J133" s="306">
        <f t="shared" ref="J133:J196" ca="1" si="72">J132+0.5*(vit_x+G132)*pas*(K132&gt;=0)</f>
        <v>9.0846792530837046</v>
      </c>
      <c r="K133" s="307">
        <f t="shared" ref="K133:K196" ca="1" si="73">K132+0.5*(vit_z+H132)*pas</f>
        <v>94.875390311136059</v>
      </c>
      <c r="L133" s="304">
        <f t="shared" ca="1" si="58"/>
        <v>95.309344157967104</v>
      </c>
      <c r="M133" s="306">
        <f t="shared" ref="M133:M196" ca="1" si="74">IF(AND(L132&gt;L_rampe,G133&gt;0),ATAN2(G133,H133),$M$4)</f>
        <v>1.4715231913287961</v>
      </c>
      <c r="N133" s="304">
        <f t="shared" ref="N133:N196" ca="1" si="75">DEGREES(Beta)</f>
        <v>84.312068318761959</v>
      </c>
      <c r="P133" s="310">
        <f t="shared" ref="P133:P196" ca="1" si="76">MATCH(t-pas/2-T_ini,CdP_t)</f>
        <v>7</v>
      </c>
      <c r="Q133" s="304">
        <f t="shared" ref="Q133:Q196" ca="1" si="77">(INDEX(CdP,2,i_P+1)-INDEX(CdP,2,i_P+0))/(INDEX(CdP,1,i_P+1)-INDEX(CdP,1,i_P+0))*(t-pas/2-T_ini-INDEX(CdP,1,i_P+0))+INDEX(CdP,2,i_P+0)</f>
        <v>997.77012987012972</v>
      </c>
      <c r="R133" s="306">
        <f t="shared" ref="R133:R196" ca="1" si="78">Poussee/(g*ISP)</f>
        <v>0.49981524699444074</v>
      </c>
      <c r="S133" s="307">
        <f t="shared" ref="S133:S196" ca="1" si="79">S132-Débit*pas</f>
        <v>7.6811586504268545</v>
      </c>
      <c r="T133" s="304">
        <f t="shared" ca="1" si="59"/>
        <v>75.352166360687448</v>
      </c>
      <c r="U133" s="311">
        <f t="shared" ca="1" si="60"/>
        <v>0</v>
      </c>
      <c r="V133" s="306">
        <f t="shared" ca="1" si="61"/>
        <v>1.2134326375880711</v>
      </c>
      <c r="W133" s="304">
        <f t="shared" ca="1" si="62"/>
        <v>72.398952614192766</v>
      </c>
      <c r="Y133" s="314" t="str">
        <f t="shared" ref="Y133:Y196" ca="1" si="80">IF(AND(pos_z&lt;=0,K132&gt;0),"Impact balistique","") &amp; IF(AND(H134&lt;0,vit_z&gt;=0),"Apogée","") &amp; IF(AND(Poussee=0,Q132&gt;0),"Fin de propulsion","") &amp; IF(AND(L134&gt;L_rampe,pos_xz&lt;=L_rampe),"Sortie de rampe","")</f>
        <v/>
      </c>
      <c r="Z133" s="315" t="str">
        <f t="shared" ref="Z133:Z196" ca="1" si="81">IF(ABS(t-T_para)&lt;pas/2,"Para","")</f>
        <v/>
      </c>
      <c r="AA133" s="316" t="str">
        <f t="shared" ref="AA133:AA196" ca="1" si="82">IF(ABS(t-T_satellite)&lt;pas/2,"Satellite","")</f>
        <v/>
      </c>
      <c r="AC133" s="310" t="e">
        <f t="shared" ref="AC133:AC196" ca="1" si="83">IF(ABS(t-ROUND(t,0))&lt;0.001,t,NA())</f>
        <v>#N/A</v>
      </c>
      <c r="AD133" s="323" t="e">
        <f t="shared" ref="AD133:AD196" ca="1" si="84">IF(ABS(t-ROUND(t,0))&lt;0.001,pos_x,NA())</f>
        <v>#N/A</v>
      </c>
      <c r="AE133" s="324">
        <f t="shared" ca="1" si="63"/>
        <v>94.875390311136059</v>
      </c>
      <c r="AG133" s="306">
        <f t="shared" ref="AG133:AG196" ca="1" si="85">IF(AND(L132&lt;L_rampe,Poussee&lt;Poids*SIN(M132)),0,(-W132+Poussee)/m-Poids*SIN(M132)/m)</f>
        <v>110.8503956001267</v>
      </c>
      <c r="AH133" s="304">
        <f t="shared" ref="AH133:AH196" ca="1" si="86">IF(AND(L132&lt;L_rampe,Poussee&lt;Poids*SIN(M132)), g*SIN(M132), (-W132+Poussee)/m)</f>
        <v>120.61215955607713</v>
      </c>
    </row>
    <row r="134" spans="1:34" x14ac:dyDescent="0.2">
      <c r="A134" s="347">
        <f t="shared" ca="1" si="64"/>
        <v>0.01</v>
      </c>
      <c r="B134" s="304">
        <f t="shared" ca="1" si="65"/>
        <v>1.3000000000000009</v>
      </c>
      <c r="D134" s="306">
        <f t="shared" ca="1" si="66"/>
        <v>11.931584081459809</v>
      </c>
      <c r="E134" s="307">
        <f t="shared" ca="1" si="67"/>
        <v>109.98436710114045</v>
      </c>
      <c r="F134" s="304">
        <f t="shared" ca="1" si="68"/>
        <v>110.62966919109616</v>
      </c>
      <c r="G134" s="306">
        <f t="shared" ca="1" si="69"/>
        <v>14.788146963146547</v>
      </c>
      <c r="H134" s="307">
        <f t="shared" ca="1" si="70"/>
        <v>148.37646079210296</v>
      </c>
      <c r="I134" s="304">
        <f t="shared" ca="1" si="71"/>
        <v>149.11158039466312</v>
      </c>
      <c r="J134" s="306">
        <f t="shared" ca="1" si="72"/>
        <v>9.2319641435110977</v>
      </c>
      <c r="K134" s="307">
        <f t="shared" ca="1" si="73"/>
        <v>96.353655700702035</v>
      </c>
      <c r="L134" s="304">
        <f t="shared" ca="1" si="58"/>
        <v>96.794917887441301</v>
      </c>
      <c r="M134" s="306">
        <f t="shared" ca="1" si="74"/>
        <v>1.4714579870945401</v>
      </c>
      <c r="N134" s="304">
        <f t="shared" ca="1" si="75"/>
        <v>84.308332391332698</v>
      </c>
      <c r="P134" s="310">
        <f t="shared" ca="1" si="76"/>
        <v>7</v>
      </c>
      <c r="Q134" s="304">
        <f t="shared" ca="1" si="77"/>
        <v>996.51038961038944</v>
      </c>
      <c r="R134" s="306">
        <f t="shared" ca="1" si="78"/>
        <v>0.49918420245800738</v>
      </c>
      <c r="S134" s="307">
        <f t="shared" ca="1" si="79"/>
        <v>7.6761668084022743</v>
      </c>
      <c r="T134" s="304">
        <f t="shared" ca="1" si="59"/>
        <v>75.303196390426308</v>
      </c>
      <c r="U134" s="311">
        <f t="shared" ca="1" si="60"/>
        <v>0</v>
      </c>
      <c r="V134" s="306">
        <f t="shared" ca="1" si="61"/>
        <v>1.2132532691994224</v>
      </c>
      <c r="W134" s="304">
        <f t="shared" ca="1" si="62"/>
        <v>73.47441547217521</v>
      </c>
      <c r="Y134" s="314" t="str">
        <f t="shared" ca="1" si="80"/>
        <v/>
      </c>
      <c r="Z134" s="315" t="str">
        <f t="shared" ca="1" si="81"/>
        <v/>
      </c>
      <c r="AA134" s="316" t="str">
        <f t="shared" ca="1" si="82"/>
        <v/>
      </c>
      <c r="AC134" s="310" t="e">
        <f t="shared" ca="1" si="83"/>
        <v>#N/A</v>
      </c>
      <c r="AD134" s="323" t="e">
        <f t="shared" ca="1" si="84"/>
        <v>#N/A</v>
      </c>
      <c r="AE134" s="324">
        <f t="shared" ca="1" si="63"/>
        <v>96.353655700702035</v>
      </c>
      <c r="AG134" s="306">
        <f t="shared" ca="1" si="85"/>
        <v>110.62539670044914</v>
      </c>
      <c r="AH134" s="304">
        <f t="shared" ca="1" si="86"/>
        <v>120.38709684952016</v>
      </c>
    </row>
    <row r="135" spans="1:34" x14ac:dyDescent="0.2">
      <c r="A135" s="347">
        <f t="shared" ca="1" si="64"/>
        <v>0.01</v>
      </c>
      <c r="B135" s="304">
        <f t="shared" ca="1" si="65"/>
        <v>1.3100000000000009</v>
      </c>
      <c r="D135" s="306">
        <f t="shared" ca="1" si="66"/>
        <v>11.916964499688277</v>
      </c>
      <c r="E135" s="307">
        <f t="shared" ca="1" si="67"/>
        <v>109.75853149048302</v>
      </c>
      <c r="F135" s="304">
        <f t="shared" ca="1" si="68"/>
        <v>110.40357457000287</v>
      </c>
      <c r="G135" s="306">
        <f t="shared" ca="1" si="69"/>
        <v>14.907316608143429</v>
      </c>
      <c r="H135" s="307">
        <f t="shared" ca="1" si="70"/>
        <v>149.47404610700778</v>
      </c>
      <c r="I135" s="304">
        <f t="shared" ca="1" si="71"/>
        <v>150.21557358694642</v>
      </c>
      <c r="J135" s="306">
        <f t="shared" ca="1" si="72"/>
        <v>9.380441461367548</v>
      </c>
      <c r="K135" s="307">
        <f t="shared" ca="1" si="73"/>
        <v>97.842908235197584</v>
      </c>
      <c r="L135" s="304">
        <f t="shared" ca="1" si="58"/>
        <v>98.291542738586813</v>
      </c>
      <c r="M135" s="306">
        <f t="shared" ca="1" si="74"/>
        <v>1.4713932196992092</v>
      </c>
      <c r="N135" s="304">
        <f t="shared" ca="1" si="75"/>
        <v>84.304621492930195</v>
      </c>
      <c r="P135" s="310">
        <f t="shared" ca="1" si="76"/>
        <v>7</v>
      </c>
      <c r="Q135" s="304">
        <f t="shared" ca="1" si="77"/>
        <v>995.25064935064916</v>
      </c>
      <c r="R135" s="306">
        <f t="shared" ca="1" si="78"/>
        <v>0.49855315792157406</v>
      </c>
      <c r="S135" s="307">
        <f t="shared" ca="1" si="79"/>
        <v>7.6711812768230585</v>
      </c>
      <c r="T135" s="304">
        <f t="shared" ca="1" si="59"/>
        <v>75.254288325634207</v>
      </c>
      <c r="U135" s="311">
        <f t="shared" ca="1" si="60"/>
        <v>0</v>
      </c>
      <c r="V135" s="306">
        <f t="shared" ca="1" si="61"/>
        <v>1.2130725943440424</v>
      </c>
      <c r="W135" s="304">
        <f t="shared" ca="1" si="62"/>
        <v>74.555319427628518</v>
      </c>
      <c r="Y135" s="314" t="str">
        <f t="shared" ca="1" si="80"/>
        <v/>
      </c>
      <c r="Z135" s="315" t="str">
        <f t="shared" ca="1" si="81"/>
        <v/>
      </c>
      <c r="AA135" s="316" t="str">
        <f t="shared" ca="1" si="82"/>
        <v/>
      </c>
      <c r="AC135" s="310" t="e">
        <f t="shared" ca="1" si="83"/>
        <v>#N/A</v>
      </c>
      <c r="AD135" s="323" t="e">
        <f t="shared" ca="1" si="84"/>
        <v>#N/A</v>
      </c>
      <c r="AE135" s="324">
        <f t="shared" ca="1" si="63"/>
        <v>97.842908235197584</v>
      </c>
      <c r="AG135" s="306">
        <f t="shared" ca="1" si="85"/>
        <v>110.39928772199929</v>
      </c>
      <c r="AH135" s="304">
        <f t="shared" ca="1" si="86"/>
        <v>120.16092445415632</v>
      </c>
    </row>
    <row r="136" spans="1:34" x14ac:dyDescent="0.2">
      <c r="A136" s="347">
        <f t="shared" ca="1" si="64"/>
        <v>0.01</v>
      </c>
      <c r="B136" s="304">
        <f t="shared" ca="1" si="65"/>
        <v>1.320000000000001</v>
      </c>
      <c r="D136" s="306">
        <f t="shared" ca="1" si="66"/>
        <v>11.902153958155326</v>
      </c>
      <c r="E136" s="307">
        <f t="shared" ca="1" si="67"/>
        <v>109.5316062916491</v>
      </c>
      <c r="F136" s="304">
        <f t="shared" ca="1" si="68"/>
        <v>110.17637698559732</v>
      </c>
      <c r="G136" s="306">
        <f t="shared" ca="1" si="69"/>
        <v>15.026338147724982</v>
      </c>
      <c r="H136" s="307">
        <f t="shared" ca="1" si="70"/>
        <v>150.56936216992426</v>
      </c>
      <c r="I136" s="304">
        <f t="shared" ca="1" si="71"/>
        <v>151.3172946572453</v>
      </c>
      <c r="J136" s="306">
        <f t="shared" ca="1" si="72"/>
        <v>9.5301097351468904</v>
      </c>
      <c r="K136" s="307">
        <f t="shared" ca="1" si="73"/>
        <v>99.343125276582242</v>
      </c>
      <c r="L136" s="304">
        <f t="shared" ca="1" si="58"/>
        <v>99.799196045272097</v>
      </c>
      <c r="M136" s="306">
        <f t="shared" ca="1" si="74"/>
        <v>1.4713288820846702</v>
      </c>
      <c r="N136" s="304">
        <f t="shared" ca="1" si="75"/>
        <v>84.30093521915316</v>
      </c>
      <c r="P136" s="310">
        <f t="shared" ca="1" si="76"/>
        <v>7</v>
      </c>
      <c r="Q136" s="304">
        <f t="shared" ca="1" si="77"/>
        <v>993.99090909090899</v>
      </c>
      <c r="R136" s="306">
        <f t="shared" ca="1" si="78"/>
        <v>0.49792211338514075</v>
      </c>
      <c r="S136" s="307">
        <f t="shared" ca="1" si="79"/>
        <v>7.6662020556892072</v>
      </c>
      <c r="T136" s="304">
        <f t="shared" ca="1" si="59"/>
        <v>75.20544216631113</v>
      </c>
      <c r="U136" s="311">
        <f t="shared" ca="1" si="60"/>
        <v>0</v>
      </c>
      <c r="V136" s="306">
        <f t="shared" ca="1" si="61"/>
        <v>1.2128906163544446</v>
      </c>
      <c r="W136" s="304">
        <f t="shared" ca="1" si="62"/>
        <v>75.641598043478439</v>
      </c>
      <c r="Y136" s="314" t="str">
        <f t="shared" ca="1" si="80"/>
        <v/>
      </c>
      <c r="Z136" s="315" t="str">
        <f t="shared" ca="1" si="81"/>
        <v/>
      </c>
      <c r="AA136" s="316" t="str">
        <f t="shared" ca="1" si="82"/>
        <v/>
      </c>
      <c r="AC136" s="310" t="e">
        <f t="shared" ca="1" si="83"/>
        <v>#N/A</v>
      </c>
      <c r="AD136" s="323" t="e">
        <f t="shared" ca="1" si="84"/>
        <v>#N/A</v>
      </c>
      <c r="AE136" s="324">
        <f t="shared" ca="1" si="63"/>
        <v>99.343125276582242</v>
      </c>
      <c r="AG136" s="306">
        <f t="shared" ca="1" si="85"/>
        <v>110.17207571228693</v>
      </c>
      <c r="AH136" s="304">
        <f t="shared" ca="1" si="86"/>
        <v>119.93364941130831</v>
      </c>
    </row>
    <row r="137" spans="1:34" x14ac:dyDescent="0.2">
      <c r="A137" s="347">
        <f t="shared" ca="1" si="64"/>
        <v>0.01</v>
      </c>
      <c r="B137" s="304">
        <f t="shared" ca="1" si="65"/>
        <v>1.330000000000001</v>
      </c>
      <c r="D137" s="306">
        <f t="shared" ca="1" si="66"/>
        <v>11.887154085452815</v>
      </c>
      <c r="E137" s="307">
        <f t="shared" ca="1" si="67"/>
        <v>109.30359847397185</v>
      </c>
      <c r="F137" s="304">
        <f t="shared" ca="1" si="68"/>
        <v>109.94808352859343</v>
      </c>
      <c r="G137" s="306">
        <f t="shared" ca="1" si="69"/>
        <v>15.145209688579509</v>
      </c>
      <c r="H137" s="307">
        <f t="shared" ca="1" si="70"/>
        <v>151.66239815466398</v>
      </c>
      <c r="I137" s="304">
        <f t="shared" ca="1" si="71"/>
        <v>152.41673264617262</v>
      </c>
      <c r="J137" s="306">
        <f t="shared" ca="1" si="72"/>
        <v>9.680967474328412</v>
      </c>
      <c r="K137" s="307">
        <f t="shared" ca="1" si="73"/>
        <v>100.85428407820518</v>
      </c>
      <c r="L137" s="304">
        <f t="shared" ca="1" si="58"/>
        <v>101.31785503141249</v>
      </c>
      <c r="M137" s="306">
        <f t="shared" ca="1" si="74"/>
        <v>1.4712649673559457</v>
      </c>
      <c r="N137" s="304">
        <f t="shared" ca="1" si="75"/>
        <v>84.297273174948529</v>
      </c>
      <c r="P137" s="310">
        <f t="shared" ca="1" si="76"/>
        <v>7</v>
      </c>
      <c r="Q137" s="304">
        <f t="shared" ca="1" si="77"/>
        <v>992.7311688311687</v>
      </c>
      <c r="R137" s="306">
        <f t="shared" ca="1" si="78"/>
        <v>0.49729106884870744</v>
      </c>
      <c r="S137" s="307">
        <f t="shared" ca="1" si="79"/>
        <v>7.6612291450007204</v>
      </c>
      <c r="T137" s="304">
        <f t="shared" ca="1" si="59"/>
        <v>75.156657912457064</v>
      </c>
      <c r="U137" s="311">
        <f t="shared" ca="1" si="60"/>
        <v>0</v>
      </c>
      <c r="V137" s="306">
        <f t="shared" ca="1" si="61"/>
        <v>1.2127073385787726</v>
      </c>
      <c r="W137" s="304">
        <f t="shared" ca="1" si="62"/>
        <v>76.733184746831483</v>
      </c>
      <c r="Y137" s="314" t="str">
        <f t="shared" ca="1" si="80"/>
        <v/>
      </c>
      <c r="Z137" s="315" t="str">
        <f t="shared" ca="1" si="81"/>
        <v/>
      </c>
      <c r="AA137" s="316" t="str">
        <f t="shared" ca="1" si="82"/>
        <v/>
      </c>
      <c r="AC137" s="310" t="e">
        <f t="shared" ca="1" si="83"/>
        <v>#N/A</v>
      </c>
      <c r="AD137" s="323" t="e">
        <f t="shared" ca="1" si="84"/>
        <v>#N/A</v>
      </c>
      <c r="AE137" s="324">
        <f t="shared" ca="1" si="63"/>
        <v>100.85428407820518</v>
      </c>
      <c r="AG137" s="306">
        <f t="shared" ca="1" si="85"/>
        <v>109.94376776091137</v>
      </c>
      <c r="AH137" s="304">
        <f t="shared" ca="1" si="86"/>
        <v>119.70527880452843</v>
      </c>
    </row>
    <row r="138" spans="1:34" x14ac:dyDescent="0.2">
      <c r="A138" s="347">
        <f t="shared" ca="1" si="64"/>
        <v>0.01</v>
      </c>
      <c r="B138" s="304">
        <f t="shared" ca="1" si="65"/>
        <v>1.340000000000001</v>
      </c>
      <c r="D138" s="306">
        <f t="shared" ca="1" si="66"/>
        <v>11.871966493106319</v>
      </c>
      <c r="E138" s="307">
        <f t="shared" ca="1" si="67"/>
        <v>109.07451504993298</v>
      </c>
      <c r="F138" s="304">
        <f t="shared" ca="1" si="68"/>
        <v>109.71870133113815</v>
      </c>
      <c r="G138" s="306">
        <f t="shared" ca="1" si="69"/>
        <v>15.263929353510573</v>
      </c>
      <c r="H138" s="307">
        <f t="shared" ca="1" si="70"/>
        <v>152.75314330516329</v>
      </c>
      <c r="I138" s="304">
        <f t="shared" ca="1" si="71"/>
        <v>153.51387666565103</v>
      </c>
      <c r="J138" s="306">
        <f t="shared" ca="1" si="72"/>
        <v>9.8330131695388623</v>
      </c>
      <c r="K138" s="307">
        <f t="shared" ca="1" si="73"/>
        <v>102.37636178550432</v>
      </c>
      <c r="L138" s="304">
        <f t="shared" ca="1" si="58"/>
        <v>102.8474968116813</v>
      </c>
      <c r="M138" s="306">
        <f t="shared" ca="1" si="74"/>
        <v>1.4712014687761741</v>
      </c>
      <c r="N138" s="304">
        <f t="shared" ca="1" si="75"/>
        <v>84.293634974322543</v>
      </c>
      <c r="P138" s="310">
        <f t="shared" ca="1" si="76"/>
        <v>7</v>
      </c>
      <c r="Q138" s="304">
        <f t="shared" ca="1" si="77"/>
        <v>991.47142857142842</v>
      </c>
      <c r="R138" s="306">
        <f t="shared" ca="1" si="78"/>
        <v>0.49666002431227407</v>
      </c>
      <c r="S138" s="307">
        <f t="shared" ca="1" si="79"/>
        <v>7.656262544757598</v>
      </c>
      <c r="T138" s="304">
        <f t="shared" ca="1" si="59"/>
        <v>75.107935564072037</v>
      </c>
      <c r="U138" s="311">
        <f t="shared" ca="1" si="60"/>
        <v>0</v>
      </c>
      <c r="V138" s="306">
        <f t="shared" ca="1" si="61"/>
        <v>1.2125227643806682</v>
      </c>
      <c r="W138" s="304">
        <f t="shared" ca="1" si="62"/>
        <v>77.830012834606165</v>
      </c>
      <c r="Y138" s="314" t="str">
        <f t="shared" ca="1" si="80"/>
        <v/>
      </c>
      <c r="Z138" s="315" t="str">
        <f t="shared" ca="1" si="81"/>
        <v/>
      </c>
      <c r="AA138" s="316" t="str">
        <f t="shared" ca="1" si="82"/>
        <v/>
      </c>
      <c r="AC138" s="310" t="e">
        <f t="shared" ca="1" si="83"/>
        <v>#N/A</v>
      </c>
      <c r="AD138" s="323" t="e">
        <f t="shared" ca="1" si="84"/>
        <v>#N/A</v>
      </c>
      <c r="AE138" s="324">
        <f t="shared" ca="1" si="63"/>
        <v>102.37636178550432</v>
      </c>
      <c r="AG138" s="306">
        <f t="shared" ca="1" si="85"/>
        <v>109.714370998909</v>
      </c>
      <c r="AH138" s="304">
        <f t="shared" ca="1" si="86"/>
        <v>119.47581975894194</v>
      </c>
    </row>
    <row r="139" spans="1:34" x14ac:dyDescent="0.2">
      <c r="A139" s="347">
        <f t="shared" ca="1" si="64"/>
        <v>0.01</v>
      </c>
      <c r="B139" s="304">
        <f t="shared" ca="1" si="65"/>
        <v>1.350000000000001</v>
      </c>
      <c r="D139" s="306">
        <f t="shared" ca="1" si="66"/>
        <v>11.856592776202197</v>
      </c>
      <c r="E139" s="307">
        <f t="shared" ca="1" si="67"/>
        <v>108.84436307444858</v>
      </c>
      <c r="F139" s="304">
        <f t="shared" ca="1" si="68"/>
        <v>109.48823756615629</v>
      </c>
      <c r="G139" s="306">
        <f t="shared" ca="1" si="69"/>
        <v>15.382495281272595</v>
      </c>
      <c r="H139" s="307">
        <f t="shared" ca="1" si="70"/>
        <v>153.84158693590777</v>
      </c>
      <c r="I139" s="304">
        <f t="shared" ca="1" si="71"/>
        <v>154.60871589932063</v>
      </c>
      <c r="J139" s="306">
        <f t="shared" ca="1" si="72"/>
        <v>9.9862452927127787</v>
      </c>
      <c r="K139" s="307">
        <f t="shared" ca="1" si="73"/>
        <v>103.90933543670967</v>
      </c>
      <c r="L139" s="304">
        <f t="shared" ca="1" si="58"/>
        <v>104.38809839222513</v>
      </c>
      <c r="M139" s="306">
        <f t="shared" ca="1" si="74"/>
        <v>1.4711383797617654</v>
      </c>
      <c r="N139" s="304">
        <f t="shared" ca="1" si="75"/>
        <v>84.290020240063285</v>
      </c>
      <c r="P139" s="310">
        <f t="shared" ca="1" si="76"/>
        <v>7</v>
      </c>
      <c r="Q139" s="304">
        <f t="shared" ca="1" si="77"/>
        <v>990.21168831168814</v>
      </c>
      <c r="R139" s="306">
        <f t="shared" ca="1" si="78"/>
        <v>0.49602897977584076</v>
      </c>
      <c r="S139" s="307">
        <f t="shared" ca="1" si="79"/>
        <v>7.6513022549598393</v>
      </c>
      <c r="T139" s="304">
        <f t="shared" ca="1" si="59"/>
        <v>75.059275121156034</v>
      </c>
      <c r="U139" s="311">
        <f t="shared" ca="1" si="60"/>
        <v>0</v>
      </c>
      <c r="V139" s="306">
        <f t="shared" ca="1" si="61"/>
        <v>1.2123368971391451</v>
      </c>
      <c r="W139" s="304">
        <f t="shared" ca="1" si="62"/>
        <v>78.932015479162516</v>
      </c>
      <c r="Y139" s="314" t="str">
        <f t="shared" ca="1" si="80"/>
        <v/>
      </c>
      <c r="Z139" s="315" t="str">
        <f t="shared" ca="1" si="81"/>
        <v/>
      </c>
      <c r="AA139" s="316" t="str">
        <f t="shared" ca="1" si="82"/>
        <v/>
      </c>
      <c r="AC139" s="310" t="e">
        <f t="shared" ca="1" si="83"/>
        <v>#N/A</v>
      </c>
      <c r="AD139" s="323" t="e">
        <f t="shared" ca="1" si="84"/>
        <v>#N/A</v>
      </c>
      <c r="AE139" s="324">
        <f t="shared" ca="1" si="63"/>
        <v>103.90933543670967</v>
      </c>
      <c r="AG139" s="306">
        <f t="shared" ca="1" si="85"/>
        <v>109.48389259809775</v>
      </c>
      <c r="AH139" s="304">
        <f t="shared" ca="1" si="86"/>
        <v>119.24527944058732</v>
      </c>
    </row>
    <row r="140" spans="1:34" x14ac:dyDescent="0.2">
      <c r="A140" s="347">
        <f t="shared" ca="1" si="64"/>
        <v>0.01</v>
      </c>
      <c r="B140" s="304">
        <f t="shared" ca="1" si="65"/>
        <v>1.360000000000001</v>
      </c>
      <c r="D140" s="306">
        <f t="shared" ca="1" si="66"/>
        <v>11.841034513987168</v>
      </c>
      <c r="E140" s="307">
        <f t="shared" ca="1" si="67"/>
        <v>108.61314964415415</v>
      </c>
      <c r="F140" s="304">
        <f t="shared" ca="1" si="68"/>
        <v>109.25669944669232</v>
      </c>
      <c r="G140" s="306">
        <f t="shared" ca="1" si="69"/>
        <v>15.500905626412466</v>
      </c>
      <c r="H140" s="307">
        <f t="shared" ca="1" si="70"/>
        <v>154.92771843234931</v>
      </c>
      <c r="I140" s="304">
        <f t="shared" ca="1" si="71"/>
        <v>155.70123960294038</v>
      </c>
      <c r="J140" s="306">
        <f t="shared" ca="1" si="72"/>
        <v>10.140662297251204</v>
      </c>
      <c r="K140" s="307">
        <f t="shared" ca="1" si="73"/>
        <v>105.45318196355095</v>
      </c>
      <c r="L140" s="304">
        <f t="shared" ca="1" si="58"/>
        <v>105.9396366713832</v>
      </c>
      <c r="M140" s="306">
        <f t="shared" ca="1" si="74"/>
        <v>1.4710756938777403</v>
      </c>
      <c r="N140" s="304">
        <f t="shared" ca="1" si="75"/>
        <v>84.286428603473595</v>
      </c>
      <c r="P140" s="310">
        <f t="shared" ca="1" si="76"/>
        <v>7</v>
      </c>
      <c r="Q140" s="304">
        <f t="shared" ca="1" si="77"/>
        <v>988.95194805194785</v>
      </c>
      <c r="R140" s="306">
        <f t="shared" ca="1" si="78"/>
        <v>0.49539793523940739</v>
      </c>
      <c r="S140" s="307">
        <f t="shared" ca="1" si="79"/>
        <v>7.646348275607445</v>
      </c>
      <c r="T140" s="304">
        <f t="shared" ca="1" si="59"/>
        <v>75.010676583709042</v>
      </c>
      <c r="U140" s="311">
        <f t="shared" ca="1" si="60"/>
        <v>0</v>
      </c>
      <c r="V140" s="306">
        <f t="shared" ca="1" si="61"/>
        <v>1.2121497402484578</v>
      </c>
      <c r="W140" s="304">
        <f t="shared" ca="1" si="62"/>
        <v>80.039125733929069</v>
      </c>
      <c r="Y140" s="314" t="str">
        <f t="shared" ca="1" si="80"/>
        <v/>
      </c>
      <c r="Z140" s="315" t="str">
        <f t="shared" ca="1" si="81"/>
        <v/>
      </c>
      <c r="AA140" s="316" t="str">
        <f t="shared" ca="1" si="82"/>
        <v/>
      </c>
      <c r="AC140" s="310" t="e">
        <f t="shared" ca="1" si="83"/>
        <v>#N/A</v>
      </c>
      <c r="AD140" s="323" t="e">
        <f t="shared" ca="1" si="84"/>
        <v>#N/A</v>
      </c>
      <c r="AE140" s="324">
        <f t="shared" ca="1" si="63"/>
        <v>105.45318196355095</v>
      </c>
      <c r="AG140" s="306">
        <f t="shared" ca="1" si="85"/>
        <v>109.25233977041856</v>
      </c>
      <c r="AH140" s="304">
        <f t="shared" ca="1" si="86"/>
        <v>119.01366505575383</v>
      </c>
    </row>
    <row r="141" spans="1:34" x14ac:dyDescent="0.2">
      <c r="A141" s="347">
        <f t="shared" ca="1" si="64"/>
        <v>0.01</v>
      </c>
      <c r="B141" s="304">
        <f t="shared" ca="1" si="65"/>
        <v>1.370000000000001</v>
      </c>
      <c r="D141" s="306">
        <f t="shared" ca="1" si="66"/>
        <v>11.825293270442305</v>
      </c>
      <c r="E141" s="307">
        <f t="shared" ca="1" si="67"/>
        <v>108.38088189668912</v>
      </c>
      <c r="F141" s="304">
        <f t="shared" ca="1" si="68"/>
        <v>109.02409422524933</v>
      </c>
      <c r="G141" s="306">
        <f t="shared" ca="1" si="69"/>
        <v>15.61915855911689</v>
      </c>
      <c r="H141" s="307">
        <f t="shared" ca="1" si="70"/>
        <v>156.01152725131621</v>
      </c>
      <c r="I141" s="304">
        <f t="shared" ca="1" si="71"/>
        <v>156.79143710478266</v>
      </c>
      <c r="J141" s="306">
        <f t="shared" ca="1" si="72"/>
        <v>10.296262618178851</v>
      </c>
      <c r="K141" s="307">
        <f t="shared" ca="1" si="73"/>
        <v>107.00787819196927</v>
      </c>
      <c r="L141" s="304">
        <f t="shared" ca="1" si="58"/>
        <v>107.50208844041049</v>
      </c>
      <c r="M141" s="306">
        <f t="shared" ca="1" si="74"/>
        <v>1.4710134048332462</v>
      </c>
      <c r="N141" s="304">
        <f t="shared" ca="1" si="75"/>
        <v>84.282859704114173</v>
      </c>
      <c r="P141" s="310">
        <f t="shared" ca="1" si="76"/>
        <v>7</v>
      </c>
      <c r="Q141" s="304">
        <f t="shared" ca="1" si="77"/>
        <v>987.69220779220768</v>
      </c>
      <c r="R141" s="306">
        <f t="shared" ca="1" si="78"/>
        <v>0.49476689070297414</v>
      </c>
      <c r="S141" s="307">
        <f t="shared" ca="1" si="79"/>
        <v>7.6414006067004152</v>
      </c>
      <c r="T141" s="304">
        <f t="shared" ca="1" si="59"/>
        <v>74.962139951731075</v>
      </c>
      <c r="U141" s="311">
        <f t="shared" ca="1" si="60"/>
        <v>0</v>
      </c>
      <c r="V141" s="306">
        <f t="shared" ca="1" si="61"/>
        <v>1.211961297117973</v>
      </c>
      <c r="W141" s="304">
        <f t="shared" ca="1" si="62"/>
        <v>81.151276539026384</v>
      </c>
      <c r="Y141" s="314" t="str">
        <f t="shared" ca="1" si="80"/>
        <v/>
      </c>
      <c r="Z141" s="315" t="str">
        <f t="shared" ca="1" si="81"/>
        <v/>
      </c>
      <c r="AA141" s="316" t="str">
        <f t="shared" ca="1" si="82"/>
        <v/>
      </c>
      <c r="AC141" s="310" t="e">
        <f t="shared" ca="1" si="83"/>
        <v>#N/A</v>
      </c>
      <c r="AD141" s="323" t="e">
        <f t="shared" ca="1" si="84"/>
        <v>#N/A</v>
      </c>
      <c r="AE141" s="324">
        <f t="shared" ca="1" si="63"/>
        <v>107.00787819196927</v>
      </c>
      <c r="AG141" s="306">
        <f t="shared" ca="1" si="85"/>
        <v>109.01971976727393</v>
      </c>
      <c r="AH141" s="304">
        <f t="shared" ca="1" si="86"/>
        <v>118.78098385031623</v>
      </c>
    </row>
    <row r="142" spans="1:34" x14ac:dyDescent="0.2">
      <c r="A142" s="347">
        <f t="shared" ca="1" si="64"/>
        <v>0.01</v>
      </c>
      <c r="B142" s="304">
        <f t="shared" ca="1" si="65"/>
        <v>1.380000000000001</v>
      </c>
      <c r="D142" s="306">
        <f t="shared" ca="1" si="66"/>
        <v>11.809370594832137</v>
      </c>
      <c r="E142" s="307">
        <f t="shared" ca="1" si="67"/>
        <v>108.1475670099808</v>
      </c>
      <c r="F142" s="304">
        <f t="shared" ca="1" si="68"/>
        <v>108.79042919312514</v>
      </c>
      <c r="G142" s="306">
        <f t="shared" ca="1" si="69"/>
        <v>15.737252265065212</v>
      </c>
      <c r="H142" s="307">
        <f t="shared" ca="1" si="70"/>
        <v>157.09300292141603</v>
      </c>
      <c r="I142" s="304">
        <f t="shared" ca="1" si="71"/>
        <v>157.87929780602119</v>
      </c>
      <c r="J142" s="306">
        <f t="shared" ca="1" si="72"/>
        <v>10.453044672299761</v>
      </c>
      <c r="K142" s="307">
        <f t="shared" ca="1" si="73"/>
        <v>108.57340084283292</v>
      </c>
      <c r="L142" s="304">
        <f t="shared" ca="1" si="58"/>
        <v>109.07543038420508</v>
      </c>
      <c r="M142" s="306">
        <f t="shared" ca="1" si="74"/>
        <v>1.4709515064772425</v>
      </c>
      <c r="N142" s="304">
        <f t="shared" ca="1" si="75"/>
        <v>84.279313189556376</v>
      </c>
      <c r="P142" s="310">
        <f t="shared" ca="1" si="76"/>
        <v>7</v>
      </c>
      <c r="Q142" s="304">
        <f t="shared" ca="1" si="77"/>
        <v>986.4324675324674</v>
      </c>
      <c r="R142" s="306">
        <f t="shared" ca="1" si="78"/>
        <v>0.49413584616654077</v>
      </c>
      <c r="S142" s="307">
        <f t="shared" ca="1" si="79"/>
        <v>7.6364592482387499</v>
      </c>
      <c r="T142" s="304">
        <f t="shared" ca="1" si="59"/>
        <v>74.913665225222147</v>
      </c>
      <c r="U142" s="311">
        <f t="shared" ca="1" si="60"/>
        <v>0</v>
      </c>
      <c r="V142" s="306">
        <f t="shared" ca="1" si="61"/>
        <v>1.211771571172036</v>
      </c>
      <c r="W142" s="304">
        <f t="shared" ca="1" si="62"/>
        <v>82.268400726885986</v>
      </c>
      <c r="Y142" s="314" t="str">
        <f t="shared" ca="1" si="80"/>
        <v/>
      </c>
      <c r="Z142" s="315" t="str">
        <f t="shared" ca="1" si="81"/>
        <v/>
      </c>
      <c r="AA142" s="316" t="str">
        <f t="shared" ca="1" si="82"/>
        <v/>
      </c>
      <c r="AC142" s="310" t="e">
        <f t="shared" ca="1" si="83"/>
        <v>#N/A</v>
      </c>
      <c r="AD142" s="323" t="e">
        <f t="shared" ca="1" si="84"/>
        <v>#N/A</v>
      </c>
      <c r="AE142" s="324">
        <f t="shared" ca="1" si="63"/>
        <v>108.57340084283292</v>
      </c>
      <c r="AG142" s="306">
        <f t="shared" ca="1" si="85"/>
        <v>108.78603987886362</v>
      </c>
      <c r="AH142" s="304">
        <f t="shared" ca="1" si="86"/>
        <v>118.54724310906686</v>
      </c>
    </row>
    <row r="143" spans="1:34" x14ac:dyDescent="0.2">
      <c r="A143" s="347">
        <f t="shared" ca="1" si="64"/>
        <v>0.01</v>
      </c>
      <c r="B143" s="304">
        <f t="shared" ca="1" si="65"/>
        <v>1.390000000000001</v>
      </c>
      <c r="D143" s="306">
        <f t="shared" ca="1" si="66"/>
        <v>11.79326802223016</v>
      </c>
      <c r="E143" s="307">
        <f t="shared" ca="1" si="67"/>
        <v>107.9132122015278</v>
      </c>
      <c r="F143" s="304">
        <f t="shared" ca="1" si="68"/>
        <v>108.55571167974593</v>
      </c>
      <c r="G143" s="306">
        <f t="shared" ca="1" si="69"/>
        <v>15.855184945287514</v>
      </c>
      <c r="H143" s="307">
        <f t="shared" ca="1" si="70"/>
        <v>158.1721350434313</v>
      </c>
      <c r="I143" s="304">
        <f t="shared" ca="1" si="71"/>
        <v>158.96481118111245</v>
      </c>
      <c r="J143" s="306">
        <f t="shared" ca="1" si="72"/>
        <v>10.611006858351525</v>
      </c>
      <c r="K143" s="307">
        <f t="shared" ca="1" si="73"/>
        <v>110.14972653265716</v>
      </c>
      <c r="L143" s="304">
        <f t="shared" ca="1" si="58"/>
        <v>110.65963908203902</v>
      </c>
      <c r="M143" s="306">
        <f t="shared" ca="1" si="74"/>
        <v>1.4708899927943455</v>
      </c>
      <c r="N143" s="304">
        <f t="shared" ca="1" si="75"/>
        <v>84.275788715144074</v>
      </c>
      <c r="P143" s="310">
        <f t="shared" ca="1" si="76"/>
        <v>7</v>
      </c>
      <c r="Q143" s="304">
        <f t="shared" ca="1" si="77"/>
        <v>985.17272727272712</v>
      </c>
      <c r="R143" s="306">
        <f t="shared" ca="1" si="78"/>
        <v>0.49350480163010746</v>
      </c>
      <c r="S143" s="307">
        <f t="shared" ca="1" si="79"/>
        <v>7.631524200222449</v>
      </c>
      <c r="T143" s="304">
        <f t="shared" ca="1" si="59"/>
        <v>74.865252404182229</v>
      </c>
      <c r="U143" s="311">
        <f t="shared" ca="1" si="60"/>
        <v>0</v>
      </c>
      <c r="V143" s="306">
        <f t="shared" ca="1" si="61"/>
        <v>1.2115805658498426</v>
      </c>
      <c r="W143" s="304">
        <f t="shared" ca="1" si="62"/>
        <v>83.390431027864764</v>
      </c>
      <c r="Y143" s="314" t="str">
        <f t="shared" ca="1" si="80"/>
        <v/>
      </c>
      <c r="Z143" s="315" t="str">
        <f t="shared" ca="1" si="81"/>
        <v/>
      </c>
      <c r="AA143" s="316" t="str">
        <f t="shared" ca="1" si="82"/>
        <v/>
      </c>
      <c r="AC143" s="310" t="e">
        <f t="shared" ca="1" si="83"/>
        <v>#N/A</v>
      </c>
      <c r="AD143" s="323" t="e">
        <f t="shared" ca="1" si="84"/>
        <v>#N/A</v>
      </c>
      <c r="AE143" s="324">
        <f t="shared" ca="1" si="63"/>
        <v>110.14972653265716</v>
      </c>
      <c r="AG143" s="306">
        <f t="shared" ca="1" si="85"/>
        <v>108.55130743351805</v>
      </c>
      <c r="AH143" s="304">
        <f t="shared" ca="1" si="86"/>
        <v>118.3124501550454</v>
      </c>
    </row>
    <row r="144" spans="1:34" x14ac:dyDescent="0.2">
      <c r="A144" s="347">
        <f t="shared" ca="1" si="64"/>
        <v>0.01</v>
      </c>
      <c r="B144" s="304">
        <f t="shared" ca="1" si="65"/>
        <v>1.400000000000001</v>
      </c>
      <c r="D144" s="306">
        <f t="shared" ca="1" si="66"/>
        <v>11.776987074021873</v>
      </c>
      <c r="E144" s="307">
        <f t="shared" ca="1" si="67"/>
        <v>107.67782472768259</v>
      </c>
      <c r="F144" s="304">
        <f t="shared" ca="1" si="68"/>
        <v>108.31994905199693</v>
      </c>
      <c r="G144" s="306">
        <f t="shared" ca="1" si="69"/>
        <v>15.972954816027732</v>
      </c>
      <c r="H144" s="307">
        <f t="shared" ca="1" si="70"/>
        <v>159.24891329070812</v>
      </c>
      <c r="I144" s="304">
        <f t="shared" ca="1" si="71"/>
        <v>160.04796677817041</v>
      </c>
      <c r="J144" s="306">
        <f t="shared" ca="1" si="72"/>
        <v>10.770147557158101</v>
      </c>
      <c r="K144" s="307">
        <f t="shared" ca="1" si="73"/>
        <v>111.73683177432785</v>
      </c>
      <c r="L144" s="304">
        <f t="shared" ca="1" si="58"/>
        <v>112.25469100829329</v>
      </c>
      <c r="M144" s="306">
        <f t="shared" ca="1" si="74"/>
        <v>1.4708288579008288</v>
      </c>
      <c r="N144" s="304">
        <f t="shared" ca="1" si="75"/>
        <v>84.272285943764587</v>
      </c>
      <c r="P144" s="310">
        <f t="shared" ca="1" si="76"/>
        <v>7</v>
      </c>
      <c r="Q144" s="304">
        <f t="shared" ca="1" si="77"/>
        <v>983.91298701298683</v>
      </c>
      <c r="R144" s="306">
        <f t="shared" ca="1" si="78"/>
        <v>0.49287375709367409</v>
      </c>
      <c r="S144" s="307">
        <f t="shared" ca="1" si="79"/>
        <v>7.6265954626515127</v>
      </c>
      <c r="T144" s="304">
        <f t="shared" ca="1" si="59"/>
        <v>74.81690148861135</v>
      </c>
      <c r="U144" s="311">
        <f t="shared" ca="1" si="60"/>
        <v>0</v>
      </c>
      <c r="V144" s="306">
        <f t="shared" ca="1" si="61"/>
        <v>1.2113882846053057</v>
      </c>
      <c r="W144" s="304">
        <f t="shared" ca="1" si="62"/>
        <v>84.517300075853228</v>
      </c>
      <c r="Y144" s="314" t="str">
        <f t="shared" ca="1" si="80"/>
        <v/>
      </c>
      <c r="Z144" s="315" t="str">
        <f t="shared" ca="1" si="81"/>
        <v/>
      </c>
      <c r="AA144" s="316" t="str">
        <f t="shared" ca="1" si="82"/>
        <v/>
      </c>
      <c r="AC144" s="310" t="e">
        <f t="shared" ca="1" si="83"/>
        <v>#N/A</v>
      </c>
      <c r="AD144" s="323" t="e">
        <f t="shared" ca="1" si="84"/>
        <v>#N/A</v>
      </c>
      <c r="AE144" s="324">
        <f t="shared" ca="1" si="63"/>
        <v>111.73683177432785</v>
      </c>
      <c r="AG144" s="306">
        <f t="shared" ca="1" si="85"/>
        <v>108.31552979702862</v>
      </c>
      <c r="AH144" s="304">
        <f t="shared" ca="1" si="86"/>
        <v>118.07661234886588</v>
      </c>
    </row>
    <row r="145" spans="1:34" x14ac:dyDescent="0.2">
      <c r="A145" s="347">
        <f t="shared" ca="1" si="64"/>
        <v>0.01</v>
      </c>
      <c r="B145" s="304">
        <f t="shared" ca="1" si="65"/>
        <v>1.410000000000001</v>
      </c>
      <c r="D145" s="306">
        <f t="shared" ca="1" si="66"/>
        <v>11.760529258386084</v>
      </c>
      <c r="E145" s="307">
        <f t="shared" ca="1" si="67"/>
        <v>107.44141188293398</v>
      </c>
      <c r="F145" s="304">
        <f t="shared" ca="1" si="68"/>
        <v>108.08314871355118</v>
      </c>
      <c r="G145" s="306">
        <f t="shared" ca="1" si="69"/>
        <v>16.090560108611594</v>
      </c>
      <c r="H145" s="307">
        <f t="shared" ca="1" si="70"/>
        <v>160.32332740953746</v>
      </c>
      <c r="I145" s="304">
        <f t="shared" ca="1" si="71"/>
        <v>161.12875421933413</v>
      </c>
      <c r="J145" s="306">
        <f t="shared" ca="1" si="72"/>
        <v>10.930465131781297</v>
      </c>
      <c r="K145" s="307">
        <f t="shared" ca="1" si="73"/>
        <v>113.33469297782908</v>
      </c>
      <c r="L145" s="304">
        <f t="shared" ca="1" si="58"/>
        <v>113.86056253319614</v>
      </c>
      <c r="M145" s="306">
        <f t="shared" ca="1" si="74"/>
        <v>1.4707680960407681</v>
      </c>
      <c r="N145" s="304">
        <f t="shared" ca="1" si="75"/>
        <v>84.268804545627731</v>
      </c>
      <c r="P145" s="310">
        <f t="shared" ca="1" si="76"/>
        <v>7</v>
      </c>
      <c r="Q145" s="304">
        <f t="shared" ca="1" si="77"/>
        <v>982.65324675324655</v>
      </c>
      <c r="R145" s="306">
        <f t="shared" ca="1" si="78"/>
        <v>0.49224271255724078</v>
      </c>
      <c r="S145" s="307">
        <f t="shared" ca="1" si="79"/>
        <v>7.6216730355259399</v>
      </c>
      <c r="T145" s="304">
        <f t="shared" ca="1" si="59"/>
        <v>74.768612478509468</v>
      </c>
      <c r="U145" s="311">
        <f t="shared" ca="1" si="60"/>
        <v>0</v>
      </c>
      <c r="V145" s="306">
        <f t="shared" ca="1" si="61"/>
        <v>1.2111947309069229</v>
      </c>
      <c r="W145" s="304">
        <f t="shared" ca="1" si="62"/>
        <v>85.648940413876588</v>
      </c>
      <c r="Y145" s="314" t="str">
        <f t="shared" ca="1" si="80"/>
        <v/>
      </c>
      <c r="Z145" s="315" t="str">
        <f t="shared" ca="1" si="81"/>
        <v/>
      </c>
      <c r="AA145" s="316" t="str">
        <f t="shared" ca="1" si="82"/>
        <v/>
      </c>
      <c r="AC145" s="310" t="e">
        <f t="shared" ca="1" si="83"/>
        <v>#N/A</v>
      </c>
      <c r="AD145" s="323" t="e">
        <f t="shared" ca="1" si="84"/>
        <v>#N/A</v>
      </c>
      <c r="AE145" s="324">
        <f t="shared" ca="1" si="63"/>
        <v>113.33469297782908</v>
      </c>
      <c r="AG145" s="306">
        <f t="shared" ca="1" si="85"/>
        <v>108.07871437197601</v>
      </c>
      <c r="AH145" s="304">
        <f t="shared" ca="1" si="86"/>
        <v>117.83973708804169</v>
      </c>
    </row>
    <row r="146" spans="1:34" x14ac:dyDescent="0.2">
      <c r="A146" s="347">
        <f t="shared" ca="1" si="64"/>
        <v>0.01</v>
      </c>
      <c r="B146" s="304">
        <f t="shared" ca="1" si="65"/>
        <v>1.420000000000001</v>
      </c>
      <c r="D146" s="306">
        <f t="shared" ca="1" si="66"/>
        <v>11.74389607075592</v>
      </c>
      <c r="E146" s="307">
        <f t="shared" ca="1" si="67"/>
        <v>107.20398099918864</v>
      </c>
      <c r="F146" s="304">
        <f t="shared" ca="1" si="68"/>
        <v>107.8453181041955</v>
      </c>
      <c r="G146" s="306">
        <f t="shared" ca="1" si="69"/>
        <v>16.207999069319154</v>
      </c>
      <c r="H146" s="307">
        <f t="shared" ca="1" si="70"/>
        <v>161.39536721952933</v>
      </c>
      <c r="I146" s="304">
        <f t="shared" ca="1" si="71"/>
        <v>162.20716320112925</v>
      </c>
      <c r="J146" s="306">
        <f t="shared" ca="1" si="72"/>
        <v>11.091957927670951</v>
      </c>
      <c r="K146" s="307">
        <f t="shared" ca="1" si="73"/>
        <v>114.94328645097441</v>
      </c>
      <c r="L146" s="304">
        <f t="shared" ca="1" si="58"/>
        <v>115.47722992356536</v>
      </c>
      <c r="M146" s="306">
        <f t="shared" ca="1" si="74"/>
        <v>1.4707077015823293</v>
      </c>
      <c r="N146" s="304">
        <f t="shared" ca="1" si="75"/>
        <v>84.265344198053214</v>
      </c>
      <c r="P146" s="310">
        <f t="shared" ca="1" si="76"/>
        <v>7</v>
      </c>
      <c r="Q146" s="304">
        <f t="shared" ca="1" si="77"/>
        <v>981.39350649350638</v>
      </c>
      <c r="R146" s="306">
        <f t="shared" ca="1" si="78"/>
        <v>0.49161166802080747</v>
      </c>
      <c r="S146" s="307">
        <f t="shared" ca="1" si="79"/>
        <v>7.6167569188457316</v>
      </c>
      <c r="T146" s="304">
        <f t="shared" ca="1" si="59"/>
        <v>74.720385373876624</v>
      </c>
      <c r="U146" s="311">
        <f t="shared" ca="1" si="60"/>
        <v>0</v>
      </c>
      <c r="V146" s="306">
        <f t="shared" ca="1" si="61"/>
        <v>1.2109999082376448</v>
      </c>
      <c r="W146" s="304">
        <f t="shared" ca="1" si="62"/>
        <v>86.785284499689027</v>
      </c>
      <c r="Y146" s="314" t="str">
        <f t="shared" ca="1" si="80"/>
        <v/>
      </c>
      <c r="Z146" s="315" t="str">
        <f t="shared" ca="1" si="81"/>
        <v/>
      </c>
      <c r="AA146" s="316" t="str">
        <f t="shared" ca="1" si="82"/>
        <v/>
      </c>
      <c r="AC146" s="310" t="e">
        <f t="shared" ca="1" si="83"/>
        <v>#N/A</v>
      </c>
      <c r="AD146" s="323" t="e">
        <f t="shared" ca="1" si="84"/>
        <v>#N/A</v>
      </c>
      <c r="AE146" s="324">
        <f t="shared" ca="1" si="63"/>
        <v>114.94328645097441</v>
      </c>
      <c r="AG146" s="306">
        <f t="shared" ca="1" si="85"/>
        <v>107.84086859705596</v>
      </c>
      <c r="AH146" s="304">
        <f t="shared" ca="1" si="86"/>
        <v>117.60183180630817</v>
      </c>
    </row>
    <row r="147" spans="1:34" x14ac:dyDescent="0.2">
      <c r="A147" s="347">
        <f t="shared" ca="1" si="64"/>
        <v>0.01</v>
      </c>
      <c r="B147" s="304">
        <f t="shared" ca="1" si="65"/>
        <v>1.430000000000001</v>
      </c>
      <c r="D147" s="306">
        <f t="shared" ca="1" si="66"/>
        <v>11.727088994259747</v>
      </c>
      <c r="E147" s="307">
        <f t="shared" ca="1" si="67"/>
        <v>106.9655394450525</v>
      </c>
      <c r="F147" s="304">
        <f t="shared" ca="1" si="68"/>
        <v>107.60646469915444</v>
      </c>
      <c r="G147" s="306">
        <f t="shared" ca="1" si="69"/>
        <v>16.325269959261753</v>
      </c>
      <c r="H147" s="307">
        <f t="shared" ca="1" si="70"/>
        <v>162.46502261397987</v>
      </c>
      <c r="I147" s="304">
        <f t="shared" ca="1" si="71"/>
        <v>163.28318349482217</v>
      </c>
      <c r="J147" s="306">
        <f t="shared" ca="1" si="72"/>
        <v>11.254624272813855</v>
      </c>
      <c r="K147" s="307">
        <f t="shared" ca="1" si="73"/>
        <v>116.56258840014196</v>
      </c>
      <c r="L147" s="304">
        <f t="shared" ca="1" si="58"/>
        <v>117.10466934355402</v>
      </c>
      <c r="M147" s="306">
        <f t="shared" ca="1" si="74"/>
        <v>1.4706476690141888</v>
      </c>
      <c r="N147" s="304">
        <f t="shared" ca="1" si="75"/>
        <v>84.261904585265427</v>
      </c>
      <c r="P147" s="310">
        <f t="shared" ca="1" si="76"/>
        <v>7</v>
      </c>
      <c r="Q147" s="304">
        <f t="shared" ca="1" si="77"/>
        <v>980.1337662337661</v>
      </c>
      <c r="R147" s="306">
        <f t="shared" ca="1" si="78"/>
        <v>0.4909806234843741</v>
      </c>
      <c r="S147" s="307">
        <f t="shared" ca="1" si="79"/>
        <v>7.6118471126108878</v>
      </c>
      <c r="T147" s="304">
        <f t="shared" ca="1" si="59"/>
        <v>74.67222017471282</v>
      </c>
      <c r="U147" s="311">
        <f t="shared" ca="1" si="60"/>
        <v>0</v>
      </c>
      <c r="V147" s="306">
        <f t="shared" ca="1" si="61"/>
        <v>1.2108038200947402</v>
      </c>
      <c r="W147" s="304">
        <f t="shared" ca="1" si="62"/>
        <v>87.926264711358954</v>
      </c>
      <c r="Y147" s="314" t="str">
        <f t="shared" ca="1" si="80"/>
        <v/>
      </c>
      <c r="Z147" s="315" t="str">
        <f t="shared" ca="1" si="81"/>
        <v/>
      </c>
      <c r="AA147" s="316" t="str">
        <f t="shared" ca="1" si="82"/>
        <v/>
      </c>
      <c r="AC147" s="310" t="e">
        <f t="shared" ca="1" si="83"/>
        <v>#N/A</v>
      </c>
      <c r="AD147" s="323" t="e">
        <f t="shared" ca="1" si="84"/>
        <v>#N/A</v>
      </c>
      <c r="AE147" s="324">
        <f t="shared" ca="1" si="63"/>
        <v>116.56258840014196</v>
      </c>
      <c r="AG147" s="306">
        <f t="shared" ca="1" si="85"/>
        <v>107.60199994640296</v>
      </c>
      <c r="AH147" s="304">
        <f t="shared" ca="1" si="86"/>
        <v>117.36290397294326</v>
      </c>
    </row>
    <row r="148" spans="1:34" x14ac:dyDescent="0.2">
      <c r="A148" s="347">
        <f t="shared" ca="1" si="64"/>
        <v>0.01</v>
      </c>
      <c r="B148" s="304">
        <f t="shared" ca="1" si="65"/>
        <v>1.4400000000000011</v>
      </c>
      <c r="D148" s="306">
        <f t="shared" ca="1" si="66"/>
        <v>11.710109500143652</v>
      </c>
      <c r="E148" s="307">
        <f t="shared" ca="1" si="67"/>
        <v>106.72609462511163</v>
      </c>
      <c r="F148" s="304">
        <f t="shared" ca="1" si="68"/>
        <v>107.3665960084124</v>
      </c>
      <c r="G148" s="306">
        <f t="shared" ca="1" si="69"/>
        <v>16.442371054263191</v>
      </c>
      <c r="H148" s="307">
        <f t="shared" ca="1" si="70"/>
        <v>163.53228356023098</v>
      </c>
      <c r="I148" s="304">
        <f t="shared" ca="1" si="71"/>
        <v>164.35680494676774</v>
      </c>
      <c r="J148" s="306">
        <f t="shared" ca="1" si="72"/>
        <v>11.41846247788148</v>
      </c>
      <c r="K148" s="307">
        <f t="shared" ca="1" si="73"/>
        <v>118.19257493101301</v>
      </c>
      <c r="L148" s="304">
        <f t="shared" ca="1" si="58"/>
        <v>118.74285685539958</v>
      </c>
      <c r="M148" s="306">
        <f t="shared" ca="1" si="74"/>
        <v>1.4705879929420833</v>
      </c>
      <c r="N148" s="304">
        <f t="shared" ca="1" si="75"/>
        <v>84.258485398195873</v>
      </c>
      <c r="P148" s="310">
        <f t="shared" ca="1" si="76"/>
        <v>7</v>
      </c>
      <c r="Q148" s="304">
        <f t="shared" ca="1" si="77"/>
        <v>978.87402597402581</v>
      </c>
      <c r="R148" s="306">
        <f t="shared" ca="1" si="78"/>
        <v>0.49034957894794079</v>
      </c>
      <c r="S148" s="307">
        <f t="shared" ca="1" si="79"/>
        <v>7.6069436168214084</v>
      </c>
      <c r="T148" s="304">
        <f t="shared" ca="1" si="59"/>
        <v>74.624116881018026</v>
      </c>
      <c r="U148" s="311">
        <f t="shared" ca="1" si="60"/>
        <v>0</v>
      </c>
      <c r="V148" s="306">
        <f t="shared" ca="1" si="61"/>
        <v>1.2106064699896644</v>
      </c>
      <c r="W148" s="304">
        <f t="shared" ca="1" si="62"/>
        <v>89.071813352845524</v>
      </c>
      <c r="Y148" s="314" t="str">
        <f t="shared" ca="1" si="80"/>
        <v/>
      </c>
      <c r="Z148" s="315" t="str">
        <f t="shared" ca="1" si="81"/>
        <v/>
      </c>
      <c r="AA148" s="316" t="str">
        <f t="shared" ca="1" si="82"/>
        <v/>
      </c>
      <c r="AC148" s="310" t="e">
        <f t="shared" ca="1" si="83"/>
        <v>#N/A</v>
      </c>
      <c r="AD148" s="323" t="e">
        <f t="shared" ca="1" si="84"/>
        <v>#N/A</v>
      </c>
      <c r="AE148" s="324">
        <f t="shared" ca="1" si="63"/>
        <v>118.19257493101301</v>
      </c>
      <c r="AG148" s="306">
        <f t="shared" ca="1" si="85"/>
        <v>107.36211592891181</v>
      </c>
      <c r="AH148" s="304">
        <f t="shared" ca="1" si="86"/>
        <v>117.12296109208614</v>
      </c>
    </row>
    <row r="149" spans="1:34" x14ac:dyDescent="0.2">
      <c r="A149" s="347">
        <f t="shared" ca="1" si="64"/>
        <v>0.01</v>
      </c>
      <c r="B149" s="304">
        <f t="shared" ca="1" si="65"/>
        <v>1.4500000000000011</v>
      </c>
      <c r="D149" s="306">
        <f t="shared" ca="1" si="66"/>
        <v>11.692959048175565</v>
      </c>
      <c r="E149" s="307">
        <f t="shared" ca="1" si="67"/>
        <v>106.48565397921257</v>
      </c>
      <c r="F149" s="304">
        <f t="shared" ca="1" si="68"/>
        <v>107.12571957603319</v>
      </c>
      <c r="G149" s="306">
        <f t="shared" ca="1" si="69"/>
        <v>16.559300644744948</v>
      </c>
      <c r="H149" s="307">
        <f t="shared" ca="1" si="70"/>
        <v>164.5971401000231</v>
      </c>
      <c r="I149" s="304">
        <f t="shared" ca="1" si="71"/>
        <v>165.42801747875021</v>
      </c>
      <c r="J149" s="306">
        <f t="shared" ca="1" si="72"/>
        <v>11.58347083637652</v>
      </c>
      <c r="K149" s="307">
        <f t="shared" ca="1" si="73"/>
        <v>119.83322204931429</v>
      </c>
      <c r="L149" s="304">
        <f t="shared" ca="1" si="58"/>
        <v>120.39176842017666</v>
      </c>
      <c r="M149" s="306">
        <f t="shared" ca="1" si="74"/>
        <v>1.4705286680854839</v>
      </c>
      <c r="N149" s="304">
        <f t="shared" ca="1" si="75"/>
        <v>84.2550863342925</v>
      </c>
      <c r="P149" s="310">
        <f t="shared" ca="1" si="76"/>
        <v>7</v>
      </c>
      <c r="Q149" s="304">
        <f t="shared" ca="1" si="77"/>
        <v>977.61428571428553</v>
      </c>
      <c r="R149" s="306">
        <f t="shared" ca="1" si="78"/>
        <v>0.48971853441150742</v>
      </c>
      <c r="S149" s="307">
        <f t="shared" ca="1" si="79"/>
        <v>7.6020464314772935</v>
      </c>
      <c r="T149" s="304">
        <f t="shared" ca="1" si="59"/>
        <v>74.576075492792256</v>
      </c>
      <c r="U149" s="311">
        <f t="shared" ca="1" si="60"/>
        <v>0</v>
      </c>
      <c r="V149" s="306">
        <f t="shared" ca="1" si="61"/>
        <v>1.2104078614479234</v>
      </c>
      <c r="W149" s="304">
        <f t="shared" ca="1" si="62"/>
        <v>90.221862659565176</v>
      </c>
      <c r="Y149" s="314" t="str">
        <f t="shared" ca="1" si="80"/>
        <v/>
      </c>
      <c r="Z149" s="315" t="str">
        <f t="shared" ca="1" si="81"/>
        <v/>
      </c>
      <c r="AA149" s="316" t="str">
        <f t="shared" ca="1" si="82"/>
        <v/>
      </c>
      <c r="AC149" s="310" t="e">
        <f t="shared" ca="1" si="83"/>
        <v>#N/A</v>
      </c>
      <c r="AD149" s="323" t="e">
        <f t="shared" ca="1" si="84"/>
        <v>#N/A</v>
      </c>
      <c r="AE149" s="324">
        <f t="shared" ca="1" si="63"/>
        <v>119.83322204931429</v>
      </c>
      <c r="AG149" s="306">
        <f t="shared" ca="1" si="85"/>
        <v>107.12122408755718</v>
      </c>
      <c r="AH149" s="304">
        <f t="shared" ca="1" si="86"/>
        <v>116.88201070205395</v>
      </c>
    </row>
    <row r="150" spans="1:34" x14ac:dyDescent="0.2">
      <c r="A150" s="347">
        <f t="shared" ca="1" si="64"/>
        <v>0.01</v>
      </c>
      <c r="B150" s="304">
        <f t="shared" ca="1" si="65"/>
        <v>1.4600000000000011</v>
      </c>
      <c r="D150" s="306">
        <f t="shared" ca="1" si="66"/>
        <v>11.675639087032211</v>
      </c>
      <c r="E150" s="307">
        <f t="shared" ca="1" si="67"/>
        <v>106.24422498174259</v>
      </c>
      <c r="F150" s="304">
        <f t="shared" ca="1" si="68"/>
        <v>106.88384297947829</v>
      </c>
      <c r="G150" s="306">
        <f t="shared" ca="1" si="69"/>
        <v>16.676057035615269</v>
      </c>
      <c r="H150" s="307">
        <f t="shared" ca="1" si="70"/>
        <v>165.65958234984052</v>
      </c>
      <c r="I150" s="304">
        <f t="shared" ca="1" si="71"/>
        <v>166.49681108831689</v>
      </c>
      <c r="J150" s="306">
        <f t="shared" ca="1" si="72"/>
        <v>11.749647624778321</v>
      </c>
      <c r="K150" s="307">
        <f t="shared" ca="1" si="73"/>
        <v>121.4845056615636</v>
      </c>
      <c r="L150" s="304">
        <f t="shared" ca="1" si="58"/>
        <v>122.05137989855312</v>
      </c>
      <c r="M150" s="306">
        <f t="shared" ca="1" si="74"/>
        <v>1.4704696892743847</v>
      </c>
      <c r="N150" s="304">
        <f t="shared" ca="1" si="75"/>
        <v>84.251707097335824</v>
      </c>
      <c r="P150" s="310">
        <f t="shared" ca="1" si="76"/>
        <v>7</v>
      </c>
      <c r="Q150" s="304">
        <f t="shared" ca="1" si="77"/>
        <v>976.35454545454525</v>
      </c>
      <c r="R150" s="306">
        <f t="shared" ca="1" si="78"/>
        <v>0.48908748987507411</v>
      </c>
      <c r="S150" s="307">
        <f t="shared" ca="1" si="79"/>
        <v>7.5971555565785431</v>
      </c>
      <c r="T150" s="304">
        <f t="shared" ca="1" si="59"/>
        <v>74.528096010035512</v>
      </c>
      <c r="U150" s="311">
        <f t="shared" ca="1" si="60"/>
        <v>0</v>
      </c>
      <c r="V150" s="306">
        <f t="shared" ca="1" si="61"/>
        <v>1.2102079980089402</v>
      </c>
      <c r="W150" s="304">
        <f t="shared" ca="1" si="62"/>
        <v>91.376344803946907</v>
      </c>
      <c r="Y150" s="314" t="str">
        <f t="shared" ca="1" si="80"/>
        <v/>
      </c>
      <c r="Z150" s="315" t="str">
        <f t="shared" ca="1" si="81"/>
        <v/>
      </c>
      <c r="AA150" s="316" t="str">
        <f t="shared" ca="1" si="82"/>
        <v/>
      </c>
      <c r="AC150" s="310" t="e">
        <f t="shared" ca="1" si="83"/>
        <v>#N/A</v>
      </c>
      <c r="AD150" s="323" t="e">
        <f t="shared" ca="1" si="84"/>
        <v>#N/A</v>
      </c>
      <c r="AE150" s="324">
        <f t="shared" ca="1" si="63"/>
        <v>121.4845056615636</v>
      </c>
      <c r="AG150" s="306">
        <f t="shared" ca="1" si="85"/>
        <v>106.87933199871132</v>
      </c>
      <c r="AH150" s="304">
        <f t="shared" ca="1" si="86"/>
        <v>116.64006037465671</v>
      </c>
    </row>
    <row r="151" spans="1:34" x14ac:dyDescent="0.2">
      <c r="A151" s="347">
        <f t="shared" ca="1" si="64"/>
        <v>0.01</v>
      </c>
      <c r="B151" s="304">
        <f t="shared" ca="1" si="65"/>
        <v>1.4700000000000011</v>
      </c>
      <c r="D151" s="306">
        <f t="shared" ca="1" si="66"/>
        <v>11.658151054669737</v>
      </c>
      <c r="E151" s="307">
        <f t="shared" ca="1" si="67"/>
        <v>106.00181514090954</v>
      </c>
      <c r="F151" s="304">
        <f t="shared" ca="1" si="68"/>
        <v>106.64097382892308</v>
      </c>
      <c r="G151" s="306">
        <f t="shared" ca="1" si="69"/>
        <v>16.792638546161967</v>
      </c>
      <c r="H151" s="307">
        <f t="shared" ca="1" si="70"/>
        <v>166.7196005012496</v>
      </c>
      <c r="I151" s="304">
        <f t="shared" ca="1" si="71"/>
        <v>167.56317584910568</v>
      </c>
      <c r="J151" s="306">
        <f t="shared" ca="1" si="72"/>
        <v>11.916991102687208</v>
      </c>
      <c r="K151" s="307">
        <f t="shared" ca="1" si="73"/>
        <v>123.14640157581906</v>
      </c>
      <c r="L151" s="304">
        <f t="shared" ca="1" si="58"/>
        <v>123.72166705154929</v>
      </c>
      <c r="M151" s="306">
        <f t="shared" ca="1" si="74"/>
        <v>1.4704110514462081</v>
      </c>
      <c r="N151" s="304">
        <f t="shared" ca="1" si="75"/>
        <v>84.248347397261483</v>
      </c>
      <c r="P151" s="310">
        <f t="shared" ca="1" si="76"/>
        <v>7</v>
      </c>
      <c r="Q151" s="304">
        <f t="shared" ca="1" si="77"/>
        <v>975.09480519480508</v>
      </c>
      <c r="R151" s="306">
        <f t="shared" ca="1" si="78"/>
        <v>0.4884564453386408</v>
      </c>
      <c r="S151" s="307">
        <f t="shared" ca="1" si="79"/>
        <v>7.5922709921251563</v>
      </c>
      <c r="T151" s="304">
        <f t="shared" ca="1" si="59"/>
        <v>74.480178432747792</v>
      </c>
      <c r="U151" s="311">
        <f t="shared" ca="1" si="60"/>
        <v>0</v>
      </c>
      <c r="V151" s="306">
        <f t="shared" ca="1" si="61"/>
        <v>1.2100068832259192</v>
      </c>
      <c r="W151" s="304">
        <f t="shared" ca="1" si="62"/>
        <v>92.535191900976784</v>
      </c>
      <c r="Y151" s="314" t="str">
        <f t="shared" ca="1" si="80"/>
        <v/>
      </c>
      <c r="Z151" s="315" t="str">
        <f t="shared" ca="1" si="81"/>
        <v/>
      </c>
      <c r="AA151" s="316" t="str">
        <f t="shared" ca="1" si="82"/>
        <v/>
      </c>
      <c r="AC151" s="310" t="e">
        <f t="shared" ca="1" si="83"/>
        <v>#N/A</v>
      </c>
      <c r="AD151" s="323" t="e">
        <f t="shared" ca="1" si="84"/>
        <v>#N/A</v>
      </c>
      <c r="AE151" s="324">
        <f t="shared" ca="1" si="63"/>
        <v>123.14640157581906</v>
      </c>
      <c r="AG151" s="306">
        <f t="shared" ca="1" si="85"/>
        <v>106.63644727146016</v>
      </c>
      <c r="AH151" s="304">
        <f t="shared" ca="1" si="86"/>
        <v>116.39711771451088</v>
      </c>
    </row>
    <row r="152" spans="1:34" x14ac:dyDescent="0.2">
      <c r="A152" s="347">
        <f t="shared" ca="1" si="64"/>
        <v>0.01</v>
      </c>
      <c r="B152" s="304">
        <f t="shared" ca="1" si="65"/>
        <v>1.4800000000000011</v>
      </c>
      <c r="D152" s="306">
        <f t="shared" ca="1" si="66"/>
        <v>11.640496378678179</v>
      </c>
      <c r="E152" s="307">
        <f t="shared" ca="1" si="67"/>
        <v>105.75843199802124</v>
      </c>
      <c r="F152" s="304">
        <f t="shared" ca="1" si="68"/>
        <v>106.39711976657124</v>
      </c>
      <c r="G152" s="306">
        <f t="shared" ca="1" si="69"/>
        <v>16.909043509948749</v>
      </c>
      <c r="H152" s="307">
        <f t="shared" ca="1" si="70"/>
        <v>167.77718482122981</v>
      </c>
      <c r="I152" s="304">
        <f t="shared" ca="1" si="71"/>
        <v>168.62710191116506</v>
      </c>
      <c r="J152" s="306">
        <f t="shared" ca="1" si="72"/>
        <v>12.085499512967761</v>
      </c>
      <c r="K152" s="307">
        <f t="shared" ca="1" si="73"/>
        <v>124.81888550243146</v>
      </c>
      <c r="L152" s="304">
        <f t="shared" ca="1" si="58"/>
        <v>125.4026055413006</v>
      </c>
      <c r="M152" s="306">
        <f t="shared" ca="1" si="74"/>
        <v>1.4703527496428148</v>
      </c>
      <c r="N152" s="304">
        <f t="shared" ca="1" si="75"/>
        <v>84.245006949989047</v>
      </c>
      <c r="P152" s="310">
        <f t="shared" ca="1" si="76"/>
        <v>7</v>
      </c>
      <c r="Q152" s="304">
        <f t="shared" ca="1" si="77"/>
        <v>973.83506493506479</v>
      </c>
      <c r="R152" s="306">
        <f t="shared" ca="1" si="78"/>
        <v>0.48782540080220749</v>
      </c>
      <c r="S152" s="307">
        <f t="shared" ca="1" si="79"/>
        <v>7.587392738117134</v>
      </c>
      <c r="T152" s="304">
        <f t="shared" ca="1" si="59"/>
        <v>74.432322760929083</v>
      </c>
      <c r="U152" s="311">
        <f t="shared" ca="1" si="60"/>
        <v>0</v>
      </c>
      <c r="V152" s="306">
        <f t="shared" ca="1" si="61"/>
        <v>1.2098045206657115</v>
      </c>
      <c r="W152" s="304">
        <f t="shared" ca="1" si="62"/>
        <v>93.698336013729374</v>
      </c>
      <c r="Y152" s="314" t="str">
        <f t="shared" ca="1" si="80"/>
        <v/>
      </c>
      <c r="Z152" s="315" t="str">
        <f t="shared" ca="1" si="81"/>
        <v/>
      </c>
      <c r="AA152" s="316" t="str">
        <f t="shared" ca="1" si="82"/>
        <v/>
      </c>
      <c r="AC152" s="310" t="e">
        <f t="shared" ca="1" si="83"/>
        <v>#N/A</v>
      </c>
      <c r="AD152" s="323" t="e">
        <f t="shared" ca="1" si="84"/>
        <v>#N/A</v>
      </c>
      <c r="AE152" s="324">
        <f t="shared" ca="1" si="63"/>
        <v>124.81888550243146</v>
      </c>
      <c r="AG152" s="306">
        <f t="shared" ca="1" si="85"/>
        <v>106.39257754691735</v>
      </c>
      <c r="AH152" s="304">
        <f t="shared" ca="1" si="86"/>
        <v>116.15319035835081</v>
      </c>
    </row>
    <row r="153" spans="1:34" x14ac:dyDescent="0.2">
      <c r="A153" s="347">
        <f t="shared" ca="1" si="64"/>
        <v>0.01</v>
      </c>
      <c r="B153" s="304">
        <f t="shared" ca="1" si="65"/>
        <v>1.4900000000000011</v>
      </c>
      <c r="D153" s="306">
        <f t="shared" ca="1" si="66"/>
        <v>11.622676476621093</v>
      </c>
      <c r="E153" s="307">
        <f t="shared" ca="1" si="67"/>
        <v>105.51408312676512</v>
      </c>
      <c r="F153" s="304">
        <f t="shared" ca="1" si="68"/>
        <v>106.15228846596808</v>
      </c>
      <c r="G153" s="306">
        <f t="shared" ca="1" si="69"/>
        <v>17.025270274714959</v>
      </c>
      <c r="H153" s="307">
        <f t="shared" ca="1" si="70"/>
        <v>168.83232565249747</v>
      </c>
      <c r="I153" s="304">
        <f t="shared" ca="1" si="71"/>
        <v>169.6885795012677</v>
      </c>
      <c r="J153" s="306">
        <f t="shared" ca="1" si="72"/>
        <v>12.25517108189108</v>
      </c>
      <c r="K153" s="307">
        <f t="shared" ca="1" si="73"/>
        <v>126.50193305480009</v>
      </c>
      <c r="L153" s="304">
        <f t="shared" ca="1" si="58"/>
        <v>127.0941709318234</v>
      </c>
      <c r="M153" s="306">
        <f t="shared" ca="1" si="74"/>
        <v>1.4702947790076204</v>
      </c>
      <c r="N153" s="304">
        <f t="shared" ca="1" si="75"/>
        <v>84.241685477256723</v>
      </c>
      <c r="P153" s="310">
        <f t="shared" ca="1" si="76"/>
        <v>7</v>
      </c>
      <c r="Q153" s="304">
        <f t="shared" ca="1" si="77"/>
        <v>972.57532467532451</v>
      </c>
      <c r="R153" s="306">
        <f t="shared" ca="1" si="78"/>
        <v>0.48719435626577412</v>
      </c>
      <c r="S153" s="307">
        <f t="shared" ca="1" si="79"/>
        <v>7.5825207945544761</v>
      </c>
      <c r="T153" s="304">
        <f t="shared" ca="1" si="59"/>
        <v>74.384528994579412</v>
      </c>
      <c r="U153" s="311">
        <f t="shared" ca="1" si="60"/>
        <v>0</v>
      </c>
      <c r="V153" s="306">
        <f t="shared" ca="1" si="61"/>
        <v>1.2096009139086787</v>
      </c>
      <c r="W153" s="304">
        <f t="shared" ca="1" si="62"/>
        <v>94.865709158886659</v>
      </c>
      <c r="Y153" s="314" t="str">
        <f t="shared" ca="1" si="80"/>
        <v/>
      </c>
      <c r="Z153" s="315" t="str">
        <f t="shared" ca="1" si="81"/>
        <v/>
      </c>
      <c r="AA153" s="316" t="str">
        <f t="shared" ca="1" si="82"/>
        <v/>
      </c>
      <c r="AC153" s="310" t="e">
        <f t="shared" ca="1" si="83"/>
        <v>#N/A</v>
      </c>
      <c r="AD153" s="323" t="e">
        <f t="shared" ca="1" si="84"/>
        <v>#N/A</v>
      </c>
      <c r="AE153" s="324">
        <f t="shared" ca="1" si="63"/>
        <v>126.50193305480009</v>
      </c>
      <c r="AG153" s="306">
        <f t="shared" ca="1" si="85"/>
        <v>106.1477304975374</v>
      </c>
      <c r="AH153" s="304">
        <f t="shared" ca="1" si="86"/>
        <v>115.90828597433935</v>
      </c>
    </row>
    <row r="154" spans="1:34" x14ac:dyDescent="0.2">
      <c r="A154" s="347">
        <f t="shared" ca="1" si="64"/>
        <v>0.01</v>
      </c>
      <c r="B154" s="304">
        <f t="shared" ca="1" si="65"/>
        <v>1.5000000000000011</v>
      </c>
      <c r="D154" s="306">
        <f t="shared" ca="1" si="66"/>
        <v>11.6046927563604</v>
      </c>
      <c r="E154" s="307">
        <f t="shared" ca="1" si="67"/>
        <v>105.2687761324875</v>
      </c>
      <c r="F154" s="304">
        <f t="shared" ca="1" si="68"/>
        <v>105.90648763131225</v>
      </c>
      <c r="G154" s="306">
        <f t="shared" ca="1" si="69"/>
        <v>17.141317202278564</v>
      </c>
      <c r="H154" s="307">
        <f t="shared" ca="1" si="70"/>
        <v>169.88501341382235</v>
      </c>
      <c r="I154" s="304">
        <f t="shared" ca="1" si="71"/>
        <v>170.74759892321686</v>
      </c>
      <c r="J154" s="306">
        <f t="shared" ca="1" si="72"/>
        <v>12.426004019276046</v>
      </c>
      <c r="K154" s="307">
        <f t="shared" ca="1" si="73"/>
        <v>128.19551975013169</v>
      </c>
      <c r="L154" s="304">
        <f t="shared" ca="1" si="58"/>
        <v>128.79633868978368</v>
      </c>
      <c r="M154" s="306">
        <f t="shared" ca="1" si="74"/>
        <v>1.4702371347828089</v>
      </c>
      <c r="N154" s="304">
        <f t="shared" ca="1" si="75"/>
        <v>84.238382706461721</v>
      </c>
      <c r="P154" s="310">
        <f t="shared" ca="1" si="76"/>
        <v>7</v>
      </c>
      <c r="Q154" s="304">
        <f t="shared" ca="1" si="77"/>
        <v>971.31558441558423</v>
      </c>
      <c r="R154" s="306">
        <f t="shared" ca="1" si="78"/>
        <v>0.48656331172934081</v>
      </c>
      <c r="S154" s="307">
        <f t="shared" ca="1" si="79"/>
        <v>7.5776551614371828</v>
      </c>
      <c r="T154" s="304">
        <f t="shared" ca="1" si="59"/>
        <v>74.336797133698767</v>
      </c>
      <c r="U154" s="311">
        <f t="shared" ca="1" si="60"/>
        <v>0</v>
      </c>
      <c r="V154" s="306">
        <f t="shared" ca="1" si="61"/>
        <v>1.2093960665485568</v>
      </c>
      <c r="W154" s="304">
        <f t="shared" ca="1" si="62"/>
        <v>96.03724331224268</v>
      </c>
      <c r="Y154" s="314" t="str">
        <f t="shared" ca="1" si="80"/>
        <v/>
      </c>
      <c r="Z154" s="315" t="str">
        <f t="shared" ca="1" si="81"/>
        <v/>
      </c>
      <c r="AA154" s="316" t="str">
        <f t="shared" ca="1" si="82"/>
        <v/>
      </c>
      <c r="AC154" s="310" t="e">
        <f t="shared" ca="1" si="83"/>
        <v>#N/A</v>
      </c>
      <c r="AD154" s="323" t="e">
        <f t="shared" ca="1" si="84"/>
        <v>#N/A</v>
      </c>
      <c r="AE154" s="324">
        <f t="shared" ca="1" si="63"/>
        <v>128.19551975013169</v>
      </c>
      <c r="AG154" s="306">
        <f t="shared" ca="1" si="85"/>
        <v>105.90191382642692</v>
      </c>
      <c r="AH154" s="304">
        <f t="shared" ca="1" si="86"/>
        <v>115.66241226137686</v>
      </c>
    </row>
    <row r="155" spans="1:34" x14ac:dyDescent="0.2">
      <c r="A155" s="347">
        <f t="shared" ca="1" si="64"/>
        <v>0.01</v>
      </c>
      <c r="B155" s="304">
        <f t="shared" ca="1" si="65"/>
        <v>1.5100000000000011</v>
      </c>
      <c r="D155" s="306">
        <f t="shared" ca="1" si="66"/>
        <v>11.586546616367464</v>
      </c>
      <c r="E155" s="307">
        <f t="shared" ca="1" si="67"/>
        <v>105.02251865147268</v>
      </c>
      <c r="F155" s="304">
        <f t="shared" ca="1" si="68"/>
        <v>105.65972499676583</v>
      </c>
      <c r="G155" s="306">
        <f t="shared" ca="1" si="69"/>
        <v>17.25718266844224</v>
      </c>
      <c r="H155" s="307">
        <f t="shared" ca="1" si="70"/>
        <v>170.93523860033707</v>
      </c>
      <c r="I155" s="304">
        <f t="shared" ca="1" si="71"/>
        <v>171.80415055814615</v>
      </c>
      <c r="J155" s="306">
        <f t="shared" ca="1" si="72"/>
        <v>12.59799651862965</v>
      </c>
      <c r="K155" s="307">
        <f t="shared" ca="1" si="73"/>
        <v>129.89962101020248</v>
      </c>
      <c r="L155" s="304">
        <f t="shared" ca="1" si="58"/>
        <v>130.50908418526905</v>
      </c>
      <c r="M155" s="306">
        <f t="shared" ca="1" si="74"/>
        <v>1.470179812306643</v>
      </c>
      <c r="N155" s="304">
        <f t="shared" ca="1" si="75"/>
        <v>84.235098370506165</v>
      </c>
      <c r="P155" s="310">
        <f t="shared" ca="1" si="76"/>
        <v>7</v>
      </c>
      <c r="Q155" s="304">
        <f t="shared" ca="1" si="77"/>
        <v>970.05584415584394</v>
      </c>
      <c r="R155" s="306">
        <f t="shared" ca="1" si="78"/>
        <v>0.48593226719290744</v>
      </c>
      <c r="S155" s="307">
        <f t="shared" ca="1" si="79"/>
        <v>7.5727958387652539</v>
      </c>
      <c r="T155" s="304">
        <f t="shared" ca="1" si="59"/>
        <v>74.289127178287146</v>
      </c>
      <c r="U155" s="311">
        <f t="shared" ca="1" si="60"/>
        <v>0</v>
      </c>
      <c r="V155" s="306">
        <f t="shared" ca="1" si="61"/>
        <v>1.2091899821923195</v>
      </c>
      <c r="W155" s="304">
        <f t="shared" ca="1" si="62"/>
        <v>97.212870414193759</v>
      </c>
      <c r="Y155" s="314" t="str">
        <f t="shared" ca="1" si="80"/>
        <v/>
      </c>
      <c r="Z155" s="315" t="str">
        <f t="shared" ca="1" si="81"/>
        <v/>
      </c>
      <c r="AA155" s="316" t="str">
        <f t="shared" ca="1" si="82"/>
        <v/>
      </c>
      <c r="AC155" s="310" t="e">
        <f t="shared" ca="1" si="83"/>
        <v>#N/A</v>
      </c>
      <c r="AD155" s="323" t="e">
        <f t="shared" ca="1" si="84"/>
        <v>#N/A</v>
      </c>
      <c r="AE155" s="324">
        <f t="shared" ca="1" si="63"/>
        <v>129.89962101020248</v>
      </c>
      <c r="AG155" s="306">
        <f t="shared" ca="1" si="85"/>
        <v>105.65513526665471</v>
      </c>
      <c r="AH155" s="304">
        <f t="shared" ca="1" si="86"/>
        <v>115.41557694840881</v>
      </c>
    </row>
    <row r="156" spans="1:34" x14ac:dyDescent="0.2">
      <c r="A156" s="347">
        <f t="shared" ca="1" si="64"/>
        <v>0.01</v>
      </c>
      <c r="B156" s="304">
        <f t="shared" ca="1" si="65"/>
        <v>1.5200000000000011</v>
      </c>
      <c r="D156" s="306">
        <f t="shared" ca="1" si="66"/>
        <v>11.568239446020788</v>
      </c>
      <c r="E156" s="307">
        <f t="shared" ca="1" si="67"/>
        <v>104.77531835022229</v>
      </c>
      <c r="F156" s="304">
        <f t="shared" ca="1" si="68"/>
        <v>105.41200832576382</v>
      </c>
      <c r="G156" s="306">
        <f t="shared" ca="1" si="69"/>
        <v>17.372865062902449</v>
      </c>
      <c r="H156" s="307">
        <f t="shared" ca="1" si="70"/>
        <v>171.98299178383928</v>
      </c>
      <c r="I156" s="304">
        <f t="shared" ca="1" si="71"/>
        <v>172.85822486481212</v>
      </c>
      <c r="J156" s="306">
        <f t="shared" ca="1" si="72"/>
        <v>12.771146757286374</v>
      </c>
      <c r="K156" s="307">
        <f t="shared" ca="1" si="73"/>
        <v>131.61421216212335</v>
      </c>
      <c r="L156" s="304">
        <f t="shared" ca="1" si="58"/>
        <v>132.23238269256348</v>
      </c>
      <c r="M156" s="306">
        <f t="shared" ca="1" si="74"/>
        <v>1.4701228070108643</v>
      </c>
      <c r="N156" s="304">
        <f t="shared" ca="1" si="75"/>
        <v>84.231832207648154</v>
      </c>
      <c r="P156" s="310">
        <f t="shared" ca="1" si="76"/>
        <v>7</v>
      </c>
      <c r="Q156" s="304">
        <f t="shared" ca="1" si="77"/>
        <v>968.79610389610366</v>
      </c>
      <c r="R156" s="306">
        <f t="shared" ca="1" si="78"/>
        <v>0.48530122265647413</v>
      </c>
      <c r="S156" s="307">
        <f t="shared" ca="1" si="79"/>
        <v>7.5679428265386894</v>
      </c>
      <c r="T156" s="304">
        <f t="shared" ca="1" si="59"/>
        <v>74.241519128344549</v>
      </c>
      <c r="U156" s="311">
        <f t="shared" ca="1" si="60"/>
        <v>0</v>
      </c>
      <c r="V156" s="306">
        <f t="shared" ca="1" si="61"/>
        <v>1.2089826644600414</v>
      </c>
      <c r="W156" s="304">
        <f t="shared" ca="1" si="62"/>
        <v>98.392522375213105</v>
      </c>
      <c r="Y156" s="314" t="str">
        <f t="shared" ca="1" si="80"/>
        <v/>
      </c>
      <c r="Z156" s="315" t="str">
        <f t="shared" ca="1" si="81"/>
        <v/>
      </c>
      <c r="AA156" s="316" t="str">
        <f t="shared" ca="1" si="82"/>
        <v/>
      </c>
      <c r="AC156" s="310" t="e">
        <f t="shared" ca="1" si="83"/>
        <v>#N/A</v>
      </c>
      <c r="AD156" s="323" t="e">
        <f t="shared" ca="1" si="84"/>
        <v>#N/A</v>
      </c>
      <c r="AE156" s="324">
        <f t="shared" ca="1" si="63"/>
        <v>131.61421216212335</v>
      </c>
      <c r="AG156" s="306">
        <f t="shared" ca="1" si="85"/>
        <v>105.40740258056077</v>
      </c>
      <c r="AH156" s="304">
        <f t="shared" ca="1" si="86"/>
        <v>115.16778779373277</v>
      </c>
    </row>
    <row r="157" spans="1:34" x14ac:dyDescent="0.2">
      <c r="A157" s="347">
        <f t="shared" ca="1" si="64"/>
        <v>0.01</v>
      </c>
      <c r="B157" s="304">
        <f t="shared" ca="1" si="65"/>
        <v>1.5300000000000011</v>
      </c>
      <c r="D157" s="306">
        <f t="shared" ca="1" si="66"/>
        <v>11.549772625890911</v>
      </c>
      <c r="E157" s="307">
        <f t="shared" ca="1" si="67"/>
        <v>104.52718292473455</v>
      </c>
      <c r="F157" s="304">
        <f t="shared" ca="1" si="68"/>
        <v>105.16334541032202</v>
      </c>
      <c r="G157" s="306">
        <f t="shared" ca="1" si="69"/>
        <v>17.488362789161357</v>
      </c>
      <c r="H157" s="307">
        <f t="shared" ca="1" si="70"/>
        <v>173.02826361308664</v>
      </c>
      <c r="I157" s="304">
        <f t="shared" ca="1" si="71"/>
        <v>173.90981237988018</v>
      </c>
      <c r="J157" s="306">
        <f t="shared" ca="1" si="72"/>
        <v>12.945452896546692</v>
      </c>
      <c r="K157" s="307">
        <f t="shared" ca="1" si="73"/>
        <v>133.33926843910797</v>
      </c>
      <c r="L157" s="304">
        <f t="shared" ca="1" si="58"/>
        <v>133.96620939092514</v>
      </c>
      <c r="M157" s="306">
        <f t="shared" ca="1" si="74"/>
        <v>1.4700661144181828</v>
      </c>
      <c r="N157" s="304">
        <f t="shared" ca="1" si="75"/>
        <v>84.228583961357856</v>
      </c>
      <c r="P157" s="310">
        <f t="shared" ca="1" si="76"/>
        <v>7</v>
      </c>
      <c r="Q157" s="304">
        <f t="shared" ca="1" si="77"/>
        <v>967.53636363636349</v>
      </c>
      <c r="R157" s="306">
        <f t="shared" ca="1" si="78"/>
        <v>0.48467017812004082</v>
      </c>
      <c r="S157" s="307">
        <f t="shared" ca="1" si="79"/>
        <v>7.5630961247574886</v>
      </c>
      <c r="T157" s="304">
        <f t="shared" ca="1" si="59"/>
        <v>74.193972983870964</v>
      </c>
      <c r="U157" s="311">
        <f t="shared" ca="1" si="60"/>
        <v>0</v>
      </c>
      <c r="V157" s="306">
        <f t="shared" ca="1" si="61"/>
        <v>1.208774116984761</v>
      </c>
      <c r="W157" s="304">
        <f t="shared" ca="1" si="62"/>
        <v>99.576131081309626</v>
      </c>
      <c r="Y157" s="314" t="str">
        <f t="shared" ca="1" si="80"/>
        <v/>
      </c>
      <c r="Z157" s="315" t="str">
        <f t="shared" ca="1" si="81"/>
        <v/>
      </c>
      <c r="AA157" s="316" t="str">
        <f t="shared" ca="1" si="82"/>
        <v/>
      </c>
      <c r="AC157" s="310" t="e">
        <f t="shared" ca="1" si="83"/>
        <v>#N/A</v>
      </c>
      <c r="AD157" s="323" t="e">
        <f t="shared" ca="1" si="84"/>
        <v>#N/A</v>
      </c>
      <c r="AE157" s="324">
        <f t="shared" ca="1" si="63"/>
        <v>133.33926843910797</v>
      </c>
      <c r="AG157" s="306">
        <f t="shared" ca="1" si="85"/>
        <v>105.15872355906397</v>
      </c>
      <c r="AH157" s="304">
        <f t="shared" ca="1" si="86"/>
        <v>114.91905258430383</v>
      </c>
    </row>
    <row r="158" spans="1:34" x14ac:dyDescent="0.2">
      <c r="A158" s="347">
        <f t="shared" ca="1" si="64"/>
        <v>0.01</v>
      </c>
      <c r="B158" s="304">
        <f t="shared" ca="1" si="65"/>
        <v>1.5400000000000011</v>
      </c>
      <c r="D158" s="306">
        <f t="shared" ca="1" si="66"/>
        <v>11.531147528012996</v>
      </c>
      <c r="E158" s="307">
        <f t="shared" ca="1" si="67"/>
        <v>104.27812009978354</v>
      </c>
      <c r="F158" s="304">
        <f t="shared" ca="1" si="68"/>
        <v>104.91374407034418</v>
      </c>
      <c r="G158" s="306">
        <f t="shared" ca="1" si="69"/>
        <v>17.603674264441487</v>
      </c>
      <c r="H158" s="307">
        <f t="shared" ca="1" si="70"/>
        <v>174.07104481408447</v>
      </c>
      <c r="I158" s="304">
        <f t="shared" ca="1" si="71"/>
        <v>174.95890371820337</v>
      </c>
      <c r="J158" s="306">
        <f t="shared" ca="1" si="72"/>
        <v>13.120913081814706</v>
      </c>
      <c r="K158" s="307">
        <f t="shared" ca="1" si="73"/>
        <v>135.07476498124382</v>
      </c>
      <c r="L158" s="304">
        <f t="shared" ca="1" si="58"/>
        <v>135.71053936536686</v>
      </c>
      <c r="M158" s="306">
        <f t="shared" ca="1" si="74"/>
        <v>1.4700097301398487</v>
      </c>
      <c r="N158" s="304">
        <f t="shared" ca="1" si="75"/>
        <v>84.225353380178419</v>
      </c>
      <c r="P158" s="310">
        <f t="shared" ca="1" si="76"/>
        <v>7</v>
      </c>
      <c r="Q158" s="304">
        <f t="shared" ca="1" si="77"/>
        <v>966.27662337662321</v>
      </c>
      <c r="R158" s="306">
        <f t="shared" ca="1" si="78"/>
        <v>0.48403913358360751</v>
      </c>
      <c r="S158" s="307">
        <f t="shared" ca="1" si="79"/>
        <v>7.5582557334216522</v>
      </c>
      <c r="T158" s="304">
        <f t="shared" ca="1" si="59"/>
        <v>74.146488744866417</v>
      </c>
      <c r="U158" s="311">
        <f t="shared" ca="1" si="60"/>
        <v>0</v>
      </c>
      <c r="V158" s="306">
        <f t="shared" ca="1" si="61"/>
        <v>1.2085643434123423</v>
      </c>
      <c r="W158" s="304">
        <f t="shared" ca="1" si="62"/>
        <v>100.7636283994693</v>
      </c>
      <c r="Y158" s="314" t="str">
        <f t="shared" ca="1" si="80"/>
        <v/>
      </c>
      <c r="Z158" s="315" t="str">
        <f t="shared" ca="1" si="81"/>
        <v/>
      </c>
      <c r="AA158" s="316" t="str">
        <f t="shared" ca="1" si="82"/>
        <v/>
      </c>
      <c r="AC158" s="310" t="e">
        <f t="shared" ca="1" si="83"/>
        <v>#N/A</v>
      </c>
      <c r="AD158" s="323" t="e">
        <f t="shared" ca="1" si="84"/>
        <v>#N/A</v>
      </c>
      <c r="AE158" s="324">
        <f t="shared" ca="1" si="63"/>
        <v>135.07476498124382</v>
      </c>
      <c r="AG158" s="306">
        <f t="shared" ca="1" si="85"/>
        <v>104.90910602096906</v>
      </c>
      <c r="AH158" s="304">
        <f t="shared" ca="1" si="86"/>
        <v>114.66937913503951</v>
      </c>
    </row>
    <row r="159" spans="1:34" x14ac:dyDescent="0.2">
      <c r="A159" s="347">
        <f t="shared" ca="1" si="64"/>
        <v>0.01</v>
      </c>
      <c r="B159" s="304">
        <f t="shared" ca="1" si="65"/>
        <v>1.5500000000000012</v>
      </c>
      <c r="D159" s="306">
        <f t="shared" ca="1" si="66"/>
        <v>11.512365516147741</v>
      </c>
      <c r="E159" s="307">
        <f t="shared" ca="1" si="67"/>
        <v>104.02813762819899</v>
      </c>
      <c r="F159" s="304">
        <f t="shared" ca="1" si="68"/>
        <v>104.66321215292839</v>
      </c>
      <c r="G159" s="306">
        <f t="shared" ca="1" si="69"/>
        <v>17.718797919602963</v>
      </c>
      <c r="H159" s="307">
        <f t="shared" ca="1" si="70"/>
        <v>175.11132619036647</v>
      </c>
      <c r="I159" s="304">
        <f t="shared" ca="1" si="71"/>
        <v>176.00548957309445</v>
      </c>
      <c r="J159" s="306">
        <f t="shared" ca="1" si="72"/>
        <v>13.297525442734928</v>
      </c>
      <c r="K159" s="307">
        <f t="shared" ca="1" si="73"/>
        <v>136.82067683626607</v>
      </c>
      <c r="L159" s="304">
        <f t="shared" ca="1" si="58"/>
        <v>137.46534760743938</v>
      </c>
      <c r="M159" s="306">
        <f t="shared" ca="1" si="74"/>
        <v>1.4699536498733068</v>
      </c>
      <c r="N159" s="304">
        <f t="shared" ca="1" si="75"/>
        <v>84.222140217591601</v>
      </c>
      <c r="P159" s="310">
        <f t="shared" ca="1" si="76"/>
        <v>7</v>
      </c>
      <c r="Q159" s="304">
        <f t="shared" ca="1" si="77"/>
        <v>965.01688311688292</v>
      </c>
      <c r="R159" s="306">
        <f t="shared" ca="1" si="78"/>
        <v>0.48340808904717414</v>
      </c>
      <c r="S159" s="307">
        <f t="shared" ca="1" si="79"/>
        <v>7.5534216525311804</v>
      </c>
      <c r="T159" s="304">
        <f t="shared" ca="1" si="59"/>
        <v>74.099066411330881</v>
      </c>
      <c r="U159" s="311">
        <f t="shared" ca="1" si="60"/>
        <v>0</v>
      </c>
      <c r="V159" s="306">
        <f t="shared" ca="1" si="61"/>
        <v>1.2083533474013379</v>
      </c>
      <c r="W159" s="304">
        <f t="shared" ca="1" si="62"/>
        <v>101.95494618307957</v>
      </c>
      <c r="Y159" s="314" t="str">
        <f t="shared" ca="1" si="80"/>
        <v/>
      </c>
      <c r="Z159" s="315" t="str">
        <f t="shared" ca="1" si="81"/>
        <v/>
      </c>
      <c r="AA159" s="316" t="str">
        <f t="shared" ca="1" si="82"/>
        <v/>
      </c>
      <c r="AC159" s="310" t="e">
        <f t="shared" ca="1" si="83"/>
        <v>#N/A</v>
      </c>
      <c r="AD159" s="323" t="e">
        <f t="shared" ca="1" si="84"/>
        <v>#N/A</v>
      </c>
      <c r="AE159" s="324">
        <f t="shared" ca="1" si="63"/>
        <v>136.82067683626607</v>
      </c>
      <c r="AG159" s="306">
        <f t="shared" ca="1" si="85"/>
        <v>104.6585578122726</v>
      </c>
      <c r="AH159" s="304">
        <f t="shared" ca="1" si="86"/>
        <v>114.41877528812377</v>
      </c>
    </row>
    <row r="160" spans="1:34" x14ac:dyDescent="0.2">
      <c r="A160" s="347">
        <f t="shared" ca="1" si="64"/>
        <v>0.01</v>
      </c>
      <c r="B160" s="304">
        <f t="shared" ca="1" si="65"/>
        <v>1.5600000000000012</v>
      </c>
      <c r="D160" s="306">
        <f t="shared" ca="1" si="66"/>
        <v>11.493427946030808</v>
      </c>
      <c r="E160" s="307">
        <f t="shared" ca="1" si="67"/>
        <v>103.77724329014595</v>
      </c>
      <c r="F160" s="304">
        <f t="shared" ca="1" si="68"/>
        <v>104.41175753167238</v>
      </c>
      <c r="G160" s="306">
        <f t="shared" ca="1" si="69"/>
        <v>17.83373219906327</v>
      </c>
      <c r="H160" s="307">
        <f t="shared" ca="1" si="70"/>
        <v>176.14909862326792</v>
      </c>
      <c r="I160" s="304">
        <f t="shared" ca="1" si="71"/>
        <v>177.04956071659052</v>
      </c>
      <c r="J160" s="306">
        <f t="shared" ca="1" si="72"/>
        <v>13.47528809332826</v>
      </c>
      <c r="K160" s="307">
        <f t="shared" ca="1" si="73"/>
        <v>138.57697896033426</v>
      </c>
      <c r="L160" s="304">
        <f t="shared" ca="1" si="58"/>
        <v>139.23060901601744</v>
      </c>
      <c r="M160" s="306">
        <f t="shared" ca="1" si="74"/>
        <v>1.4698978693999269</v>
      </c>
      <c r="N160" s="304">
        <f t="shared" ca="1" si="75"/>
        <v>84.21894423188769</v>
      </c>
      <c r="P160" s="310">
        <f t="shared" ca="1" si="76"/>
        <v>7</v>
      </c>
      <c r="Q160" s="304">
        <f t="shared" ca="1" si="77"/>
        <v>963.75714285714264</v>
      </c>
      <c r="R160" s="306">
        <f t="shared" ca="1" si="78"/>
        <v>0.48277704451074083</v>
      </c>
      <c r="S160" s="307">
        <f t="shared" ca="1" si="79"/>
        <v>7.548593882086073</v>
      </c>
      <c r="T160" s="304">
        <f t="shared" ca="1" si="59"/>
        <v>74.051705983264384</v>
      </c>
      <c r="U160" s="311">
        <f t="shared" ca="1" si="60"/>
        <v>0</v>
      </c>
      <c r="V160" s="306">
        <f t="shared" ca="1" si="61"/>
        <v>1.2081411326228504</v>
      </c>
      <c r="W160" s="304">
        <f t="shared" ca="1" si="62"/>
        <v>103.15001627733456</v>
      </c>
      <c r="Y160" s="314" t="str">
        <f t="shared" ca="1" si="80"/>
        <v/>
      </c>
      <c r="Z160" s="315" t="str">
        <f t="shared" ca="1" si="81"/>
        <v/>
      </c>
      <c r="AA160" s="316" t="str">
        <f t="shared" ca="1" si="82"/>
        <v/>
      </c>
      <c r="AC160" s="310" t="e">
        <f t="shared" ca="1" si="83"/>
        <v>#N/A</v>
      </c>
      <c r="AD160" s="323" t="e">
        <f t="shared" ca="1" si="84"/>
        <v>#N/A</v>
      </c>
      <c r="AE160" s="324">
        <f t="shared" ca="1" si="63"/>
        <v>138.57697896033426</v>
      </c>
      <c r="AG160" s="306">
        <f t="shared" ca="1" si="85"/>
        <v>104.40708680546823</v>
      </c>
      <c r="AH160" s="304">
        <f t="shared" ca="1" si="86"/>
        <v>114.16724891231026</v>
      </c>
    </row>
    <row r="161" spans="1:34" x14ac:dyDescent="0.2">
      <c r="A161" s="347">
        <f t="shared" ca="1" si="64"/>
        <v>0.01</v>
      </c>
      <c r="B161" s="304">
        <f t="shared" ca="1" si="65"/>
        <v>1.5700000000000012</v>
      </c>
      <c r="D161" s="306">
        <f t="shared" ca="1" si="66"/>
        <v>11.474336165611577</v>
      </c>
      <c r="E161" s="307">
        <f t="shared" ca="1" si="67"/>
        <v>103.52544489240508</v>
      </c>
      <c r="F161" s="304">
        <f t="shared" ca="1" si="68"/>
        <v>104.15938810597854</v>
      </c>
      <c r="G161" s="306">
        <f t="shared" ca="1" si="69"/>
        <v>17.948475560719388</v>
      </c>
      <c r="H161" s="307">
        <f t="shared" ca="1" si="70"/>
        <v>177.18435307219198</v>
      </c>
      <c r="I161" s="304">
        <f t="shared" ca="1" si="71"/>
        <v>178.09110799971157</v>
      </c>
      <c r="J161" s="306">
        <f t="shared" ca="1" si="72"/>
        <v>13.654199132127173</v>
      </c>
      <c r="K161" s="307">
        <f t="shared" ca="1" si="73"/>
        <v>140.34364621881156</v>
      </c>
      <c r="L161" s="304">
        <f t="shared" ca="1" si="58"/>
        <v>141.00629839808832</v>
      </c>
      <c r="M161" s="306">
        <f t="shared" ca="1" si="74"/>
        <v>1.469842384582809</v>
      </c>
      <c r="N161" s="304">
        <f t="shared" ca="1" si="75"/>
        <v>84.215765186039775</v>
      </c>
      <c r="P161" s="310">
        <f t="shared" ca="1" si="76"/>
        <v>7</v>
      </c>
      <c r="Q161" s="304">
        <f t="shared" ca="1" si="77"/>
        <v>962.49740259740236</v>
      </c>
      <c r="R161" s="306">
        <f t="shared" ca="1" si="78"/>
        <v>0.48214599997430746</v>
      </c>
      <c r="S161" s="307">
        <f t="shared" ca="1" si="79"/>
        <v>7.54377242208633</v>
      </c>
      <c r="T161" s="304">
        <f t="shared" ca="1" si="59"/>
        <v>74.004407460666897</v>
      </c>
      <c r="U161" s="311">
        <f t="shared" ca="1" si="60"/>
        <v>0</v>
      </c>
      <c r="V161" s="306">
        <f t="shared" ca="1" si="61"/>
        <v>1.2079277027603925</v>
      </c>
      <c r="W161" s="304">
        <f t="shared" ca="1" si="62"/>
        <v>104.34877052462201</v>
      </c>
      <c r="Y161" s="314" t="str">
        <f t="shared" ca="1" si="80"/>
        <v/>
      </c>
      <c r="Z161" s="315" t="str">
        <f t="shared" ca="1" si="81"/>
        <v/>
      </c>
      <c r="AA161" s="316" t="str">
        <f t="shared" ca="1" si="82"/>
        <v/>
      </c>
      <c r="AC161" s="310" t="e">
        <f t="shared" ca="1" si="83"/>
        <v>#N/A</v>
      </c>
      <c r="AD161" s="323" t="e">
        <f t="shared" ca="1" si="84"/>
        <v>#N/A</v>
      </c>
      <c r="AE161" s="324">
        <f t="shared" ca="1" si="63"/>
        <v>140.34364621881156</v>
      </c>
      <c r="AG161" s="306">
        <f t="shared" ca="1" si="85"/>
        <v>104.15470089885127</v>
      </c>
      <c r="AH161" s="304">
        <f t="shared" ca="1" si="86"/>
        <v>113.91480790222512</v>
      </c>
    </row>
    <row r="162" spans="1:34" x14ac:dyDescent="0.2">
      <c r="A162" s="347">
        <f t="shared" ca="1" si="64"/>
        <v>0.01</v>
      </c>
      <c r="B162" s="304">
        <f t="shared" ca="1" si="65"/>
        <v>1.5800000000000012</v>
      </c>
      <c r="D162" s="306">
        <f t="shared" ca="1" si="66"/>
        <v>11.455091515281479</v>
      </c>
      <c r="E162" s="307">
        <f t="shared" ca="1" si="67"/>
        <v>103.27275026765315</v>
      </c>
      <c r="F162" s="304">
        <f t="shared" ca="1" si="68"/>
        <v>103.90611180035815</v>
      </c>
      <c r="G162" s="306">
        <f t="shared" ca="1" si="69"/>
        <v>18.063026475872203</v>
      </c>
      <c r="H162" s="307">
        <f t="shared" ca="1" si="70"/>
        <v>178.2170805748685</v>
      </c>
      <c r="I162" s="304">
        <f t="shared" ca="1" si="71"/>
        <v>179.13012235271106</v>
      </c>
      <c r="J162" s="306">
        <f t="shared" ca="1" si="72"/>
        <v>13.834256642310132</v>
      </c>
      <c r="K162" s="307">
        <f t="shared" ca="1" si="73"/>
        <v>142.12065338704687</v>
      </c>
      <c r="L162" s="304">
        <f t="shared" ca="1" si="58"/>
        <v>142.79239046954294</v>
      </c>
      <c r="M162" s="306">
        <f t="shared" ca="1" si="74"/>
        <v>1.4697871913646605</v>
      </c>
      <c r="N162" s="304">
        <f t="shared" ca="1" si="75"/>
        <v>84.212602847582119</v>
      </c>
      <c r="P162" s="310">
        <f t="shared" ca="1" si="76"/>
        <v>7</v>
      </c>
      <c r="Q162" s="304">
        <f t="shared" ca="1" si="77"/>
        <v>961.23766233766219</v>
      </c>
      <c r="R162" s="306">
        <f t="shared" ca="1" si="78"/>
        <v>0.4815149554378742</v>
      </c>
      <c r="S162" s="307">
        <f t="shared" ca="1" si="79"/>
        <v>7.5389572725319516</v>
      </c>
      <c r="T162" s="304">
        <f t="shared" ca="1" si="59"/>
        <v>73.957170843538449</v>
      </c>
      <c r="U162" s="311">
        <f t="shared" ca="1" si="60"/>
        <v>0</v>
      </c>
      <c r="V162" s="306">
        <f t="shared" ca="1" si="61"/>
        <v>1.2077130615097518</v>
      </c>
      <c r="W162" s="304">
        <f t="shared" ca="1" si="62"/>
        <v>105.55114076988991</v>
      </c>
      <c r="Y162" s="314" t="str">
        <f t="shared" ca="1" si="80"/>
        <v/>
      </c>
      <c r="Z162" s="315" t="str">
        <f t="shared" ca="1" si="81"/>
        <v/>
      </c>
      <c r="AA162" s="316" t="str">
        <f t="shared" ca="1" si="82"/>
        <v/>
      </c>
      <c r="AC162" s="310" t="e">
        <f t="shared" ca="1" si="83"/>
        <v>#N/A</v>
      </c>
      <c r="AD162" s="323" t="e">
        <f t="shared" ca="1" si="84"/>
        <v>#N/A</v>
      </c>
      <c r="AE162" s="324">
        <f t="shared" ca="1" si="63"/>
        <v>142.12065338704687</v>
      </c>
      <c r="AG162" s="306">
        <f t="shared" ca="1" si="85"/>
        <v>103.90140801582282</v>
      </c>
      <c r="AH162" s="304">
        <f t="shared" ca="1" si="86"/>
        <v>113.66146017766921</v>
      </c>
    </row>
    <row r="163" spans="1:34" x14ac:dyDescent="0.2">
      <c r="A163" s="347">
        <f t="shared" ca="1" si="64"/>
        <v>0.01</v>
      </c>
      <c r="B163" s="304">
        <f t="shared" ca="1" si="65"/>
        <v>1.5900000000000012</v>
      </c>
      <c r="D163" s="306">
        <f t="shared" ca="1" si="66"/>
        <v>11.435695328092194</v>
      </c>
      <c r="E163" s="307">
        <f t="shared" ca="1" si="67"/>
        <v>103.01916727374409</v>
      </c>
      <c r="F163" s="304">
        <f t="shared" ca="1" si="68"/>
        <v>103.65193656373533</v>
      </c>
      <c r="G163" s="306">
        <f t="shared" ca="1" si="69"/>
        <v>18.177383429153124</v>
      </c>
      <c r="H163" s="307">
        <f t="shared" ca="1" si="70"/>
        <v>179.24727224760593</v>
      </c>
      <c r="I163" s="304">
        <f t="shared" ca="1" si="71"/>
        <v>180.16659478532031</v>
      </c>
      <c r="J163" s="306">
        <f t="shared" ca="1" si="72"/>
        <v>14.015458691835258</v>
      </c>
      <c r="K163" s="307">
        <f t="shared" ca="1" si="73"/>
        <v>143.90797515115923</v>
      </c>
      <c r="L163" s="304">
        <f t="shared" ca="1" si="58"/>
        <v>144.58885985596956</v>
      </c>
      <c r="M163" s="306">
        <f t="shared" ca="1" si="74"/>
        <v>1.4697322857657424</v>
      </c>
      <c r="N163" s="304">
        <f t="shared" ca="1" si="75"/>
        <v>84.209456988492477</v>
      </c>
      <c r="P163" s="310">
        <f t="shared" ca="1" si="76"/>
        <v>7</v>
      </c>
      <c r="Q163" s="304">
        <f t="shared" ca="1" si="77"/>
        <v>959.9779220779219</v>
      </c>
      <c r="R163" s="306">
        <f t="shared" ca="1" si="78"/>
        <v>0.48088391090144084</v>
      </c>
      <c r="S163" s="307">
        <f t="shared" ca="1" si="79"/>
        <v>7.5341484334229376</v>
      </c>
      <c r="T163" s="304">
        <f t="shared" ca="1" si="59"/>
        <v>73.909996131879026</v>
      </c>
      <c r="U163" s="311">
        <f t="shared" ca="1" si="60"/>
        <v>0</v>
      </c>
      <c r="V163" s="306">
        <f t="shared" ca="1" si="61"/>
        <v>1.207497212578847</v>
      </c>
      <c r="W163" s="304">
        <f t="shared" ca="1" si="62"/>
        <v>106.75705886599248</v>
      </c>
      <c r="Y163" s="314" t="str">
        <f t="shared" ca="1" si="80"/>
        <v/>
      </c>
      <c r="Z163" s="315" t="str">
        <f t="shared" ca="1" si="81"/>
        <v/>
      </c>
      <c r="AA163" s="316" t="str">
        <f t="shared" ca="1" si="82"/>
        <v/>
      </c>
      <c r="AC163" s="310" t="e">
        <f t="shared" ca="1" si="83"/>
        <v>#N/A</v>
      </c>
      <c r="AD163" s="323" t="e">
        <f t="shared" ca="1" si="84"/>
        <v>#N/A</v>
      </c>
      <c r="AE163" s="324">
        <f t="shared" ca="1" si="63"/>
        <v>143.90797515115923</v>
      </c>
      <c r="AG163" s="306">
        <f t="shared" ca="1" si="85"/>
        <v>103.64721610419339</v>
      </c>
      <c r="AH163" s="304">
        <f t="shared" ca="1" si="86"/>
        <v>113.40721368291999</v>
      </c>
    </row>
    <row r="164" spans="1:34" x14ac:dyDescent="0.2">
      <c r="A164" s="347">
        <f t="shared" ca="1" si="64"/>
        <v>0.01</v>
      </c>
      <c r="B164" s="304">
        <f t="shared" ca="1" si="65"/>
        <v>1.6000000000000012</v>
      </c>
      <c r="D164" s="306">
        <f t="shared" ca="1" si="66"/>
        <v>11.416148929964313</v>
      </c>
      <c r="E164" s="307">
        <f t="shared" ca="1" si="67"/>
        <v>102.76470379299057</v>
      </c>
      <c r="F164" s="304">
        <f t="shared" ca="1" si="68"/>
        <v>103.3968703687506</v>
      </c>
      <c r="G164" s="306">
        <f t="shared" ca="1" si="69"/>
        <v>18.291544918452768</v>
      </c>
      <c r="H164" s="307">
        <f t="shared" ca="1" si="70"/>
        <v>180.27491928553584</v>
      </c>
      <c r="I164" s="304">
        <f t="shared" ca="1" si="71"/>
        <v>181.20051638698561</v>
      </c>
      <c r="J164" s="306">
        <f t="shared" ca="1" si="72"/>
        <v>14.197803333573288</v>
      </c>
      <c r="K164" s="307">
        <f t="shared" ca="1" si="73"/>
        <v>145.70558610882495</v>
      </c>
      <c r="L164" s="304">
        <f t="shared" ca="1" si="58"/>
        <v>146.3956810934497</v>
      </c>
      <c r="M164" s="306">
        <f t="shared" ca="1" si="74"/>
        <v>1.46967766388188</v>
      </c>
      <c r="N164" s="304">
        <f t="shared" ca="1" si="75"/>
        <v>84.206327385078112</v>
      </c>
      <c r="P164" s="310">
        <f t="shared" ca="1" si="76"/>
        <v>7</v>
      </c>
      <c r="Q164" s="304">
        <f t="shared" ca="1" si="77"/>
        <v>958.71818181818162</v>
      </c>
      <c r="R164" s="306">
        <f t="shared" ca="1" si="78"/>
        <v>0.48025286636500752</v>
      </c>
      <c r="S164" s="307">
        <f t="shared" ca="1" si="79"/>
        <v>7.5293459047592872</v>
      </c>
      <c r="T164" s="304">
        <f t="shared" ca="1" si="59"/>
        <v>73.862883325688614</v>
      </c>
      <c r="U164" s="311">
        <f t="shared" ca="1" si="60"/>
        <v>0</v>
      </c>
      <c r="V164" s="306">
        <f t="shared" ca="1" si="61"/>
        <v>1.2072801596875926</v>
      </c>
      <c r="W164" s="304">
        <f t="shared" ca="1" si="62"/>
        <v>107.96645667901548</v>
      </c>
      <c r="Y164" s="314" t="str">
        <f t="shared" ca="1" si="80"/>
        <v/>
      </c>
      <c r="Z164" s="315" t="str">
        <f t="shared" ca="1" si="81"/>
        <v/>
      </c>
      <c r="AA164" s="316" t="str">
        <f t="shared" ca="1" si="82"/>
        <v/>
      </c>
      <c r="AC164" s="310" t="e">
        <f t="shared" ca="1" si="83"/>
        <v>#N/A</v>
      </c>
      <c r="AD164" s="323" t="e">
        <f t="shared" ca="1" si="84"/>
        <v>#N/A</v>
      </c>
      <c r="AE164" s="324">
        <f t="shared" ca="1" si="63"/>
        <v>145.70558610882495</v>
      </c>
      <c r="AG164" s="306">
        <f t="shared" ca="1" si="85"/>
        <v>103.39213313548625</v>
      </c>
      <c r="AH164" s="304">
        <f t="shared" ca="1" si="86"/>
        <v>113.1520763860332</v>
      </c>
    </row>
    <row r="165" spans="1:34" x14ac:dyDescent="0.2">
      <c r="A165" s="347">
        <f t="shared" ca="1" si="64"/>
        <v>0.01</v>
      </c>
      <c r="B165" s="304">
        <f t="shared" ca="1" si="65"/>
        <v>1.6100000000000012</v>
      </c>
      <c r="D165" s="306">
        <f t="shared" ca="1" si="66"/>
        <v>11.396453639886909</v>
      </c>
      <c r="E165" s="307">
        <f t="shared" ca="1" si="67"/>
        <v>102.50936773144618</v>
      </c>
      <c r="F165" s="304">
        <f t="shared" ca="1" si="68"/>
        <v>103.14092121106418</v>
      </c>
      <c r="G165" s="306">
        <f t="shared" ca="1" si="69"/>
        <v>18.405509454851636</v>
      </c>
      <c r="H165" s="307">
        <f t="shared" ca="1" si="70"/>
        <v>181.3000129628503</v>
      </c>
      <c r="I165" s="304">
        <f t="shared" ca="1" si="71"/>
        <v>182.2318783270982</v>
      </c>
      <c r="J165" s="306">
        <f t="shared" ca="1" si="72"/>
        <v>14.38128860543981</v>
      </c>
      <c r="K165" s="307">
        <f t="shared" ca="1" si="73"/>
        <v>147.51346077006687</v>
      </c>
      <c r="L165" s="304">
        <f t="shared" ca="1" si="58"/>
        <v>148.21282862935655</v>
      </c>
      <c r="M165" s="306">
        <f t="shared" ca="1" si="74"/>
        <v>1.4696233218825392</v>
      </c>
      <c r="N165" s="304">
        <f t="shared" ca="1" si="75"/>
        <v>84.203213817865574</v>
      </c>
      <c r="P165" s="310">
        <f t="shared" ca="1" si="76"/>
        <v>7</v>
      </c>
      <c r="Q165" s="304">
        <f t="shared" ca="1" si="77"/>
        <v>957.45844155844134</v>
      </c>
      <c r="R165" s="306">
        <f t="shared" ca="1" si="78"/>
        <v>0.47962182182857416</v>
      </c>
      <c r="S165" s="307">
        <f t="shared" ca="1" si="79"/>
        <v>7.5245496865410013</v>
      </c>
      <c r="T165" s="304">
        <f t="shared" ca="1" si="59"/>
        <v>73.815832424967226</v>
      </c>
      <c r="U165" s="311">
        <f t="shared" ca="1" si="60"/>
        <v>0</v>
      </c>
      <c r="V165" s="306">
        <f t="shared" ca="1" si="61"/>
        <v>1.2070619065677572</v>
      </c>
      <c r="W165" s="304">
        <f t="shared" ca="1" si="62"/>
        <v>109.1792660935789</v>
      </c>
      <c r="Y165" s="314" t="str">
        <f t="shared" ca="1" si="80"/>
        <v/>
      </c>
      <c r="Z165" s="315" t="str">
        <f t="shared" ca="1" si="81"/>
        <v/>
      </c>
      <c r="AA165" s="316" t="str">
        <f t="shared" ca="1" si="82"/>
        <v/>
      </c>
      <c r="AC165" s="310" t="e">
        <f t="shared" ca="1" si="83"/>
        <v>#N/A</v>
      </c>
      <c r="AD165" s="323" t="e">
        <f t="shared" ca="1" si="84"/>
        <v>#N/A</v>
      </c>
      <c r="AE165" s="324">
        <f t="shared" ca="1" si="63"/>
        <v>147.51346077006687</v>
      </c>
      <c r="AG165" s="306">
        <f t="shared" ca="1" si="85"/>
        <v>103.13616710424057</v>
      </c>
      <c r="AH165" s="304">
        <f t="shared" ca="1" si="86"/>
        <v>112.8960562781443</v>
      </c>
    </row>
    <row r="166" spans="1:34" x14ac:dyDescent="0.2">
      <c r="A166" s="347">
        <f t="shared" ca="1" si="64"/>
        <v>0.01</v>
      </c>
      <c r="B166" s="304">
        <f t="shared" ca="1" si="65"/>
        <v>1.6200000000000012</v>
      </c>
      <c r="D166" s="306">
        <f t="shared" ca="1" si="66"/>
        <v>11.376610770108002</v>
      </c>
      <c r="E166" s="307">
        <f t="shared" ca="1" si="67"/>
        <v>102.25316701818826</v>
      </c>
      <c r="F166" s="304">
        <f t="shared" ca="1" si="68"/>
        <v>102.88409710865932</v>
      </c>
      <c r="G166" s="306">
        <f t="shared" ca="1" si="69"/>
        <v>18.519275562552714</v>
      </c>
      <c r="H166" s="307">
        <f t="shared" ca="1" si="70"/>
        <v>182.32254463303218</v>
      </c>
      <c r="I166" s="304">
        <f t="shared" ca="1" si="71"/>
        <v>183.26067185521768</v>
      </c>
      <c r="J166" s="306">
        <f t="shared" ca="1" si="72"/>
        <v>14.565912530526832</v>
      </c>
      <c r="K166" s="307">
        <f t="shared" ca="1" si="73"/>
        <v>149.33157355804627</v>
      </c>
      <c r="L166" s="304">
        <f t="shared" ca="1" si="58"/>
        <v>150.04027682315552</v>
      </c>
      <c r="M166" s="306">
        <f t="shared" ca="1" si="74"/>
        <v>1.4695692560089622</v>
      </c>
      <c r="N166" s="304">
        <f t="shared" ca="1" si="75"/>
        <v>84.200116071493923</v>
      </c>
      <c r="P166" s="310">
        <f t="shared" ca="1" si="76"/>
        <v>7</v>
      </c>
      <c r="Q166" s="304">
        <f t="shared" ca="1" si="77"/>
        <v>956.19870129870105</v>
      </c>
      <c r="R166" s="306">
        <f t="shared" ca="1" si="78"/>
        <v>0.47899077729214079</v>
      </c>
      <c r="S166" s="307">
        <f t="shared" ca="1" si="79"/>
        <v>7.5197597787680799</v>
      </c>
      <c r="T166" s="304">
        <f t="shared" ca="1" si="59"/>
        <v>73.768843429714863</v>
      </c>
      <c r="U166" s="311">
        <f t="shared" ca="1" si="60"/>
        <v>0</v>
      </c>
      <c r="V166" s="306">
        <f t="shared" ca="1" si="61"/>
        <v>1.2068424569628238</v>
      </c>
      <c r="W166" s="304">
        <f t="shared" ca="1" si="62"/>
        <v>110.39541901811747</v>
      </c>
      <c r="Y166" s="314" t="str">
        <f t="shared" ca="1" si="80"/>
        <v/>
      </c>
      <c r="Z166" s="315" t="str">
        <f t="shared" ca="1" si="81"/>
        <v/>
      </c>
      <c r="AA166" s="316" t="str">
        <f t="shared" ca="1" si="82"/>
        <v/>
      </c>
      <c r="AC166" s="310" t="e">
        <f t="shared" ca="1" si="83"/>
        <v>#N/A</v>
      </c>
      <c r="AD166" s="323" t="e">
        <f t="shared" ca="1" si="84"/>
        <v>#N/A</v>
      </c>
      <c r="AE166" s="324">
        <f t="shared" ca="1" si="63"/>
        <v>149.33157355804627</v>
      </c>
      <c r="AG166" s="306">
        <f t="shared" ca="1" si="85"/>
        <v>102.87932602731438</v>
      </c>
      <c r="AH166" s="304">
        <f t="shared" ca="1" si="86"/>
        <v>112.63916137276989</v>
      </c>
    </row>
    <row r="167" spans="1:34" x14ac:dyDescent="0.2">
      <c r="A167" s="347">
        <f t="shared" ca="1" si="64"/>
        <v>0.01</v>
      </c>
      <c r="B167" s="304">
        <f t="shared" ca="1" si="65"/>
        <v>1.6300000000000012</v>
      </c>
      <c r="D167" s="306">
        <f t="shared" ca="1" si="66"/>
        <v>11.356621626316732</v>
      </c>
      <c r="E167" s="307">
        <f t="shared" ca="1" si="67"/>
        <v>101.99610960460173</v>
      </c>
      <c r="F167" s="304">
        <f t="shared" ca="1" si="68"/>
        <v>102.62640610114559</v>
      </c>
      <c r="G167" s="306">
        <f t="shared" ca="1" si="69"/>
        <v>18.63284177881588</v>
      </c>
      <c r="H167" s="307">
        <f t="shared" ca="1" si="70"/>
        <v>183.3425057290782</v>
      </c>
      <c r="I167" s="304">
        <f t="shared" ca="1" si="71"/>
        <v>184.28688830128814</v>
      </c>
      <c r="J167" s="306">
        <f t="shared" ca="1" si="72"/>
        <v>14.751673117233675</v>
      </c>
      <c r="K167" s="307">
        <f t="shared" ca="1" si="73"/>
        <v>151.15989880985683</v>
      </c>
      <c r="L167" s="304">
        <f t="shared" ca="1" si="58"/>
        <v>151.8779999472072</v>
      </c>
      <c r="M167" s="306">
        <f t="shared" ca="1" si="74"/>
        <v>1.469515462572363</v>
      </c>
      <c r="N167" s="304">
        <f t="shared" ca="1" si="75"/>
        <v>84.197033934611284</v>
      </c>
      <c r="P167" s="310">
        <f t="shared" ca="1" si="76"/>
        <v>7</v>
      </c>
      <c r="Q167" s="304">
        <f t="shared" ca="1" si="77"/>
        <v>954.93896103896088</v>
      </c>
      <c r="R167" s="306">
        <f t="shared" ca="1" si="78"/>
        <v>0.47835973275570753</v>
      </c>
      <c r="S167" s="307">
        <f t="shared" ca="1" si="79"/>
        <v>7.5149761814405229</v>
      </c>
      <c r="T167" s="304">
        <f t="shared" ca="1" si="59"/>
        <v>73.721916339931539</v>
      </c>
      <c r="U167" s="311">
        <f t="shared" ca="1" si="60"/>
        <v>0</v>
      </c>
      <c r="V167" s="306">
        <f t="shared" ca="1" si="61"/>
        <v>1.2066218146278509</v>
      </c>
      <c r="W167" s="304">
        <f t="shared" ca="1" si="62"/>
        <v>111.61484739013794</v>
      </c>
      <c r="Y167" s="314" t="str">
        <f t="shared" ca="1" si="80"/>
        <v/>
      </c>
      <c r="Z167" s="315" t="str">
        <f t="shared" ca="1" si="81"/>
        <v/>
      </c>
      <c r="AA167" s="316" t="str">
        <f t="shared" ca="1" si="82"/>
        <v/>
      </c>
      <c r="AC167" s="310" t="e">
        <f t="shared" ca="1" si="83"/>
        <v>#N/A</v>
      </c>
      <c r="AD167" s="323" t="e">
        <f t="shared" ca="1" si="84"/>
        <v>#N/A</v>
      </c>
      <c r="AE167" s="324">
        <f t="shared" ca="1" si="63"/>
        <v>151.15989880985683</v>
      </c>
      <c r="AG167" s="306">
        <f t="shared" ca="1" si="85"/>
        <v>102.62161794318774</v>
      </c>
      <c r="AH167" s="304">
        <f t="shared" ca="1" si="86"/>
        <v>112.3813997051093</v>
      </c>
    </row>
    <row r="168" spans="1:34" x14ac:dyDescent="0.2">
      <c r="A168" s="347">
        <f t="shared" ca="1" si="64"/>
        <v>0.01</v>
      </c>
      <c r="B168" s="304">
        <f t="shared" ca="1" si="65"/>
        <v>1.6400000000000012</v>
      </c>
      <c r="D168" s="306">
        <f t="shared" ca="1" si="66"/>
        <v>11.33648750781721</v>
      </c>
      <c r="E168" s="307">
        <f t="shared" ca="1" si="67"/>
        <v>101.73820346366328</v>
      </c>
      <c r="F168" s="304">
        <f t="shared" ca="1" si="68"/>
        <v>102.3678562490621</v>
      </c>
      <c r="G168" s="306">
        <f t="shared" ca="1" si="69"/>
        <v>18.746206653894053</v>
      </c>
      <c r="H168" s="307">
        <f t="shared" ca="1" si="70"/>
        <v>184.35988776371482</v>
      </c>
      <c r="I168" s="304">
        <f t="shared" ca="1" si="71"/>
        <v>185.31051907584745</v>
      </c>
      <c r="J168" s="306">
        <f t="shared" ca="1" si="72"/>
        <v>14.938568359397225</v>
      </c>
      <c r="K168" s="307">
        <f t="shared" ca="1" si="73"/>
        <v>152.9984107773208</v>
      </c>
      <c r="L168" s="304">
        <f t="shared" ca="1" si="58"/>
        <v>153.72597218757204</v>
      </c>
      <c r="M168" s="306">
        <f t="shared" ca="1" si="74"/>
        <v>1.4694619379521796</v>
      </c>
      <c r="N168" s="304">
        <f t="shared" ca="1" si="75"/>
        <v>84.193967199774747</v>
      </c>
      <c r="P168" s="310">
        <f t="shared" ca="1" si="76"/>
        <v>7</v>
      </c>
      <c r="Q168" s="304">
        <f t="shared" ca="1" si="77"/>
        <v>953.6792207792206</v>
      </c>
      <c r="R168" s="306">
        <f t="shared" ca="1" si="78"/>
        <v>0.47772868821927417</v>
      </c>
      <c r="S168" s="307">
        <f t="shared" ca="1" si="79"/>
        <v>7.5101988945583305</v>
      </c>
      <c r="T168" s="304">
        <f t="shared" ca="1" si="59"/>
        <v>73.675051155617226</v>
      </c>
      <c r="U168" s="311">
        <f t="shared" ca="1" si="60"/>
        <v>0</v>
      </c>
      <c r="V168" s="306">
        <f t="shared" ca="1" si="61"/>
        <v>1.2063999833293306</v>
      </c>
      <c r="W168" s="304">
        <f t="shared" ca="1" si="62"/>
        <v>112.83748318145176</v>
      </c>
      <c r="Y168" s="314" t="str">
        <f t="shared" ca="1" si="80"/>
        <v/>
      </c>
      <c r="Z168" s="315" t="str">
        <f t="shared" ca="1" si="81"/>
        <v/>
      </c>
      <c r="AA168" s="316" t="str">
        <f t="shared" ca="1" si="82"/>
        <v/>
      </c>
      <c r="AC168" s="310" t="e">
        <f t="shared" ca="1" si="83"/>
        <v>#N/A</v>
      </c>
      <c r="AD168" s="323" t="e">
        <f t="shared" ca="1" si="84"/>
        <v>#N/A</v>
      </c>
      <c r="AE168" s="324">
        <f t="shared" ca="1" si="63"/>
        <v>152.9984107773208</v>
      </c>
      <c r="AG168" s="306">
        <f t="shared" ca="1" si="85"/>
        <v>102.36305091126567</v>
      </c>
      <c r="AH168" s="304">
        <f t="shared" ca="1" si="86"/>
        <v>112.12277933134604</v>
      </c>
    </row>
    <row r="169" spans="1:34" x14ac:dyDescent="0.2">
      <c r="A169" s="347">
        <f t="shared" ca="1" si="64"/>
        <v>0.01</v>
      </c>
      <c r="B169" s="304">
        <f t="shared" ca="1" si="65"/>
        <v>1.6500000000000012</v>
      </c>
      <c r="D169" s="306">
        <f t="shared" ca="1" si="66"/>
        <v>11.316209707694529</v>
      </c>
      <c r="E169" s="307">
        <f t="shared" ca="1" si="67"/>
        <v>101.47945658922708</v>
      </c>
      <c r="F169" s="304">
        <f t="shared" ca="1" si="68"/>
        <v>102.10845563318125</v>
      </c>
      <c r="G169" s="306">
        <f t="shared" ca="1" si="69"/>
        <v>18.859368750970997</v>
      </c>
      <c r="H169" s="307">
        <f t="shared" ca="1" si="70"/>
        <v>185.37468232960708</v>
      </c>
      <c r="I169" s="304">
        <f t="shared" ca="1" si="71"/>
        <v>186.33155567022951</v>
      </c>
      <c r="J169" s="306">
        <f t="shared" ca="1" si="72"/>
        <v>15.12659623642155</v>
      </c>
      <c r="K169" s="307">
        <f t="shared" ca="1" si="73"/>
        <v>154.84708362778741</v>
      </c>
      <c r="L169" s="304">
        <f t="shared" ca="1" si="58"/>
        <v>155.58416764481763</v>
      </c>
      <c r="M169" s="306">
        <f t="shared" ca="1" si="74"/>
        <v>1.4694086785943798</v>
      </c>
      <c r="N169" s="304">
        <f t="shared" ca="1" si="75"/>
        <v>84.190915663353238</v>
      </c>
      <c r="P169" s="310">
        <f t="shared" ca="1" si="76"/>
        <v>7</v>
      </c>
      <c r="Q169" s="304">
        <f t="shared" ca="1" si="77"/>
        <v>952.41948051948032</v>
      </c>
      <c r="R169" s="306">
        <f t="shared" ca="1" si="78"/>
        <v>0.47709764368284086</v>
      </c>
      <c r="S169" s="307">
        <f t="shared" ca="1" si="79"/>
        <v>7.5054279181215025</v>
      </c>
      <c r="T169" s="304">
        <f t="shared" ca="1" si="59"/>
        <v>73.628247876771937</v>
      </c>
      <c r="U169" s="311">
        <f t="shared" ca="1" si="60"/>
        <v>0</v>
      </c>
      <c r="V169" s="306">
        <f t="shared" ca="1" si="61"/>
        <v>1.2061769668450497</v>
      </c>
      <c r="W169" s="304">
        <f t="shared" ca="1" si="62"/>
        <v>114.06325840338393</v>
      </c>
      <c r="Y169" s="314" t="str">
        <f t="shared" ca="1" si="80"/>
        <v/>
      </c>
      <c r="Z169" s="315" t="str">
        <f t="shared" ca="1" si="81"/>
        <v/>
      </c>
      <c r="AA169" s="316" t="str">
        <f t="shared" ca="1" si="82"/>
        <v/>
      </c>
      <c r="AC169" s="310" t="e">
        <f t="shared" ca="1" si="83"/>
        <v>#N/A</v>
      </c>
      <c r="AD169" s="323" t="e">
        <f t="shared" ca="1" si="84"/>
        <v>#N/A</v>
      </c>
      <c r="AE169" s="324">
        <f t="shared" ca="1" si="63"/>
        <v>154.84708362778741</v>
      </c>
      <c r="AG169" s="306">
        <f t="shared" ca="1" si="85"/>
        <v>102.10363301118173</v>
      </c>
      <c r="AH169" s="304">
        <f t="shared" ca="1" si="86"/>
        <v>111.86330832794988</v>
      </c>
    </row>
    <row r="170" spans="1:34" x14ac:dyDescent="0.2">
      <c r="A170" s="347">
        <f t="shared" ca="1" si="64"/>
        <v>0.01</v>
      </c>
      <c r="B170" s="304">
        <f t="shared" ca="1" si="65"/>
        <v>1.6600000000000013</v>
      </c>
      <c r="D170" s="306">
        <f t="shared" ca="1" si="66"/>
        <v>11.295789512973249</v>
      </c>
      <c r="E170" s="307">
        <f t="shared" ca="1" si="67"/>
        <v>101.21987699531097</v>
      </c>
      <c r="F170" s="304">
        <f t="shared" ca="1" si="68"/>
        <v>101.84821235381247</v>
      </c>
      <c r="G170" s="306">
        <f t="shared" ca="1" si="69"/>
        <v>18.972326646100729</v>
      </c>
      <c r="H170" s="307">
        <f t="shared" ca="1" si="70"/>
        <v>186.38688109956018</v>
      </c>
      <c r="I170" s="304">
        <f t="shared" ca="1" si="71"/>
        <v>187.34998965675962</v>
      </c>
      <c r="J170" s="306">
        <f t="shared" ca="1" si="72"/>
        <v>15.315754713406909</v>
      </c>
      <c r="K170" s="307">
        <f t="shared" ca="1" si="73"/>
        <v>156.70589144493326</v>
      </c>
      <c r="L170" s="304">
        <f t="shared" ca="1" si="58"/>
        <v>157.45256033482738</v>
      </c>
      <c r="M170" s="306">
        <f t="shared" ca="1" si="74"/>
        <v>1.4693556810098203</v>
      </c>
      <c r="N170" s="304">
        <f t="shared" ca="1" si="75"/>
        <v>84.187879125433582</v>
      </c>
      <c r="P170" s="310">
        <f t="shared" ca="1" si="76"/>
        <v>7</v>
      </c>
      <c r="Q170" s="304">
        <f t="shared" ca="1" si="77"/>
        <v>951.15974025974003</v>
      </c>
      <c r="R170" s="306">
        <f t="shared" ca="1" si="78"/>
        <v>0.47646659914640749</v>
      </c>
      <c r="S170" s="307">
        <f t="shared" ca="1" si="79"/>
        <v>7.500663252130038</v>
      </c>
      <c r="T170" s="304">
        <f t="shared" ca="1" si="59"/>
        <v>73.581506503395673</v>
      </c>
      <c r="U170" s="311">
        <f t="shared" ca="1" si="60"/>
        <v>0</v>
      </c>
      <c r="V170" s="306">
        <f t="shared" ca="1" si="61"/>
        <v>1.2059527689639489</v>
      </c>
      <c r="W170" s="304">
        <f t="shared" ca="1" si="62"/>
        <v>115.29210511195595</v>
      </c>
      <c r="Y170" s="314" t="str">
        <f t="shared" ca="1" si="80"/>
        <v/>
      </c>
      <c r="Z170" s="315" t="str">
        <f t="shared" ca="1" si="81"/>
        <v/>
      </c>
      <c r="AA170" s="316" t="str">
        <f t="shared" ca="1" si="82"/>
        <v/>
      </c>
      <c r="AC170" s="310" t="e">
        <f t="shared" ca="1" si="83"/>
        <v>#N/A</v>
      </c>
      <c r="AD170" s="323" t="e">
        <f t="shared" ca="1" si="84"/>
        <v>#N/A</v>
      </c>
      <c r="AE170" s="324">
        <f t="shared" ca="1" si="63"/>
        <v>156.70589144493326</v>
      </c>
      <c r="AG170" s="306">
        <f t="shared" ca="1" si="85"/>
        <v>101.84337234210145</v>
      </c>
      <c r="AH170" s="304">
        <f t="shared" ca="1" si="86"/>
        <v>111.60299479097898</v>
      </c>
    </row>
    <row r="171" spans="1:34" x14ac:dyDescent="0.2">
      <c r="A171" s="347">
        <f t="shared" ca="1" si="64"/>
        <v>0.01</v>
      </c>
      <c r="B171" s="304">
        <f t="shared" ca="1" si="65"/>
        <v>1.6700000000000013</v>
      </c>
      <c r="D171" s="306">
        <f t="shared" ca="1" si="66"/>
        <v>11.275228204768567</v>
      </c>
      <c r="E171" s="307">
        <f t="shared" ca="1" si="67"/>
        <v>100.95947271538401</v>
      </c>
      <c r="F171" s="304">
        <f t="shared" ca="1" si="68"/>
        <v>101.58713453010661</v>
      </c>
      <c r="G171" s="306">
        <f t="shared" ca="1" si="69"/>
        <v>19.085078928148416</v>
      </c>
      <c r="H171" s="307">
        <f t="shared" ca="1" si="70"/>
        <v>187.39647582671404</v>
      </c>
      <c r="I171" s="304">
        <f t="shared" ca="1" si="71"/>
        <v>188.36581268894278</v>
      </c>
      <c r="J171" s="306">
        <f t="shared" ca="1" si="72"/>
        <v>15.506041741278155</v>
      </c>
      <c r="K171" s="307">
        <f t="shared" ca="1" si="73"/>
        <v>158.57480822956464</v>
      </c>
      <c r="L171" s="304">
        <f t="shared" ca="1" si="58"/>
        <v>159.3311241896117</v>
      </c>
      <c r="M171" s="306">
        <f t="shared" ca="1" si="74"/>
        <v>1.4693029417726546</v>
      </c>
      <c r="N171" s="304">
        <f t="shared" ca="1" si="75"/>
        <v>84.18485738972926</v>
      </c>
      <c r="P171" s="310">
        <f t="shared" ca="1" si="76"/>
        <v>7</v>
      </c>
      <c r="Q171" s="304">
        <f t="shared" ca="1" si="77"/>
        <v>949.89999999999975</v>
      </c>
      <c r="R171" s="306">
        <f t="shared" ca="1" si="78"/>
        <v>0.47583555460997418</v>
      </c>
      <c r="S171" s="307">
        <f t="shared" ca="1" si="79"/>
        <v>7.4959048965839381</v>
      </c>
      <c r="T171" s="304">
        <f t="shared" ca="1" si="59"/>
        <v>73.534827035488433</v>
      </c>
      <c r="U171" s="311">
        <f t="shared" ca="1" si="60"/>
        <v>0</v>
      </c>
      <c r="V171" s="306">
        <f t="shared" ca="1" si="61"/>
        <v>1.2057273934859807</v>
      </c>
      <c r="W171" s="304">
        <f t="shared" ca="1" si="62"/>
        <v>116.52395541304294</v>
      </c>
      <c r="Y171" s="314" t="str">
        <f t="shared" ca="1" si="80"/>
        <v/>
      </c>
      <c r="Z171" s="315" t="str">
        <f t="shared" ca="1" si="81"/>
        <v/>
      </c>
      <c r="AA171" s="316" t="str">
        <f t="shared" ca="1" si="82"/>
        <v/>
      </c>
      <c r="AC171" s="310" t="e">
        <f t="shared" ca="1" si="83"/>
        <v>#N/A</v>
      </c>
      <c r="AD171" s="323" t="e">
        <f t="shared" ca="1" si="84"/>
        <v>#N/A</v>
      </c>
      <c r="AE171" s="324">
        <f t="shared" ca="1" si="63"/>
        <v>158.57480822956464</v>
      </c>
      <c r="AG171" s="306">
        <f t="shared" ca="1" si="85"/>
        <v>101.58227702202659</v>
      </c>
      <c r="AH171" s="304">
        <f t="shared" ca="1" si="86"/>
        <v>111.34184683538267</v>
      </c>
    </row>
    <row r="172" spans="1:34" x14ac:dyDescent="0.2">
      <c r="A172" s="347">
        <f t="shared" ca="1" si="64"/>
        <v>0.01</v>
      </c>
      <c r="B172" s="304">
        <f t="shared" ca="1" si="65"/>
        <v>1.6800000000000013</v>
      </c>
      <c r="D172" s="306">
        <f t="shared" ca="1" si="66"/>
        <v>11.254527058430604</v>
      </c>
      <c r="E172" s="307">
        <f t="shared" ca="1" si="67"/>
        <v>100.69825180165516</v>
      </c>
      <c r="F172" s="304">
        <f t="shared" ca="1" si="68"/>
        <v>101.32523029936074</v>
      </c>
      <c r="G172" s="306">
        <f t="shared" ca="1" si="69"/>
        <v>19.197624198732722</v>
      </c>
      <c r="H172" s="307">
        <f t="shared" ca="1" si="70"/>
        <v>188.40345834473058</v>
      </c>
      <c r="I172" s="304">
        <f t="shared" ca="1" si="71"/>
        <v>189.37901650164517</v>
      </c>
      <c r="J172" s="306">
        <f t="shared" ca="1" si="72"/>
        <v>15.69745525691256</v>
      </c>
      <c r="K172" s="307">
        <f t="shared" ca="1" si="73"/>
        <v>160.45380790042185</v>
      </c>
      <c r="L172" s="304">
        <f t="shared" ca="1" si="58"/>
        <v>161.21983305812051</v>
      </c>
      <c r="M172" s="306">
        <f t="shared" ca="1" si="74"/>
        <v>1.4692504575187935</v>
      </c>
      <c r="N172" s="304">
        <f t="shared" ca="1" si="75"/>
        <v>84.181850263492123</v>
      </c>
      <c r="P172" s="310">
        <f t="shared" ca="1" si="76"/>
        <v>7</v>
      </c>
      <c r="Q172" s="304">
        <f t="shared" ca="1" si="77"/>
        <v>948.64025974025958</v>
      </c>
      <c r="R172" s="306">
        <f t="shared" ca="1" si="78"/>
        <v>0.47520451007354086</v>
      </c>
      <c r="S172" s="307">
        <f t="shared" ca="1" si="79"/>
        <v>7.4911528514832026</v>
      </c>
      <c r="T172" s="304">
        <f t="shared" ca="1" si="59"/>
        <v>73.488209473050219</v>
      </c>
      <c r="U172" s="311">
        <f t="shared" ca="1" si="60"/>
        <v>0</v>
      </c>
      <c r="V172" s="306">
        <f t="shared" ca="1" si="61"/>
        <v>1.2055008442219697</v>
      </c>
      <c r="W172" s="304">
        <f t="shared" ca="1" si="62"/>
        <v>117.75874146750428</v>
      </c>
      <c r="Y172" s="314" t="str">
        <f t="shared" ca="1" si="80"/>
        <v/>
      </c>
      <c r="Z172" s="315" t="str">
        <f t="shared" ca="1" si="81"/>
        <v/>
      </c>
      <c r="AA172" s="316" t="str">
        <f t="shared" ca="1" si="82"/>
        <v/>
      </c>
      <c r="AC172" s="310" t="e">
        <f t="shared" ca="1" si="83"/>
        <v>#N/A</v>
      </c>
      <c r="AD172" s="323" t="e">
        <f t="shared" ca="1" si="84"/>
        <v>#N/A</v>
      </c>
      <c r="AE172" s="324">
        <f t="shared" ca="1" si="63"/>
        <v>160.45380790042185</v>
      </c>
      <c r="AG172" s="306">
        <f t="shared" ca="1" si="85"/>
        <v>101.32035518709966</v>
      </c>
      <c r="AH172" s="304">
        <f t="shared" ca="1" si="86"/>
        <v>111.07987259430472</v>
      </c>
    </row>
    <row r="173" spans="1:34" x14ac:dyDescent="0.2">
      <c r="A173" s="347">
        <f t="shared" ca="1" si="64"/>
        <v>0.01</v>
      </c>
      <c r="B173" s="304">
        <f t="shared" ca="1" si="65"/>
        <v>1.6900000000000013</v>
      </c>
      <c r="D173" s="306">
        <f t="shared" ca="1" si="66"/>
        <v>11.233687343681675</v>
      </c>
      <c r="E173" s="307">
        <f t="shared" ca="1" si="67"/>
        <v>100.43622232436302</v>
      </c>
      <c r="F173" s="304">
        <f t="shared" ca="1" si="68"/>
        <v>101.0625078163236</v>
      </c>
      <c r="G173" s="306">
        <f t="shared" ca="1" si="69"/>
        <v>19.309961072169539</v>
      </c>
      <c r="H173" s="307">
        <f t="shared" ca="1" si="70"/>
        <v>189.4078205679742</v>
      </c>
      <c r="I173" s="304">
        <f t="shared" ca="1" si="71"/>
        <v>190.38959291126869</v>
      </c>
      <c r="J173" s="306">
        <f t="shared" ca="1" si="72"/>
        <v>15.889993183267071</v>
      </c>
      <c r="K173" s="307">
        <f t="shared" ca="1" si="73"/>
        <v>162.34286429498536</v>
      </c>
      <c r="L173" s="304">
        <f t="shared" ca="1" si="58"/>
        <v>163.11866070705798</v>
      </c>
      <c r="M173" s="306">
        <f t="shared" ca="1" si="74"/>
        <v>1.4691982249444064</v>
      </c>
      <c r="N173" s="304">
        <f t="shared" ca="1" si="75"/>
        <v>84.178857557426639</v>
      </c>
      <c r="P173" s="310">
        <f t="shared" ca="1" si="76"/>
        <v>7</v>
      </c>
      <c r="Q173" s="304">
        <f t="shared" ca="1" si="77"/>
        <v>947.3805194805193</v>
      </c>
      <c r="R173" s="306">
        <f t="shared" ca="1" si="78"/>
        <v>0.47457346553710755</v>
      </c>
      <c r="S173" s="307">
        <f t="shared" ca="1" si="79"/>
        <v>7.4864071168278317</v>
      </c>
      <c r="T173" s="304">
        <f t="shared" ca="1" si="59"/>
        <v>73.441653816081029</v>
      </c>
      <c r="U173" s="311">
        <f t="shared" ca="1" si="60"/>
        <v>0</v>
      </c>
      <c r="V173" s="306">
        <f t="shared" ca="1" si="61"/>
        <v>1.2052731249934721</v>
      </c>
      <c r="W173" s="304">
        <f t="shared" ca="1" si="62"/>
        <v>118.99639549628722</v>
      </c>
      <c r="Y173" s="314" t="str">
        <f t="shared" ca="1" si="80"/>
        <v/>
      </c>
      <c r="Z173" s="315" t="str">
        <f t="shared" ca="1" si="81"/>
        <v/>
      </c>
      <c r="AA173" s="316" t="str">
        <f t="shared" ca="1" si="82"/>
        <v/>
      </c>
      <c r="AC173" s="310" t="e">
        <f t="shared" ca="1" si="83"/>
        <v>#N/A</v>
      </c>
      <c r="AD173" s="323" t="e">
        <f t="shared" ca="1" si="84"/>
        <v>#N/A</v>
      </c>
      <c r="AE173" s="324">
        <f t="shared" ca="1" si="63"/>
        <v>162.34286429498536</v>
      </c>
      <c r="AG173" s="306">
        <f t="shared" ca="1" si="85"/>
        <v>101.05761499090914</v>
      </c>
      <c r="AH173" s="304">
        <f t="shared" ca="1" si="86"/>
        <v>110.81708021838725</v>
      </c>
    </row>
    <row r="174" spans="1:34" x14ac:dyDescent="0.2">
      <c r="A174" s="347">
        <f t="shared" ca="1" si="64"/>
        <v>0.01</v>
      </c>
      <c r="B174" s="304">
        <f t="shared" ca="1" si="65"/>
        <v>1.7000000000000013</v>
      </c>
      <c r="D174" s="306">
        <f t="shared" ca="1" si="66"/>
        <v>11.21271032474754</v>
      </c>
      <c r="E174" s="307">
        <f t="shared" ca="1" si="67"/>
        <v>100.1733923710671</v>
      </c>
      <c r="F174" s="304">
        <f t="shared" ca="1" si="68"/>
        <v>100.79897525250176</v>
      </c>
      <c r="G174" s="306">
        <f t="shared" ca="1" si="69"/>
        <v>19.422088175417013</v>
      </c>
      <c r="H174" s="307">
        <f t="shared" ca="1" si="70"/>
        <v>190.40955449168487</v>
      </c>
      <c r="I174" s="304">
        <f t="shared" ca="1" si="71"/>
        <v>191.39753381591828</v>
      </c>
      <c r="J174" s="306">
        <f t="shared" ca="1" si="72"/>
        <v>16.083653429505006</v>
      </c>
      <c r="K174" s="307">
        <f t="shared" ca="1" si="73"/>
        <v>164.24195117028367</v>
      </c>
      <c r="L174" s="304">
        <f t="shared" ca="1" si="58"/>
        <v>165.02758082169862</v>
      </c>
      <c r="M174" s="306">
        <f t="shared" ca="1" si="74"/>
        <v>1.4691462408044742</v>
      </c>
      <c r="N174" s="304">
        <f t="shared" ca="1" si="75"/>
        <v>84.175879085606908</v>
      </c>
      <c r="P174" s="310">
        <f t="shared" ca="1" si="76"/>
        <v>7</v>
      </c>
      <c r="Q174" s="304">
        <f t="shared" ca="1" si="77"/>
        <v>946.12077922077901</v>
      </c>
      <c r="R174" s="306">
        <f t="shared" ca="1" si="78"/>
        <v>0.47394242100067419</v>
      </c>
      <c r="S174" s="307">
        <f t="shared" ca="1" si="79"/>
        <v>7.4816676926178252</v>
      </c>
      <c r="T174" s="304">
        <f t="shared" ca="1" si="59"/>
        <v>73.395160064580864</v>
      </c>
      <c r="U174" s="311">
        <f t="shared" ca="1" si="60"/>
        <v>0</v>
      </c>
      <c r="V174" s="306">
        <f t="shared" ca="1" si="61"/>
        <v>1.2050442396326315</v>
      </c>
      <c r="W174" s="304">
        <f t="shared" ca="1" si="62"/>
        <v>120.23684978550182</v>
      </c>
      <c r="Y174" s="314" t="str">
        <f t="shared" ca="1" si="80"/>
        <v/>
      </c>
      <c r="Z174" s="315" t="str">
        <f t="shared" ca="1" si="81"/>
        <v/>
      </c>
      <c r="AA174" s="316" t="str">
        <f t="shared" ca="1" si="82"/>
        <v/>
      </c>
      <c r="AC174" s="310" t="e">
        <f t="shared" ca="1" si="83"/>
        <v>#N/A</v>
      </c>
      <c r="AD174" s="323" t="e">
        <f t="shared" ca="1" si="84"/>
        <v>#N/A</v>
      </c>
      <c r="AE174" s="324">
        <f t="shared" ca="1" si="63"/>
        <v>164.24195117028367</v>
      </c>
      <c r="AG174" s="306">
        <f t="shared" ca="1" si="85"/>
        <v>100.7940646037955</v>
      </c>
      <c r="AH174" s="304">
        <f t="shared" ca="1" si="86"/>
        <v>110.55347787507547</v>
      </c>
    </row>
    <row r="175" spans="1:34" x14ac:dyDescent="0.2">
      <c r="A175" s="347">
        <f t="shared" ca="1" si="64"/>
        <v>0.01</v>
      </c>
      <c r="B175" s="304">
        <f t="shared" ca="1" si="65"/>
        <v>1.7100000000000013</v>
      </c>
      <c r="D175" s="306">
        <f t="shared" ca="1" si="66"/>
        <v>11.191597260481977</v>
      </c>
      <c r="E175" s="307">
        <f t="shared" ca="1" si="67"/>
        <v>99.909770045940448</v>
      </c>
      <c r="F175" s="304">
        <f t="shared" ca="1" si="68"/>
        <v>100.53464079546674</v>
      </c>
      <c r="G175" s="306">
        <f t="shared" ca="1" si="69"/>
        <v>19.534004148021832</v>
      </c>
      <c r="H175" s="307">
        <f t="shared" ca="1" si="70"/>
        <v>191.40865219214427</v>
      </c>
      <c r="I175" s="304">
        <f t="shared" ca="1" si="71"/>
        <v>192.4028311955627</v>
      </c>
      <c r="J175" s="306">
        <f t="shared" ca="1" si="72"/>
        <v>16.278433891122202</v>
      </c>
      <c r="K175" s="307">
        <f t="shared" ca="1" si="73"/>
        <v>166.15104220370281</v>
      </c>
      <c r="L175" s="304">
        <f t="shared" ca="1" si="58"/>
        <v>166.9465670067051</v>
      </c>
      <c r="M175" s="306">
        <f t="shared" ca="1" si="74"/>
        <v>1.4690945019113806</v>
      </c>
      <c r="N175" s="304">
        <f t="shared" ca="1" si="75"/>
        <v>84.172914665395965</v>
      </c>
      <c r="P175" s="310">
        <f t="shared" ca="1" si="76"/>
        <v>7</v>
      </c>
      <c r="Q175" s="304">
        <f t="shared" ca="1" si="77"/>
        <v>944.86103896103873</v>
      </c>
      <c r="R175" s="306">
        <f t="shared" ca="1" si="78"/>
        <v>0.47331137646424087</v>
      </c>
      <c r="S175" s="307">
        <f t="shared" ca="1" si="79"/>
        <v>7.4769345788531831</v>
      </c>
      <c r="T175" s="304">
        <f t="shared" ca="1" si="59"/>
        <v>73.348728218549724</v>
      </c>
      <c r="U175" s="311">
        <f t="shared" ca="1" si="60"/>
        <v>0</v>
      </c>
      <c r="V175" s="306">
        <f t="shared" ca="1" si="61"/>
        <v>1.2048141919820419</v>
      </c>
      <c r="W175" s="304">
        <f t="shared" ca="1" si="62"/>
        <v>121.48003669146846</v>
      </c>
      <c r="Y175" s="314" t="str">
        <f t="shared" ca="1" si="80"/>
        <v/>
      </c>
      <c r="Z175" s="315" t="str">
        <f t="shared" ca="1" si="81"/>
        <v/>
      </c>
      <c r="AA175" s="316" t="str">
        <f t="shared" ca="1" si="82"/>
        <v/>
      </c>
      <c r="AC175" s="310" t="e">
        <f t="shared" ca="1" si="83"/>
        <v>#N/A</v>
      </c>
      <c r="AD175" s="323" t="e">
        <f t="shared" ca="1" si="84"/>
        <v>#N/A</v>
      </c>
      <c r="AE175" s="324">
        <f t="shared" ca="1" si="63"/>
        <v>166.15104220370281</v>
      </c>
      <c r="AG175" s="306">
        <f t="shared" ca="1" si="85"/>
        <v>100.52971221215796</v>
      </c>
      <c r="AH175" s="304">
        <f t="shared" ca="1" si="86"/>
        <v>110.28907374792335</v>
      </c>
    </row>
    <row r="176" spans="1:34" x14ac:dyDescent="0.2">
      <c r="A176" s="347">
        <f t="shared" ca="1" si="64"/>
        <v>0.01</v>
      </c>
      <c r="B176" s="304">
        <f t="shared" ca="1" si="65"/>
        <v>1.7200000000000013</v>
      </c>
      <c r="D176" s="306">
        <f t="shared" ca="1" si="66"/>
        <v>11.17034940448567</v>
      </c>
      <c r="E176" s="307">
        <f t="shared" ca="1" si="67"/>
        <v>99.645363469063412</v>
      </c>
      <c r="F176" s="304">
        <f t="shared" ca="1" si="68"/>
        <v>100.26951264816265</v>
      </c>
      <c r="G176" s="306">
        <f t="shared" ca="1" si="69"/>
        <v>19.645707642066689</v>
      </c>
      <c r="H176" s="307">
        <f t="shared" ca="1" si="70"/>
        <v>192.4051058268349</v>
      </c>
      <c r="I176" s="304">
        <f t="shared" ca="1" si="71"/>
        <v>193.40547711218804</v>
      </c>
      <c r="J176" s="306">
        <f t="shared" ca="1" si="72"/>
        <v>16.474332450072644</v>
      </c>
      <c r="K176" s="307">
        <f t="shared" ca="1" si="73"/>
        <v>168.0701109937977</v>
      </c>
      <c r="L176" s="304">
        <f t="shared" ca="1" si="58"/>
        <v>168.87559278694772</v>
      </c>
      <c r="M176" s="306">
        <f t="shared" ca="1" si="74"/>
        <v>1.4690430051335484</v>
      </c>
      <c r="N176" s="304">
        <f t="shared" ca="1" si="75"/>
        <v>84.169964117367655</v>
      </c>
      <c r="P176" s="310">
        <f t="shared" ca="1" si="76"/>
        <v>7</v>
      </c>
      <c r="Q176" s="304">
        <f t="shared" ca="1" si="77"/>
        <v>943.60129870129845</v>
      </c>
      <c r="R176" s="306">
        <f t="shared" ca="1" si="78"/>
        <v>0.47268033192780751</v>
      </c>
      <c r="S176" s="307">
        <f t="shared" ca="1" si="79"/>
        <v>7.4722077755339047</v>
      </c>
      <c r="T176" s="304">
        <f t="shared" ca="1" si="59"/>
        <v>73.302358277987608</v>
      </c>
      <c r="U176" s="311">
        <f t="shared" ca="1" si="60"/>
        <v>0</v>
      </c>
      <c r="V176" s="306">
        <f t="shared" ca="1" si="61"/>
        <v>1.2045829858946027</v>
      </c>
      <c r="W176" s="304">
        <f t="shared" ca="1" si="62"/>
        <v>122.72588864573545</v>
      </c>
      <c r="Y176" s="314" t="str">
        <f t="shared" ca="1" si="80"/>
        <v/>
      </c>
      <c r="Z176" s="315" t="str">
        <f t="shared" ca="1" si="81"/>
        <v/>
      </c>
      <c r="AA176" s="316" t="str">
        <f t="shared" ca="1" si="82"/>
        <v/>
      </c>
      <c r="AC176" s="310" t="e">
        <f t="shared" ca="1" si="83"/>
        <v>#N/A</v>
      </c>
      <c r="AD176" s="323" t="e">
        <f t="shared" ca="1" si="84"/>
        <v>#N/A</v>
      </c>
      <c r="AE176" s="324">
        <f t="shared" ca="1" si="63"/>
        <v>168.0701109937977</v>
      </c>
      <c r="AG176" s="306">
        <f t="shared" ca="1" si="85"/>
        <v>100.26456601776211</v>
      </c>
      <c r="AH176" s="304">
        <f t="shared" ca="1" si="86"/>
        <v>110.02387603589993</v>
      </c>
    </row>
    <row r="177" spans="1:34" x14ac:dyDescent="0.2">
      <c r="A177" s="347">
        <f t="shared" ca="1" si="64"/>
        <v>0.01</v>
      </c>
      <c r="B177" s="304">
        <f t="shared" ca="1" si="65"/>
        <v>1.7300000000000013</v>
      </c>
      <c r="D177" s="306">
        <f t="shared" ca="1" si="66"/>
        <v>11.148968005219206</v>
      </c>
      <c r="E177" s="307">
        <f t="shared" ca="1" si="67"/>
        <v>99.380180775719623</v>
      </c>
      <c r="F177" s="304">
        <f t="shared" ca="1" si="68"/>
        <v>100.00359902821555</v>
      </c>
      <c r="G177" s="306">
        <f t="shared" ca="1" si="69"/>
        <v>19.757197322118881</v>
      </c>
      <c r="H177" s="307">
        <f t="shared" ca="1" si="70"/>
        <v>193.39890763459209</v>
      </c>
      <c r="I177" s="304">
        <f t="shared" ca="1" si="71"/>
        <v>194.40546370994468</v>
      </c>
      <c r="J177" s="306">
        <f t="shared" ca="1" si="72"/>
        <v>16.671346974893574</v>
      </c>
      <c r="K177" s="307">
        <f t="shared" ca="1" si="73"/>
        <v>169.99913106110483</v>
      </c>
      <c r="L177" s="304">
        <f t="shared" ca="1" si="58"/>
        <v>170.81463160832561</v>
      </c>
      <c r="M177" s="306">
        <f t="shared" ca="1" si="74"/>
        <v>1.4689917473941145</v>
      </c>
      <c r="N177" s="304">
        <f t="shared" ca="1" si="75"/>
        <v>84.167027265230715</v>
      </c>
      <c r="P177" s="310">
        <f t="shared" ca="1" si="76"/>
        <v>7</v>
      </c>
      <c r="Q177" s="304">
        <f t="shared" ca="1" si="77"/>
        <v>942.34155844155828</v>
      </c>
      <c r="R177" s="306">
        <f t="shared" ca="1" si="78"/>
        <v>0.47204928739137425</v>
      </c>
      <c r="S177" s="307">
        <f t="shared" ca="1" si="79"/>
        <v>7.4674872826599907</v>
      </c>
      <c r="T177" s="304">
        <f t="shared" ca="1" si="59"/>
        <v>73.256050242894517</v>
      </c>
      <c r="U177" s="311">
        <f t="shared" ca="1" si="60"/>
        <v>0</v>
      </c>
      <c r="V177" s="306">
        <f t="shared" ca="1" si="61"/>
        <v>1.2043506252333789</v>
      </c>
      <c r="W177" s="304">
        <f t="shared" ca="1" si="62"/>
        <v>123.97433816006749</v>
      </c>
      <c r="Y177" s="314" t="str">
        <f t="shared" ca="1" si="80"/>
        <v/>
      </c>
      <c r="Z177" s="315" t="str">
        <f t="shared" ca="1" si="81"/>
        <v/>
      </c>
      <c r="AA177" s="316" t="str">
        <f t="shared" ca="1" si="82"/>
        <v/>
      </c>
      <c r="AC177" s="310" t="e">
        <f t="shared" ca="1" si="83"/>
        <v>#N/A</v>
      </c>
      <c r="AD177" s="323" t="e">
        <f t="shared" ca="1" si="84"/>
        <v>#N/A</v>
      </c>
      <c r="AE177" s="324">
        <f t="shared" ca="1" si="63"/>
        <v>169.99913106110483</v>
      </c>
      <c r="AG177" s="306">
        <f t="shared" ca="1" si="85"/>
        <v>99.998634237048819</v>
      </c>
      <c r="AH177" s="304">
        <f t="shared" ca="1" si="86"/>
        <v>109.75789295269718</v>
      </c>
    </row>
    <row r="178" spans="1:34" x14ac:dyDescent="0.2">
      <c r="A178" s="347">
        <f t="shared" ca="1" si="64"/>
        <v>0.01</v>
      </c>
      <c r="B178" s="304">
        <f t="shared" ca="1" si="65"/>
        <v>1.7400000000000013</v>
      </c>
      <c r="D178" s="306">
        <f t="shared" ca="1" si="66"/>
        <v>11.127454306110595</v>
      </c>
      <c r="E178" s="307">
        <f t="shared" ca="1" si="67"/>
        <v>99.114230115692791</v>
      </c>
      <c r="F178" s="304">
        <f t="shared" ca="1" si="68"/>
        <v>99.736908167243101</v>
      </c>
      <c r="G178" s="306">
        <f t="shared" ca="1" si="69"/>
        <v>19.868471865179988</v>
      </c>
      <c r="H178" s="307">
        <f t="shared" ca="1" si="70"/>
        <v>194.39004993574903</v>
      </c>
      <c r="I178" s="304">
        <f t="shared" ca="1" si="71"/>
        <v>195.402783215287</v>
      </c>
      <c r="J178" s="306">
        <f t="shared" ca="1" si="72"/>
        <v>16.86947532083007</v>
      </c>
      <c r="K178" s="307">
        <f t="shared" ca="1" si="73"/>
        <v>171.93807584895654</v>
      </c>
      <c r="L178" s="304">
        <f t="shared" ca="1" si="58"/>
        <v>172.76365683858867</v>
      </c>
      <c r="M178" s="306">
        <f t="shared" ca="1" si="74"/>
        <v>1.4689407256696458</v>
      </c>
      <c r="N178" s="304">
        <f t="shared" ca="1" si="75"/>
        <v>84.164103935755179</v>
      </c>
      <c r="P178" s="310">
        <f t="shared" ca="1" si="76"/>
        <v>7</v>
      </c>
      <c r="Q178" s="304">
        <f t="shared" ca="1" si="77"/>
        <v>941.08181818181799</v>
      </c>
      <c r="R178" s="306">
        <f t="shared" ca="1" si="78"/>
        <v>0.47141824285494088</v>
      </c>
      <c r="S178" s="307">
        <f t="shared" ca="1" si="79"/>
        <v>7.4627731002314412</v>
      </c>
      <c r="T178" s="304">
        <f t="shared" ca="1" si="59"/>
        <v>73.209804113270437</v>
      </c>
      <c r="U178" s="311">
        <f t="shared" ca="1" si="60"/>
        <v>0</v>
      </c>
      <c r="V178" s="306">
        <f t="shared" ca="1" si="61"/>
        <v>1.2041171138714586</v>
      </c>
      <c r="W178" s="304">
        <f t="shared" ca="1" si="62"/>
        <v>125.22531783140352</v>
      </c>
      <c r="Y178" s="314" t="str">
        <f t="shared" ca="1" si="80"/>
        <v/>
      </c>
      <c r="Z178" s="315" t="str">
        <f t="shared" ca="1" si="81"/>
        <v/>
      </c>
      <c r="AA178" s="316" t="str">
        <f t="shared" ca="1" si="82"/>
        <v/>
      </c>
      <c r="AC178" s="310" t="e">
        <f t="shared" ca="1" si="83"/>
        <v>#N/A</v>
      </c>
      <c r="AD178" s="323" t="e">
        <f t="shared" ca="1" si="84"/>
        <v>#N/A</v>
      </c>
      <c r="AE178" s="324">
        <f t="shared" ca="1" si="63"/>
        <v>171.93807584895654</v>
      </c>
      <c r="AG178" s="306">
        <f t="shared" ca="1" si="85"/>
        <v>99.731925100443874</v>
      </c>
      <c r="AH178" s="304">
        <f t="shared" ca="1" si="86"/>
        <v>109.49113272603849</v>
      </c>
    </row>
    <row r="179" spans="1:34" x14ac:dyDescent="0.2">
      <c r="A179" s="347">
        <f t="shared" ca="1" si="64"/>
        <v>0.01</v>
      </c>
      <c r="B179" s="304">
        <f t="shared" ca="1" si="65"/>
        <v>1.7500000000000013</v>
      </c>
      <c r="D179" s="306">
        <f t="shared" ca="1" si="66"/>
        <v>11.105809545657344</v>
      </c>
      <c r="E179" s="307">
        <f t="shared" ca="1" si="67"/>
        <v>98.84751965256595</v>
      </c>
      <c r="F179" s="304">
        <f t="shared" ca="1" si="68"/>
        <v>99.4694483101662</v>
      </c>
      <c r="G179" s="306">
        <f t="shared" ca="1" si="69"/>
        <v>19.979529960636562</v>
      </c>
      <c r="H179" s="307">
        <f t="shared" ca="1" si="70"/>
        <v>195.37852513227469</v>
      </c>
      <c r="I179" s="304">
        <f t="shared" ca="1" si="71"/>
        <v>196.39742793710633</v>
      </c>
      <c r="J179" s="306">
        <f t="shared" ca="1" si="72"/>
        <v>17.068715329959151</v>
      </c>
      <c r="K179" s="307">
        <f t="shared" ca="1" si="73"/>
        <v>173.88691872429666</v>
      </c>
      <c r="L179" s="304">
        <f t="shared" ca="1" si="58"/>
        <v>174.72264176816162</v>
      </c>
      <c r="M179" s="306">
        <f t="shared" ca="1" si="74"/>
        <v>1.4688899369888908</v>
      </c>
      <c r="N179" s="304">
        <f t="shared" ca="1" si="75"/>
        <v>84.161193958700878</v>
      </c>
      <c r="P179" s="310">
        <f t="shared" ca="1" si="76"/>
        <v>7</v>
      </c>
      <c r="Q179" s="304">
        <f t="shared" ca="1" si="77"/>
        <v>939.82207792207771</v>
      </c>
      <c r="R179" s="306">
        <f t="shared" ca="1" si="78"/>
        <v>0.47078719831850757</v>
      </c>
      <c r="S179" s="307">
        <f t="shared" ca="1" si="79"/>
        <v>7.4580652282482562</v>
      </c>
      <c r="T179" s="304">
        <f t="shared" ca="1" si="59"/>
        <v>73.163619889115395</v>
      </c>
      <c r="U179" s="311">
        <f t="shared" ca="1" si="60"/>
        <v>0</v>
      </c>
      <c r="V179" s="306">
        <f t="shared" ca="1" si="61"/>
        <v>1.2038824556918124</v>
      </c>
      <c r="W179" s="304">
        <f t="shared" ca="1" si="62"/>
        <v>126.47876034678384</v>
      </c>
      <c r="Y179" s="314" t="str">
        <f t="shared" ca="1" si="80"/>
        <v/>
      </c>
      <c r="Z179" s="315" t="str">
        <f t="shared" ca="1" si="81"/>
        <v/>
      </c>
      <c r="AA179" s="316" t="str">
        <f t="shared" ca="1" si="82"/>
        <v/>
      </c>
      <c r="AC179" s="310" t="e">
        <f t="shared" ca="1" si="83"/>
        <v>#N/A</v>
      </c>
      <c r="AD179" s="323" t="e">
        <f t="shared" ca="1" si="84"/>
        <v>#N/A</v>
      </c>
      <c r="AE179" s="324">
        <f t="shared" ca="1" si="63"/>
        <v>173.88691872429666</v>
      </c>
      <c r="AG179" s="306">
        <f t="shared" ca="1" si="85"/>
        <v>99.464446851669294</v>
      </c>
      <c r="AH179" s="304">
        <f t="shared" ca="1" si="86"/>
        <v>109.22360359698892</v>
      </c>
    </row>
    <row r="180" spans="1:34" x14ac:dyDescent="0.2">
      <c r="A180" s="347">
        <f t="shared" ca="1" si="64"/>
        <v>0.01</v>
      </c>
      <c r="B180" s="304">
        <f t="shared" ca="1" si="65"/>
        <v>1.7600000000000013</v>
      </c>
      <c r="D180" s="306">
        <f t="shared" ca="1" si="66"/>
        <v>11.084034957523508</v>
      </c>
      <c r="E180" s="307">
        <f t="shared" ca="1" si="67"/>
        <v>98.580057563021981</v>
      </c>
      <c r="F180" s="304">
        <f t="shared" ca="1" si="68"/>
        <v>99.201227714521409</v>
      </c>
      <c r="G180" s="306">
        <f t="shared" ca="1" si="69"/>
        <v>20.090370310211796</v>
      </c>
      <c r="H180" s="307">
        <f t="shared" ca="1" si="70"/>
        <v>196.3643257079049</v>
      </c>
      <c r="I180" s="304">
        <f t="shared" ca="1" si="71"/>
        <v>197.38939026685705</v>
      </c>
      <c r="J180" s="306">
        <f t="shared" ca="1" si="72"/>
        <v>17.269064831313393</v>
      </c>
      <c r="K180" s="307">
        <f t="shared" ca="1" si="73"/>
        <v>175.84563297849755</v>
      </c>
      <c r="L180" s="304">
        <f t="shared" ca="1" si="58"/>
        <v>176.69155961096888</v>
      </c>
      <c r="M180" s="306">
        <f t="shared" ca="1" si="74"/>
        <v>1.4688393784315681</v>
      </c>
      <c r="N180" s="304">
        <f t="shared" ca="1" si="75"/>
        <v>84.158297166748014</v>
      </c>
      <c r="P180" s="310">
        <f t="shared" ca="1" si="76"/>
        <v>7</v>
      </c>
      <c r="Q180" s="304">
        <f t="shared" ca="1" si="77"/>
        <v>938.56233766233743</v>
      </c>
      <c r="R180" s="306">
        <f t="shared" ca="1" si="78"/>
        <v>0.4701561537820742</v>
      </c>
      <c r="S180" s="307">
        <f t="shared" ca="1" si="79"/>
        <v>7.4533636667104357</v>
      </c>
      <c r="T180" s="304">
        <f t="shared" ca="1" si="59"/>
        <v>73.117497570429379</v>
      </c>
      <c r="U180" s="311">
        <f t="shared" ca="1" si="60"/>
        <v>0</v>
      </c>
      <c r="V180" s="306">
        <f t="shared" ca="1" si="61"/>
        <v>1.2036466545871509</v>
      </c>
      <c r="W180" s="304">
        <f t="shared" ca="1" si="62"/>
        <v>127.73459848824581</v>
      </c>
      <c r="Y180" s="314" t="str">
        <f t="shared" ca="1" si="80"/>
        <v/>
      </c>
      <c r="Z180" s="315" t="str">
        <f t="shared" ca="1" si="81"/>
        <v/>
      </c>
      <c r="AA180" s="316" t="str">
        <f t="shared" ca="1" si="82"/>
        <v/>
      </c>
      <c r="AC180" s="310" t="e">
        <f t="shared" ca="1" si="83"/>
        <v>#N/A</v>
      </c>
      <c r="AD180" s="323" t="e">
        <f t="shared" ca="1" si="84"/>
        <v>#N/A</v>
      </c>
      <c r="AE180" s="324">
        <f t="shared" ca="1" si="63"/>
        <v>175.84563297849755</v>
      </c>
      <c r="AG180" s="306">
        <f t="shared" ca="1" si="85"/>
        <v>99.196207747055496</v>
      </c>
      <c r="AH180" s="304">
        <f t="shared" ca="1" si="86"/>
        <v>108.95531381926639</v>
      </c>
    </row>
    <row r="181" spans="1:34" x14ac:dyDescent="0.2">
      <c r="A181" s="347">
        <f t="shared" ca="1" si="64"/>
        <v>0.01</v>
      </c>
      <c r="B181" s="304">
        <f t="shared" ca="1" si="65"/>
        <v>1.7700000000000014</v>
      </c>
      <c r="D181" s="306">
        <f t="shared" ca="1" si="66"/>
        <v>11.062131770631805</v>
      </c>
      <c r="E181" s="307">
        <f t="shared" ca="1" si="67"/>
        <v>98.311852036146291</v>
      </c>
      <c r="F181" s="304">
        <f t="shared" ca="1" si="68"/>
        <v>98.932254649775075</v>
      </c>
      <c r="G181" s="306">
        <f t="shared" ca="1" si="69"/>
        <v>20.200991627918114</v>
      </c>
      <c r="H181" s="307">
        <f t="shared" ca="1" si="70"/>
        <v>197.34744422826637</v>
      </c>
      <c r="I181" s="304">
        <f t="shared" ca="1" si="71"/>
        <v>198.37866267867599</v>
      </c>
      <c r="J181" s="306">
        <f t="shared" ca="1" si="72"/>
        <v>17.470521641004044</v>
      </c>
      <c r="K181" s="307">
        <f t="shared" ca="1" si="73"/>
        <v>177.81419182817839</v>
      </c>
      <c r="L181" s="304">
        <f t="shared" ca="1" si="58"/>
        <v>178.67038350526093</v>
      </c>
      <c r="M181" s="306">
        <f t="shared" ca="1" si="74"/>
        <v>1.4687890471271914</v>
      </c>
      <c r="N181" s="304">
        <f t="shared" ca="1" si="75"/>
        <v>84.155413395429832</v>
      </c>
      <c r="P181" s="310">
        <f t="shared" ca="1" si="76"/>
        <v>7</v>
      </c>
      <c r="Q181" s="304">
        <f t="shared" ca="1" si="77"/>
        <v>937.30259740259714</v>
      </c>
      <c r="R181" s="306">
        <f t="shared" ca="1" si="78"/>
        <v>0.46952510924564089</v>
      </c>
      <c r="S181" s="307">
        <f t="shared" ca="1" si="79"/>
        <v>7.4486684156179797</v>
      </c>
      <c r="T181" s="304">
        <f t="shared" ca="1" si="59"/>
        <v>73.071437157212387</v>
      </c>
      <c r="U181" s="311">
        <f t="shared" ca="1" si="60"/>
        <v>0</v>
      </c>
      <c r="V181" s="306">
        <f t="shared" ca="1" si="61"/>
        <v>1.2034097144597817</v>
      </c>
      <c r="W181" s="304">
        <f t="shared" ca="1" si="62"/>
        <v>128.99276513768754</v>
      </c>
      <c r="Y181" s="314" t="str">
        <f t="shared" ca="1" si="80"/>
        <v/>
      </c>
      <c r="Z181" s="315" t="str">
        <f t="shared" ca="1" si="81"/>
        <v/>
      </c>
      <c r="AA181" s="316" t="str">
        <f t="shared" ca="1" si="82"/>
        <v/>
      </c>
      <c r="AC181" s="310" t="e">
        <f t="shared" ca="1" si="83"/>
        <v>#N/A</v>
      </c>
      <c r="AD181" s="323" t="e">
        <f t="shared" ca="1" si="84"/>
        <v>#N/A</v>
      </c>
      <c r="AE181" s="324">
        <f t="shared" ca="1" si="63"/>
        <v>177.81419182817839</v>
      </c>
      <c r="AG181" s="306">
        <f t="shared" ca="1" si="85"/>
        <v>98.927216054855379</v>
      </c>
      <c r="AH181" s="304">
        <f t="shared" ca="1" si="86"/>
        <v>108.68627165855462</v>
      </c>
    </row>
    <row r="182" spans="1:34" x14ac:dyDescent="0.2">
      <c r="A182" s="347">
        <f t="shared" ca="1" si="64"/>
        <v>0.01</v>
      </c>
      <c r="B182" s="304">
        <f t="shared" ca="1" si="65"/>
        <v>1.7800000000000014</v>
      </c>
      <c r="D182" s="306">
        <f t="shared" ca="1" si="66"/>
        <v>11.040101209250803</v>
      </c>
      <c r="E182" s="307">
        <f t="shared" ca="1" si="67"/>
        <v>98.042911272731274</v>
      </c>
      <c r="F182" s="304">
        <f t="shared" ca="1" si="68"/>
        <v>98.662537396638839</v>
      </c>
      <c r="G182" s="306">
        <f t="shared" ca="1" si="69"/>
        <v>20.311392640010624</v>
      </c>
      <c r="H182" s="307">
        <f t="shared" ca="1" si="70"/>
        <v>198.32787334099368</v>
      </c>
      <c r="I182" s="304">
        <f t="shared" ca="1" si="71"/>
        <v>199.36523772949462</v>
      </c>
      <c r="J182" s="306">
        <f t="shared" ca="1" si="72"/>
        <v>17.673083562343688</v>
      </c>
      <c r="K182" s="307">
        <f t="shared" ca="1" si="73"/>
        <v>179.79256841602469</v>
      </c>
      <c r="L182" s="304">
        <f t="shared" ca="1" si="58"/>
        <v>180.65908651444161</v>
      </c>
      <c r="M182" s="306">
        <f t="shared" ca="1" si="74"/>
        <v>1.4687389402539259</v>
      </c>
      <c r="N182" s="304">
        <f t="shared" ca="1" si="75"/>
        <v>84.152542483067137</v>
      </c>
      <c r="P182" s="310">
        <f t="shared" ca="1" si="76"/>
        <v>7</v>
      </c>
      <c r="Q182" s="304">
        <f t="shared" ca="1" si="77"/>
        <v>936.04285714285697</v>
      </c>
      <c r="R182" s="306">
        <f t="shared" ca="1" si="78"/>
        <v>0.46889406470920758</v>
      </c>
      <c r="S182" s="307">
        <f t="shared" ca="1" si="79"/>
        <v>7.4439794749708872</v>
      </c>
      <c r="T182" s="304">
        <f t="shared" ca="1" si="59"/>
        <v>73.025438649464405</v>
      </c>
      <c r="U182" s="311">
        <f t="shared" ca="1" si="60"/>
        <v>0</v>
      </c>
      <c r="V182" s="306">
        <f t="shared" ca="1" si="61"/>
        <v>1.2031716392214711</v>
      </c>
      <c r="W182" s="304">
        <f t="shared" ca="1" si="62"/>
        <v>130.25319328169923</v>
      </c>
      <c r="Y182" s="314" t="str">
        <f t="shared" ca="1" si="80"/>
        <v/>
      </c>
      <c r="Z182" s="315" t="str">
        <f t="shared" ca="1" si="81"/>
        <v/>
      </c>
      <c r="AA182" s="316" t="str">
        <f t="shared" ca="1" si="82"/>
        <v/>
      </c>
      <c r="AC182" s="310" t="e">
        <f t="shared" ca="1" si="83"/>
        <v>#N/A</v>
      </c>
      <c r="AD182" s="323" t="e">
        <f t="shared" ca="1" si="84"/>
        <v>#N/A</v>
      </c>
      <c r="AE182" s="324">
        <f t="shared" ca="1" si="63"/>
        <v>179.79256841602469</v>
      </c>
      <c r="AG182" s="306">
        <f t="shared" ca="1" si="85"/>
        <v>98.657480054559414</v>
      </c>
      <c r="AH182" s="304">
        <f t="shared" ca="1" si="86"/>
        <v>108.41648539181736</v>
      </c>
    </row>
    <row r="183" spans="1:34" x14ac:dyDescent="0.2">
      <c r="A183" s="347">
        <f t="shared" ca="1" si="64"/>
        <v>0.01</v>
      </c>
      <c r="B183" s="304">
        <f t="shared" ca="1" si="65"/>
        <v>1.7900000000000014</v>
      </c>
      <c r="D183" s="306">
        <f t="shared" ca="1" si="66"/>
        <v>11.017944493077778</v>
      </c>
      <c r="E183" s="307">
        <f t="shared" ca="1" si="67"/>
        <v>97.773243484582835</v>
      </c>
      <c r="F183" s="304">
        <f t="shared" ca="1" si="68"/>
        <v>98.39208424638673</v>
      </c>
      <c r="G183" s="306">
        <f t="shared" ca="1" si="69"/>
        <v>20.421572084941403</v>
      </c>
      <c r="H183" s="307">
        <f t="shared" ca="1" si="70"/>
        <v>199.3056057758395</v>
      </c>
      <c r="I183" s="304">
        <f t="shared" ca="1" si="71"/>
        <v>200.34910805914461</v>
      </c>
      <c r="J183" s="306">
        <f t="shared" ca="1" si="72"/>
        <v>17.876748385968448</v>
      </c>
      <c r="K183" s="307">
        <f t="shared" ca="1" si="73"/>
        <v>181.78073581160885</v>
      </c>
      <c r="L183" s="304">
        <f t="shared" ca="1" si="58"/>
        <v>182.65764162789674</v>
      </c>
      <c r="M183" s="306">
        <f t="shared" ca="1" si="74"/>
        <v>1.46868905503748</v>
      </c>
      <c r="N183" s="304">
        <f t="shared" ca="1" si="75"/>
        <v>84.149684270704682</v>
      </c>
      <c r="P183" s="310">
        <f t="shared" ca="1" si="76"/>
        <v>7</v>
      </c>
      <c r="Q183" s="304">
        <f t="shared" ca="1" si="77"/>
        <v>934.78311688311669</v>
      </c>
      <c r="R183" s="306">
        <f t="shared" ca="1" si="78"/>
        <v>0.46826302017277427</v>
      </c>
      <c r="S183" s="307">
        <f t="shared" ca="1" si="79"/>
        <v>7.4392968447691592</v>
      </c>
      <c r="T183" s="304">
        <f t="shared" ca="1" si="59"/>
        <v>72.979502047185449</v>
      </c>
      <c r="U183" s="311">
        <f t="shared" ca="1" si="60"/>
        <v>0</v>
      </c>
      <c r="V183" s="306">
        <f t="shared" ca="1" si="61"/>
        <v>1.2029324327932984</v>
      </c>
      <c r="W183" s="304">
        <f t="shared" ca="1" si="62"/>
        <v>131.51581601636099</v>
      </c>
      <c r="Y183" s="314" t="str">
        <f t="shared" ca="1" si="80"/>
        <v/>
      </c>
      <c r="Z183" s="315" t="str">
        <f t="shared" ca="1" si="81"/>
        <v/>
      </c>
      <c r="AA183" s="316" t="str">
        <f t="shared" ca="1" si="82"/>
        <v/>
      </c>
      <c r="AC183" s="310" t="e">
        <f t="shared" ca="1" si="83"/>
        <v>#N/A</v>
      </c>
      <c r="AD183" s="323" t="e">
        <f t="shared" ca="1" si="84"/>
        <v>#N/A</v>
      </c>
      <c r="AE183" s="324">
        <f t="shared" ca="1" si="63"/>
        <v>181.78073581160885</v>
      </c>
      <c r="AG183" s="306">
        <f t="shared" ca="1" si="85"/>
        <v>98.38700803621262</v>
      </c>
      <c r="AH183" s="304">
        <f t="shared" ca="1" si="86"/>
        <v>108.14596330661436</v>
      </c>
    </row>
    <row r="184" spans="1:34" x14ac:dyDescent="0.2">
      <c r="A184" s="347">
        <f t="shared" ca="1" si="64"/>
        <v>0.01</v>
      </c>
      <c r="B184" s="304">
        <f t="shared" ca="1" si="65"/>
        <v>1.8000000000000014</v>
      </c>
      <c r="D184" s="306">
        <f t="shared" ca="1" si="66"/>
        <v>10.995662837316905</v>
      </c>
      <c r="E184" s="307">
        <f t="shared" ca="1" si="67"/>
        <v>97.502856893829147</v>
      </c>
      <c r="F184" s="304">
        <f t="shared" ca="1" si="68"/>
        <v>98.120903500174109</v>
      </c>
      <c r="G184" s="306">
        <f t="shared" ca="1" si="69"/>
        <v>20.531528713314572</v>
      </c>
      <c r="H184" s="307">
        <f t="shared" ca="1" si="70"/>
        <v>200.28063434477778</v>
      </c>
      <c r="I184" s="304">
        <f t="shared" ca="1" si="71"/>
        <v>201.33026639045664</v>
      </c>
      <c r="J184" s="306">
        <f t="shared" ca="1" si="72"/>
        <v>18.081513889959727</v>
      </c>
      <c r="K184" s="307">
        <f t="shared" ca="1" si="73"/>
        <v>183.77866701221194</v>
      </c>
      <c r="L184" s="304">
        <f t="shared" ca="1" si="58"/>
        <v>184.66602176182354</v>
      </c>
      <c r="M184" s="306">
        <f t="shared" ca="1" si="74"/>
        <v>1.4686393887500258</v>
      </c>
      <c r="N184" s="304">
        <f t="shared" ca="1" si="75"/>
        <v>84.146838602049471</v>
      </c>
      <c r="P184" s="310">
        <f t="shared" ca="1" si="76"/>
        <v>7</v>
      </c>
      <c r="Q184" s="304">
        <f t="shared" ca="1" si="77"/>
        <v>933.52337662337641</v>
      </c>
      <c r="R184" s="306">
        <f t="shared" ca="1" si="78"/>
        <v>0.4676319756363409</v>
      </c>
      <c r="S184" s="307">
        <f t="shared" ca="1" si="79"/>
        <v>7.4346205250127957</v>
      </c>
      <c r="T184" s="304">
        <f t="shared" ca="1" si="59"/>
        <v>72.933627350375531</v>
      </c>
      <c r="U184" s="311">
        <f t="shared" ca="1" si="60"/>
        <v>0</v>
      </c>
      <c r="V184" s="306">
        <f t="shared" ca="1" si="61"/>
        <v>1.2026920991055157</v>
      </c>
      <c r="W184" s="304">
        <f t="shared" ca="1" si="62"/>
        <v>132.78056655200726</v>
      </c>
      <c r="Y184" s="314" t="str">
        <f t="shared" ca="1" si="80"/>
        <v/>
      </c>
      <c r="Z184" s="315" t="str">
        <f t="shared" ca="1" si="81"/>
        <v/>
      </c>
      <c r="AA184" s="316" t="str">
        <f t="shared" ca="1" si="82"/>
        <v/>
      </c>
      <c r="AC184" s="310" t="e">
        <f t="shared" ca="1" si="83"/>
        <v>#N/A</v>
      </c>
      <c r="AD184" s="323" t="e">
        <f t="shared" ca="1" si="84"/>
        <v>#N/A</v>
      </c>
      <c r="AE184" s="324">
        <f t="shared" ca="1" si="63"/>
        <v>183.77866701221194</v>
      </c>
      <c r="AG184" s="306">
        <f t="shared" ca="1" si="85"/>
        <v>98.115808299733303</v>
      </c>
      <c r="AH184" s="304">
        <f t="shared" ca="1" si="86"/>
        <v>107.87471370041918</v>
      </c>
    </row>
    <row r="185" spans="1:34" x14ac:dyDescent="0.2">
      <c r="A185" s="347">
        <f t="shared" ca="1" si="64"/>
        <v>0.01</v>
      </c>
      <c r="B185" s="304">
        <f t="shared" ca="1" si="65"/>
        <v>1.8100000000000014</v>
      </c>
      <c r="D185" s="306">
        <f t="shared" ca="1" si="66"/>
        <v>10.973257452753488</v>
      </c>
      <c r="E185" s="307">
        <f t="shared" ca="1" si="67"/>
        <v>97.231759732231367</v>
      </c>
      <c r="F185" s="304">
        <f t="shared" ca="1" si="68"/>
        <v>97.849003468358219</v>
      </c>
      <c r="G185" s="306">
        <f t="shared" ca="1" si="69"/>
        <v>20.641261287842106</v>
      </c>
      <c r="H185" s="307">
        <f t="shared" ca="1" si="70"/>
        <v>201.25295194210008</v>
      </c>
      <c r="I185" s="304">
        <f t="shared" ca="1" si="71"/>
        <v>202.30870552935238</v>
      </c>
      <c r="J185" s="306">
        <f t="shared" ca="1" si="72"/>
        <v>18.287377839965512</v>
      </c>
      <c r="K185" s="307">
        <f t="shared" ca="1" si="73"/>
        <v>185.78633494364632</v>
      </c>
      <c r="L185" s="304">
        <f t="shared" ca="1" si="58"/>
        <v>186.68419976006112</v>
      </c>
      <c r="M185" s="306">
        <f t="shared" ca="1" si="74"/>
        <v>1.4685899387091528</v>
      </c>
      <c r="N185" s="304">
        <f t="shared" ca="1" si="75"/>
        <v>84.144005323410695</v>
      </c>
      <c r="P185" s="310">
        <f t="shared" ca="1" si="76"/>
        <v>7</v>
      </c>
      <c r="Q185" s="304">
        <f t="shared" ca="1" si="77"/>
        <v>932.26363636363612</v>
      </c>
      <c r="R185" s="306">
        <f t="shared" ca="1" si="78"/>
        <v>0.46700093109990753</v>
      </c>
      <c r="S185" s="307">
        <f t="shared" ca="1" si="79"/>
        <v>7.4299505157017967</v>
      </c>
      <c r="T185" s="304">
        <f t="shared" ca="1" si="59"/>
        <v>72.887814559034624</v>
      </c>
      <c r="U185" s="311">
        <f t="shared" ca="1" si="60"/>
        <v>0</v>
      </c>
      <c r="V185" s="306">
        <f t="shared" ca="1" si="61"/>
        <v>1.2024506420974064</v>
      </c>
      <c r="W185" s="304">
        <f t="shared" ca="1" si="62"/>
        <v>134.04737821795749</v>
      </c>
      <c r="Y185" s="314" t="str">
        <f t="shared" ca="1" si="80"/>
        <v/>
      </c>
      <c r="Z185" s="315" t="str">
        <f t="shared" ca="1" si="81"/>
        <v/>
      </c>
      <c r="AA185" s="316" t="str">
        <f t="shared" ca="1" si="82"/>
        <v/>
      </c>
      <c r="AC185" s="310" t="e">
        <f t="shared" ca="1" si="83"/>
        <v>#N/A</v>
      </c>
      <c r="AD185" s="323" t="e">
        <f t="shared" ca="1" si="84"/>
        <v>#N/A</v>
      </c>
      <c r="AE185" s="324">
        <f t="shared" ca="1" si="63"/>
        <v>185.78633494364632</v>
      </c>
      <c r="AG185" s="306">
        <f t="shared" ca="1" si="85"/>
        <v>97.843889154233381</v>
      </c>
      <c r="AH185" s="304">
        <f t="shared" ca="1" si="86"/>
        <v>107.60274487993863</v>
      </c>
    </row>
    <row r="186" spans="1:34" x14ac:dyDescent="0.2">
      <c r="A186" s="347">
        <f t="shared" ca="1" si="64"/>
        <v>0.01</v>
      </c>
      <c r="B186" s="304">
        <f t="shared" ca="1" si="65"/>
        <v>1.8200000000000014</v>
      </c>
      <c r="D186" s="306">
        <f t="shared" ca="1" si="66"/>
        <v>10.950729545823767</v>
      </c>
      <c r="E186" s="307">
        <f t="shared" ca="1" si="67"/>
        <v>96.959960240496855</v>
      </c>
      <c r="F186" s="304">
        <f t="shared" ca="1" si="68"/>
        <v>97.576392469820846</v>
      </c>
      <c r="G186" s="306">
        <f t="shared" ca="1" si="69"/>
        <v>20.750768583300342</v>
      </c>
      <c r="H186" s="307">
        <f t="shared" ca="1" si="70"/>
        <v>202.22255154450505</v>
      </c>
      <c r="I186" s="304">
        <f t="shared" ca="1" si="71"/>
        <v>203.28441836492951</v>
      </c>
      <c r="J186" s="306">
        <f t="shared" ca="1" si="72"/>
        <v>18.494337989321224</v>
      </c>
      <c r="K186" s="307">
        <f t="shared" ca="1" si="73"/>
        <v>187.80371246107936</v>
      </c>
      <c r="L186" s="304">
        <f t="shared" ca="1" si="58"/>
        <v>188.71214839492188</v>
      </c>
      <c r="M186" s="306">
        <f t="shared" ca="1" si="74"/>
        <v>1.4685407022768486</v>
      </c>
      <c r="N186" s="304">
        <f t="shared" ca="1" si="75"/>
        <v>84.141184283641394</v>
      </c>
      <c r="P186" s="310">
        <f t="shared" ca="1" si="76"/>
        <v>7</v>
      </c>
      <c r="Q186" s="304">
        <f t="shared" ca="1" si="77"/>
        <v>931.00389610389584</v>
      </c>
      <c r="R186" s="306">
        <f t="shared" ca="1" si="78"/>
        <v>0.46636988656347422</v>
      </c>
      <c r="S186" s="307">
        <f t="shared" ca="1" si="79"/>
        <v>7.4252868168361621</v>
      </c>
      <c r="T186" s="304">
        <f t="shared" ca="1" si="59"/>
        <v>72.842063673162755</v>
      </c>
      <c r="U186" s="311">
        <f t="shared" ca="1" si="60"/>
        <v>0</v>
      </c>
      <c r="V186" s="306">
        <f t="shared" ca="1" si="61"/>
        <v>1.2022080657171423</v>
      </c>
      <c r="W186" s="304">
        <f t="shared" ca="1" si="62"/>
        <v>135.31618446721126</v>
      </c>
      <c r="Y186" s="314" t="str">
        <f t="shared" ca="1" si="80"/>
        <v/>
      </c>
      <c r="Z186" s="315" t="str">
        <f t="shared" ca="1" si="81"/>
        <v/>
      </c>
      <c r="AA186" s="316" t="str">
        <f t="shared" ca="1" si="82"/>
        <v/>
      </c>
      <c r="AC186" s="310" t="e">
        <f t="shared" ca="1" si="83"/>
        <v>#N/A</v>
      </c>
      <c r="AD186" s="323" t="e">
        <f t="shared" ca="1" si="84"/>
        <v>#N/A</v>
      </c>
      <c r="AE186" s="324">
        <f t="shared" ca="1" si="63"/>
        <v>187.80371246107936</v>
      </c>
      <c r="AG186" s="306">
        <f t="shared" ca="1" si="85"/>
        <v>97.571258917340742</v>
      </c>
      <c r="AH186" s="304">
        <f t="shared" ca="1" si="86"/>
        <v>107.33006516043422</v>
      </c>
    </row>
    <row r="187" spans="1:34" x14ac:dyDescent="0.2">
      <c r="A187" s="347">
        <f t="shared" ca="1" si="64"/>
        <v>0.01</v>
      </c>
      <c r="B187" s="304">
        <f t="shared" ca="1" si="65"/>
        <v>1.8300000000000014</v>
      </c>
      <c r="D187" s="306">
        <f t="shared" ca="1" si="66"/>
        <v>10.928080318681168</v>
      </c>
      <c r="E187" s="307">
        <f t="shared" ca="1" si="67"/>
        <v>96.687466667594421</v>
      </c>
      <c r="F187" s="304">
        <f t="shared" ca="1" si="68"/>
        <v>97.303078831292524</v>
      </c>
      <c r="G187" s="306">
        <f t="shared" ca="1" si="69"/>
        <v>20.860049386487155</v>
      </c>
      <c r="H187" s="307">
        <f t="shared" ca="1" si="70"/>
        <v>203.189426211181</v>
      </c>
      <c r="I187" s="304">
        <f t="shared" ca="1" si="71"/>
        <v>204.25739786954023</v>
      </c>
      <c r="J187" s="306">
        <f t="shared" ca="1" si="72"/>
        <v>18.70239207917016</v>
      </c>
      <c r="K187" s="307">
        <f t="shared" ca="1" si="73"/>
        <v>189.8307723498578</v>
      </c>
      <c r="L187" s="304">
        <f t="shared" ca="1" si="58"/>
        <v>190.74984036802374</v>
      </c>
      <c r="M187" s="306">
        <f t="shared" ca="1" si="74"/>
        <v>1.4684916768585108</v>
      </c>
      <c r="N187" s="304">
        <f t="shared" ca="1" si="75"/>
        <v>84.138375334081772</v>
      </c>
      <c r="P187" s="310">
        <f t="shared" ca="1" si="76"/>
        <v>7</v>
      </c>
      <c r="Q187" s="304">
        <f t="shared" ca="1" si="77"/>
        <v>929.74415584415556</v>
      </c>
      <c r="R187" s="306">
        <f t="shared" ca="1" si="78"/>
        <v>0.46573884202704086</v>
      </c>
      <c r="S187" s="307">
        <f t="shared" ca="1" si="79"/>
        <v>7.420629428415892</v>
      </c>
      <c r="T187" s="304">
        <f t="shared" ca="1" si="59"/>
        <v>72.796374692759898</v>
      </c>
      <c r="U187" s="311">
        <f t="shared" ca="1" si="60"/>
        <v>0</v>
      </c>
      <c r="V187" s="306">
        <f t="shared" ca="1" si="61"/>
        <v>1.2019643739216432</v>
      </c>
      <c r="W187" s="304">
        <f t="shared" ca="1" si="62"/>
        <v>136.5869188811092</v>
      </c>
      <c r="Y187" s="314" t="str">
        <f t="shared" ca="1" si="80"/>
        <v/>
      </c>
      <c r="Z187" s="315" t="str">
        <f t="shared" ca="1" si="81"/>
        <v/>
      </c>
      <c r="AA187" s="316" t="str">
        <f t="shared" ca="1" si="82"/>
        <v/>
      </c>
      <c r="AC187" s="310" t="e">
        <f t="shared" ca="1" si="83"/>
        <v>#N/A</v>
      </c>
      <c r="AD187" s="323" t="e">
        <f t="shared" ca="1" si="84"/>
        <v>#N/A</v>
      </c>
      <c r="AE187" s="324">
        <f t="shared" ca="1" si="63"/>
        <v>189.8307723498578</v>
      </c>
      <c r="AG187" s="306">
        <f t="shared" ca="1" si="85"/>
        <v>97.297925914523447</v>
      </c>
      <c r="AH187" s="304">
        <f t="shared" ca="1" si="86"/>
        <v>107.05668286504553</v>
      </c>
    </row>
    <row r="188" spans="1:34" x14ac:dyDescent="0.2">
      <c r="A188" s="347">
        <f t="shared" ca="1" si="64"/>
        <v>0.01</v>
      </c>
      <c r="B188" s="304">
        <f t="shared" ca="1" si="65"/>
        <v>1.8400000000000014</v>
      </c>
      <c r="D188" s="306">
        <f t="shared" ca="1" si="66"/>
        <v>10.905310969258393</v>
      </c>
      <c r="E188" s="307">
        <f t="shared" ca="1" si="67"/>
        <v>96.414287270072506</v>
      </c>
      <c r="F188" s="304">
        <f t="shared" ca="1" si="68"/>
        <v>97.029070886679591</v>
      </c>
      <c r="G188" s="306">
        <f t="shared" ca="1" si="69"/>
        <v>20.96910249617974</v>
      </c>
      <c r="H188" s="307">
        <f t="shared" ca="1" si="70"/>
        <v>204.15356908388173</v>
      </c>
      <c r="I188" s="304">
        <f t="shared" ca="1" si="71"/>
        <v>205.22763709886289</v>
      </c>
      <c r="J188" s="306">
        <f t="shared" ca="1" si="72"/>
        <v>18.911537838583495</v>
      </c>
      <c r="K188" s="307">
        <f t="shared" ca="1" si="73"/>
        <v>191.86748732633311</v>
      </c>
      <c r="L188" s="304">
        <f t="shared" ca="1" si="58"/>
        <v>192.79724831112287</v>
      </c>
      <c r="M188" s="306">
        <f t="shared" ca="1" si="74"/>
        <v>1.4684428599019832</v>
      </c>
      <c r="N188" s="304">
        <f t="shared" ca="1" si="75"/>
        <v>84.135578328504067</v>
      </c>
      <c r="P188" s="310">
        <f t="shared" ca="1" si="76"/>
        <v>7</v>
      </c>
      <c r="Q188" s="304">
        <f t="shared" ca="1" si="77"/>
        <v>928.48441558441539</v>
      </c>
      <c r="R188" s="306">
        <f t="shared" ca="1" si="78"/>
        <v>0.4651077974906076</v>
      </c>
      <c r="S188" s="307">
        <f t="shared" ca="1" si="79"/>
        <v>7.4159783504409855</v>
      </c>
      <c r="T188" s="304">
        <f t="shared" ca="1" si="59"/>
        <v>72.750747617826065</v>
      </c>
      <c r="U188" s="311">
        <f t="shared" ca="1" si="60"/>
        <v>0</v>
      </c>
      <c r="V188" s="306">
        <f t="shared" ca="1" si="61"/>
        <v>1.2017195706764336</v>
      </c>
      <c r="W188" s="304">
        <f t="shared" ca="1" si="62"/>
        <v>137.8595151739575</v>
      </c>
      <c r="Y188" s="314" t="str">
        <f t="shared" ca="1" si="80"/>
        <v/>
      </c>
      <c r="Z188" s="315" t="str">
        <f t="shared" ca="1" si="81"/>
        <v/>
      </c>
      <c r="AA188" s="316" t="str">
        <f t="shared" ca="1" si="82"/>
        <v/>
      </c>
      <c r="AC188" s="310" t="e">
        <f t="shared" ca="1" si="83"/>
        <v>#N/A</v>
      </c>
      <c r="AD188" s="323" t="e">
        <f t="shared" ca="1" si="84"/>
        <v>#N/A</v>
      </c>
      <c r="AE188" s="324">
        <f t="shared" ca="1" si="63"/>
        <v>191.86748732633311</v>
      </c>
      <c r="AG188" s="306">
        <f t="shared" ca="1" si="85"/>
        <v>97.023898478416214</v>
      </c>
      <c r="AH188" s="304">
        <f t="shared" ca="1" si="86"/>
        <v>106.7826063241159</v>
      </c>
    </row>
    <row r="189" spans="1:34" x14ac:dyDescent="0.2">
      <c r="A189" s="347">
        <f t="shared" ca="1" si="64"/>
        <v>0.01</v>
      </c>
      <c r="B189" s="304">
        <f t="shared" ca="1" si="65"/>
        <v>1.8500000000000014</v>
      </c>
      <c r="D189" s="306">
        <f t="shared" ca="1" si="66"/>
        <v>10.882422691326157</v>
      </c>
      <c r="E189" s="307">
        <f t="shared" ca="1" si="67"/>
        <v>96.140430311379092</v>
      </c>
      <c r="F189" s="304">
        <f t="shared" ca="1" si="68"/>
        <v>96.754376976392294</v>
      </c>
      <c r="G189" s="306">
        <f t="shared" ca="1" si="69"/>
        <v>21.077926723093</v>
      </c>
      <c r="H189" s="307">
        <f t="shared" ca="1" si="70"/>
        <v>205.11497338699553</v>
      </c>
      <c r="I189" s="304">
        <f t="shared" ca="1" si="71"/>
        <v>206.195129191967</v>
      </c>
      <c r="J189" s="306">
        <f t="shared" ca="1" si="72"/>
        <v>19.121772984679858</v>
      </c>
      <c r="K189" s="307">
        <f t="shared" ca="1" si="73"/>
        <v>193.91383003868748</v>
      </c>
      <c r="L189" s="304">
        <f t="shared" ca="1" si="58"/>
        <v>194.85434478694748</v>
      </c>
      <c r="M189" s="306">
        <f t="shared" ca="1" si="74"/>
        <v>1.4683942488966215</v>
      </c>
      <c r="N189" s="304">
        <f t="shared" ca="1" si="75"/>
        <v>84.132793123058946</v>
      </c>
      <c r="P189" s="310">
        <f t="shared" ca="1" si="76"/>
        <v>7</v>
      </c>
      <c r="Q189" s="304">
        <f t="shared" ca="1" si="77"/>
        <v>927.2246753246751</v>
      </c>
      <c r="R189" s="306">
        <f t="shared" ca="1" si="78"/>
        <v>0.46447675295417423</v>
      </c>
      <c r="S189" s="307">
        <f t="shared" ca="1" si="79"/>
        <v>7.4113335829114435</v>
      </c>
      <c r="T189" s="304">
        <f t="shared" ca="1" si="59"/>
        <v>72.705182448361271</v>
      </c>
      <c r="U189" s="311">
        <f t="shared" ca="1" si="60"/>
        <v>0</v>
      </c>
      <c r="V189" s="306">
        <f t="shared" ca="1" si="61"/>
        <v>1.2014736599555018</v>
      </c>
      <c r="W189" s="304">
        <f t="shared" ca="1" si="62"/>
        <v>139.13390719761671</v>
      </c>
      <c r="Y189" s="314" t="str">
        <f t="shared" ca="1" si="80"/>
        <v/>
      </c>
      <c r="Z189" s="315" t="str">
        <f t="shared" ca="1" si="81"/>
        <v/>
      </c>
      <c r="AA189" s="316" t="str">
        <f t="shared" ca="1" si="82"/>
        <v/>
      </c>
      <c r="AC189" s="310" t="e">
        <f t="shared" ca="1" si="83"/>
        <v>#N/A</v>
      </c>
      <c r="AD189" s="323" t="e">
        <f t="shared" ca="1" si="84"/>
        <v>#N/A</v>
      </c>
      <c r="AE189" s="324">
        <f t="shared" ca="1" si="63"/>
        <v>193.91383003868748</v>
      </c>
      <c r="AG189" s="306">
        <f t="shared" ca="1" si="85"/>
        <v>96.749184948148653</v>
      </c>
      <c r="AH189" s="304">
        <f t="shared" ca="1" si="86"/>
        <v>106.50784387451982</v>
      </c>
    </row>
    <row r="190" spans="1:34" x14ac:dyDescent="0.2">
      <c r="A190" s="347">
        <f t="shared" ca="1" si="64"/>
        <v>0.01</v>
      </c>
      <c r="B190" s="304">
        <f t="shared" ca="1" si="65"/>
        <v>1.8600000000000014</v>
      </c>
      <c r="D190" s="306">
        <f t="shared" ca="1" si="66"/>
        <v>10.859416674548262</v>
      </c>
      <c r="E190" s="307">
        <f t="shared" ca="1" si="67"/>
        <v>95.865904061184935</v>
      </c>
      <c r="F190" s="304">
        <f t="shared" ca="1" si="68"/>
        <v>96.479005446676183</v>
      </c>
      <c r="G190" s="306">
        <f t="shared" ca="1" si="69"/>
        <v>21.186520889838484</v>
      </c>
      <c r="H190" s="307">
        <f t="shared" ca="1" si="70"/>
        <v>206.07363242760738</v>
      </c>
      <c r="I190" s="304">
        <f t="shared" ca="1" si="71"/>
        <v>207.1598673713714</v>
      </c>
      <c r="J190" s="306">
        <f t="shared" ca="1" si="72"/>
        <v>19.333095222744515</v>
      </c>
      <c r="K190" s="307">
        <f t="shared" ca="1" si="73"/>
        <v>195.96977306776049</v>
      </c>
      <c r="L190" s="304">
        <f t="shared" ca="1" si="58"/>
        <v>196.921102290032</v>
      </c>
      <c r="M190" s="306">
        <f t="shared" ca="1" si="74"/>
        <v>1.4683458413723829</v>
      </c>
      <c r="N190" s="304">
        <f t="shared" ca="1" si="75"/>
        <v>84.130019576223404</v>
      </c>
      <c r="P190" s="310">
        <f t="shared" ca="1" si="76"/>
        <v>7</v>
      </c>
      <c r="Q190" s="304">
        <f t="shared" ca="1" si="77"/>
        <v>925.96493506493482</v>
      </c>
      <c r="R190" s="306">
        <f t="shared" ca="1" si="78"/>
        <v>0.46384570841774092</v>
      </c>
      <c r="S190" s="307">
        <f t="shared" ca="1" si="79"/>
        <v>7.406695125827266</v>
      </c>
      <c r="T190" s="304">
        <f t="shared" ca="1" si="59"/>
        <v>72.659679184365487</v>
      </c>
      <c r="U190" s="311">
        <f t="shared" ca="1" si="60"/>
        <v>0</v>
      </c>
      <c r="V190" s="306">
        <f t="shared" ca="1" si="61"/>
        <v>1.2012266457411576</v>
      </c>
      <c r="W190" s="304">
        <f t="shared" ca="1" si="62"/>
        <v>140.41002894605347</v>
      </c>
      <c r="Y190" s="314" t="str">
        <f t="shared" ca="1" si="80"/>
        <v/>
      </c>
      <c r="Z190" s="315" t="str">
        <f t="shared" ca="1" si="81"/>
        <v/>
      </c>
      <c r="AA190" s="316" t="str">
        <f t="shared" ca="1" si="82"/>
        <v/>
      </c>
      <c r="AC190" s="310" t="e">
        <f t="shared" ca="1" si="83"/>
        <v>#N/A</v>
      </c>
      <c r="AD190" s="323" t="e">
        <f t="shared" ca="1" si="84"/>
        <v>#N/A</v>
      </c>
      <c r="AE190" s="324">
        <f t="shared" ca="1" si="63"/>
        <v>195.96977306776049</v>
      </c>
      <c r="AG190" s="306">
        <f t="shared" ca="1" si="85"/>
        <v>96.473793668676294</v>
      </c>
      <c r="AH190" s="304">
        <f t="shared" ca="1" si="86"/>
        <v>106.23240385899314</v>
      </c>
    </row>
    <row r="191" spans="1:34" x14ac:dyDescent="0.2">
      <c r="A191" s="347">
        <f t="shared" ca="1" si="64"/>
        <v>0.01</v>
      </c>
      <c r="B191" s="304">
        <f t="shared" ca="1" si="65"/>
        <v>1.8700000000000014</v>
      </c>
      <c r="D191" s="306">
        <f t="shared" ca="1" si="66"/>
        <v>10.836294104533348</v>
      </c>
      <c r="E191" s="307">
        <f t="shared" ca="1" si="67"/>
        <v>95.590716794709039</v>
      </c>
      <c r="F191" s="304">
        <f t="shared" ca="1" si="68"/>
        <v>96.202964648945269</v>
      </c>
      <c r="G191" s="306">
        <f t="shared" ca="1" si="69"/>
        <v>21.294883830883816</v>
      </c>
      <c r="H191" s="307">
        <f t="shared" ca="1" si="70"/>
        <v>207.02953959555447</v>
      </c>
      <c r="I191" s="304">
        <f t="shared" ca="1" si="71"/>
        <v>208.12184494309599</v>
      </c>
      <c r="J191" s="306">
        <f t="shared" ca="1" si="72"/>
        <v>19.545502246348125</v>
      </c>
      <c r="K191" s="307">
        <f t="shared" ca="1" si="73"/>
        <v>198.03528892787631</v>
      </c>
      <c r="L191" s="304">
        <f t="shared" ca="1" si="58"/>
        <v>198.99749324755186</v>
      </c>
      <c r="M191" s="306">
        <f t="shared" ca="1" si="74"/>
        <v>1.4682976348989414</v>
      </c>
      <c r="N191" s="304">
        <f t="shared" ca="1" si="75"/>
        <v>84.127257548749995</v>
      </c>
      <c r="P191" s="310">
        <f t="shared" ca="1" si="76"/>
        <v>7</v>
      </c>
      <c r="Q191" s="304">
        <f t="shared" ca="1" si="77"/>
        <v>924.70519480519454</v>
      </c>
      <c r="R191" s="306">
        <f t="shared" ca="1" si="78"/>
        <v>0.46321466388130755</v>
      </c>
      <c r="S191" s="307">
        <f t="shared" ca="1" si="79"/>
        <v>7.4020629791884529</v>
      </c>
      <c r="T191" s="304">
        <f t="shared" ca="1" si="59"/>
        <v>72.614237825838728</v>
      </c>
      <c r="U191" s="311">
        <f t="shared" ca="1" si="60"/>
        <v>0</v>
      </c>
      <c r="V191" s="306">
        <f t="shared" ca="1" si="61"/>
        <v>1.2009785320238913</v>
      </c>
      <c r="W191" s="304">
        <f t="shared" ca="1" si="62"/>
        <v>141.68781455985592</v>
      </c>
      <c r="Y191" s="314" t="str">
        <f t="shared" ca="1" si="80"/>
        <v/>
      </c>
      <c r="Z191" s="315" t="str">
        <f t="shared" ca="1" si="81"/>
        <v/>
      </c>
      <c r="AA191" s="316" t="str">
        <f t="shared" ca="1" si="82"/>
        <v/>
      </c>
      <c r="AC191" s="310" t="e">
        <f t="shared" ca="1" si="83"/>
        <v>#N/A</v>
      </c>
      <c r="AD191" s="323" t="e">
        <f t="shared" ca="1" si="84"/>
        <v>#N/A</v>
      </c>
      <c r="AE191" s="324">
        <f t="shared" ca="1" si="63"/>
        <v>198.03528892787631</v>
      </c>
      <c r="AG191" s="306">
        <f t="shared" ca="1" si="85"/>
        <v>96.197732990113508</v>
      </c>
      <c r="AH191" s="304">
        <f t="shared" ca="1" si="86"/>
        <v>105.95629462546529</v>
      </c>
    </row>
    <row r="192" spans="1:34" x14ac:dyDescent="0.2">
      <c r="A192" s="347">
        <f t="shared" ca="1" si="64"/>
        <v>0.01</v>
      </c>
      <c r="B192" s="304">
        <f t="shared" ca="1" si="65"/>
        <v>1.8800000000000014</v>
      </c>
      <c r="D192" s="306">
        <f t="shared" ca="1" si="66"/>
        <v>10.813056162883349</v>
      </c>
      <c r="E192" s="307">
        <f t="shared" ca="1" si="67"/>
        <v>95.314876792046903</v>
      </c>
      <c r="F192" s="304">
        <f t="shared" ca="1" si="68"/>
        <v>95.92626293911772</v>
      </c>
      <c r="G192" s="306">
        <f t="shared" ca="1" si="69"/>
        <v>21.403014392512649</v>
      </c>
      <c r="H192" s="307">
        <f t="shared" ca="1" si="70"/>
        <v>207.98268836347495</v>
      </c>
      <c r="I192" s="304">
        <f t="shared" ca="1" si="71"/>
        <v>209.08105529670652</v>
      </c>
      <c r="J192" s="306">
        <f t="shared" ca="1" si="72"/>
        <v>19.758991737465106</v>
      </c>
      <c r="K192" s="307">
        <f t="shared" ca="1" si="73"/>
        <v>200.11035006767145</v>
      </c>
      <c r="L192" s="304">
        <f t="shared" ca="1" si="58"/>
        <v>201.08349002015862</v>
      </c>
      <c r="M192" s="306">
        <f t="shared" ca="1" si="74"/>
        <v>1.4682496270848266</v>
      </c>
      <c r="N192" s="304">
        <f t="shared" ca="1" si="75"/>
        <v>84.124506903617572</v>
      </c>
      <c r="P192" s="310">
        <f t="shared" ca="1" si="76"/>
        <v>7</v>
      </c>
      <c r="Q192" s="304">
        <f t="shared" ca="1" si="77"/>
        <v>923.44545454545437</v>
      </c>
      <c r="R192" s="306">
        <f t="shared" ca="1" si="78"/>
        <v>0.4625836193448743</v>
      </c>
      <c r="S192" s="307">
        <f t="shared" ca="1" si="79"/>
        <v>7.3974371429950043</v>
      </c>
      <c r="T192" s="304">
        <f t="shared" ca="1" si="59"/>
        <v>72.568858372780994</v>
      </c>
      <c r="U192" s="311">
        <f t="shared" ca="1" si="60"/>
        <v>0</v>
      </c>
      <c r="V192" s="306">
        <f t="shared" ca="1" si="61"/>
        <v>1.2007293228022313</v>
      </c>
      <c r="W192" s="304">
        <f t="shared" ca="1" si="62"/>
        <v>142.96719833071052</v>
      </c>
      <c r="Y192" s="314" t="str">
        <f t="shared" ca="1" si="80"/>
        <v/>
      </c>
      <c r="Z192" s="315" t="str">
        <f t="shared" ca="1" si="81"/>
        <v/>
      </c>
      <c r="AA192" s="316" t="str">
        <f t="shared" ca="1" si="82"/>
        <v/>
      </c>
      <c r="AC192" s="310" t="e">
        <f t="shared" ca="1" si="83"/>
        <v>#N/A</v>
      </c>
      <c r="AD192" s="323" t="e">
        <f t="shared" ca="1" si="84"/>
        <v>#N/A</v>
      </c>
      <c r="AE192" s="324">
        <f t="shared" ca="1" si="63"/>
        <v>200.11035006767145</v>
      </c>
      <c r="AG192" s="306">
        <f t="shared" ca="1" si="85"/>
        <v>95.921011267068963</v>
      </c>
      <c r="AH192" s="304">
        <f t="shared" ca="1" si="86"/>
        <v>105.67952452639399</v>
      </c>
    </row>
    <row r="193" spans="1:34" x14ac:dyDescent="0.2">
      <c r="A193" s="347">
        <f t="shared" ca="1" si="64"/>
        <v>0.01</v>
      </c>
      <c r="B193" s="304">
        <f t="shared" ca="1" si="65"/>
        <v>1.8900000000000015</v>
      </c>
      <c r="D193" s="306">
        <f t="shared" ca="1" si="66"/>
        <v>10.789704027238905</v>
      </c>
      <c r="E193" s="307">
        <f t="shared" ca="1" si="67"/>
        <v>95.038392337501534</v>
      </c>
      <c r="F193" s="304">
        <f t="shared" ca="1" si="68"/>
        <v>95.648908676953994</v>
      </c>
      <c r="G193" s="306">
        <f t="shared" ca="1" si="69"/>
        <v>21.510911432785036</v>
      </c>
      <c r="H193" s="307">
        <f t="shared" ca="1" si="70"/>
        <v>208.93307228684998</v>
      </c>
      <c r="I193" s="304">
        <f t="shared" ca="1" si="71"/>
        <v>210.03749190535294</v>
      </c>
      <c r="J193" s="306">
        <f t="shared" ca="1" si="72"/>
        <v>19.973561366591593</v>
      </c>
      <c r="K193" s="307">
        <f t="shared" ca="1" si="73"/>
        <v>202.19492887092306</v>
      </c>
      <c r="L193" s="304">
        <f t="shared" ca="1" si="58"/>
        <v>203.17906490281581</v>
      </c>
      <c r="M193" s="306">
        <f t="shared" ca="1" si="74"/>
        <v>1.468201815576587</v>
      </c>
      <c r="N193" s="304">
        <f t="shared" ca="1" si="75"/>
        <v>84.121767505983286</v>
      </c>
      <c r="P193" s="310">
        <f t="shared" ca="1" si="76"/>
        <v>7</v>
      </c>
      <c r="Q193" s="304">
        <f t="shared" ca="1" si="77"/>
        <v>922.18571428571408</v>
      </c>
      <c r="R193" s="306">
        <f t="shared" ca="1" si="78"/>
        <v>0.46195257480844093</v>
      </c>
      <c r="S193" s="307">
        <f t="shared" ca="1" si="79"/>
        <v>7.3928176172469202</v>
      </c>
      <c r="T193" s="304">
        <f t="shared" ca="1" si="59"/>
        <v>72.523540825192285</v>
      </c>
      <c r="U193" s="311">
        <f t="shared" ca="1" si="60"/>
        <v>0</v>
      </c>
      <c r="V193" s="306">
        <f t="shared" ca="1" si="61"/>
        <v>1.2004790220826047</v>
      </c>
      <c r="W193" s="304">
        <f t="shared" ca="1" si="62"/>
        <v>144.24811470584157</v>
      </c>
      <c r="Y193" s="314" t="str">
        <f t="shared" ca="1" si="80"/>
        <v/>
      </c>
      <c r="Z193" s="315" t="str">
        <f t="shared" ca="1" si="81"/>
        <v/>
      </c>
      <c r="AA193" s="316" t="str">
        <f t="shared" ca="1" si="82"/>
        <v/>
      </c>
      <c r="AC193" s="310" t="e">
        <f t="shared" ca="1" si="83"/>
        <v>#N/A</v>
      </c>
      <c r="AD193" s="323" t="e">
        <f t="shared" ca="1" si="84"/>
        <v>#N/A</v>
      </c>
      <c r="AE193" s="324">
        <f t="shared" ca="1" si="63"/>
        <v>202.19492887092306</v>
      </c>
      <c r="AG193" s="306">
        <f t="shared" ca="1" si="85"/>
        <v>95.643636857983637</v>
      </c>
      <c r="AH193" s="304">
        <f t="shared" ca="1" si="86"/>
        <v>105.4021019181025</v>
      </c>
    </row>
    <row r="194" spans="1:34" x14ac:dyDescent="0.2">
      <c r="A194" s="347">
        <f t="shared" ca="1" si="64"/>
        <v>0.01</v>
      </c>
      <c r="B194" s="304">
        <f t="shared" ca="1" si="65"/>
        <v>1.9000000000000015</v>
      </c>
      <c r="D194" s="306">
        <f t="shared" ca="1" si="66"/>
        <v>10.766238871321619</v>
      </c>
      <c r="E194" s="307">
        <f t="shared" ca="1" si="67"/>
        <v>94.761271718917612</v>
      </c>
      <c r="F194" s="304">
        <f t="shared" ca="1" si="68"/>
        <v>95.370910225397822</v>
      </c>
      <c r="G194" s="306">
        <f t="shared" ca="1" si="69"/>
        <v>21.618573821498252</v>
      </c>
      <c r="H194" s="307">
        <f t="shared" ca="1" si="70"/>
        <v>209.88068500403915</v>
      </c>
      <c r="I194" s="304">
        <f t="shared" ca="1" si="71"/>
        <v>210.99114832580128</v>
      </c>
      <c r="J194" s="306">
        <f t="shared" ca="1" si="72"/>
        <v>20.18920879286301</v>
      </c>
      <c r="K194" s="307">
        <f t="shared" ca="1" si="73"/>
        <v>204.28899765737751</v>
      </c>
      <c r="L194" s="304">
        <f t="shared" ca="1" si="58"/>
        <v>205.28419012563489</v>
      </c>
      <c r="M194" s="306">
        <f t="shared" ca="1" si="74"/>
        <v>1.4681541980579733</v>
      </c>
      <c r="N194" s="304">
        <f t="shared" ca="1" si="75"/>
        <v>84.119039223135829</v>
      </c>
      <c r="P194" s="310">
        <f t="shared" ca="1" si="76"/>
        <v>7</v>
      </c>
      <c r="Q194" s="304">
        <f t="shared" ca="1" si="77"/>
        <v>920.9259740259738</v>
      </c>
      <c r="R194" s="306">
        <f t="shared" ca="1" si="78"/>
        <v>0.46132153027200762</v>
      </c>
      <c r="S194" s="307">
        <f t="shared" ca="1" si="79"/>
        <v>7.3882044019441997</v>
      </c>
      <c r="T194" s="304">
        <f t="shared" ca="1" si="59"/>
        <v>72.4782851830726</v>
      </c>
      <c r="U194" s="311">
        <f t="shared" ca="1" si="60"/>
        <v>0</v>
      </c>
      <c r="V194" s="306">
        <f t="shared" ca="1" si="61"/>
        <v>1.2002276338791922</v>
      </c>
      <c r="W194" s="304">
        <f t="shared" ca="1" si="62"/>
        <v>145.53049829241226</v>
      </c>
      <c r="Y194" s="314" t="str">
        <f t="shared" ca="1" si="80"/>
        <v/>
      </c>
      <c r="Z194" s="315" t="str">
        <f t="shared" ca="1" si="81"/>
        <v/>
      </c>
      <c r="AA194" s="316" t="str">
        <f t="shared" ca="1" si="82"/>
        <v/>
      </c>
      <c r="AC194" s="310" t="e">
        <f t="shared" ca="1" si="83"/>
        <v>#N/A</v>
      </c>
      <c r="AD194" s="323" t="e">
        <f t="shared" ca="1" si="84"/>
        <v>#N/A</v>
      </c>
      <c r="AE194" s="324">
        <f t="shared" ca="1" si="63"/>
        <v>204.28899765737751</v>
      </c>
      <c r="AG194" s="306">
        <f t="shared" ca="1" si="85"/>
        <v>95.365618124471467</v>
      </c>
      <c r="AH194" s="304">
        <f t="shared" ca="1" si="86"/>
        <v>105.12403516011958</v>
      </c>
    </row>
    <row r="195" spans="1:34" x14ac:dyDescent="0.2">
      <c r="A195" s="347">
        <f t="shared" ca="1" si="64"/>
        <v>0.01</v>
      </c>
      <c r="B195" s="304">
        <f t="shared" ca="1" si="65"/>
        <v>1.9100000000000015</v>
      </c>
      <c r="D195" s="306">
        <f t="shared" ca="1" si="66"/>
        <v>10.742661864973627</v>
      </c>
      <c r="E195" s="307">
        <f t="shared" ca="1" si="67"/>
        <v>94.483523227018097</v>
      </c>
      <c r="F195" s="304">
        <f t="shared" ca="1" si="68"/>
        <v>95.09227594991944</v>
      </c>
      <c r="G195" s="306">
        <f t="shared" ca="1" si="69"/>
        <v>21.726000440147988</v>
      </c>
      <c r="H195" s="307">
        <f t="shared" ca="1" si="70"/>
        <v>210.82552023630933</v>
      </c>
      <c r="I195" s="304">
        <f t="shared" ca="1" si="71"/>
        <v>211.94201819845867</v>
      </c>
      <c r="J195" s="306">
        <f t="shared" ca="1" si="72"/>
        <v>20.405931664171241</v>
      </c>
      <c r="K195" s="307">
        <f t="shared" ca="1" si="73"/>
        <v>206.39252868357926</v>
      </c>
      <c r="L195" s="304">
        <f t="shared" ca="1" si="58"/>
        <v>207.3988378547115</v>
      </c>
      <c r="M195" s="306">
        <f t="shared" ca="1" si="74"/>
        <v>1.468106772249147</v>
      </c>
      <c r="N195" s="304">
        <f t="shared" ca="1" si="75"/>
        <v>84.116321924450091</v>
      </c>
      <c r="P195" s="310">
        <f t="shared" ca="1" si="76"/>
        <v>7</v>
      </c>
      <c r="Q195" s="304">
        <f t="shared" ca="1" si="77"/>
        <v>919.66623376623352</v>
      </c>
      <c r="R195" s="306">
        <f t="shared" ca="1" si="78"/>
        <v>0.46069048573557425</v>
      </c>
      <c r="S195" s="307">
        <f t="shared" ca="1" si="79"/>
        <v>7.3835974970868437</v>
      </c>
      <c r="T195" s="304">
        <f t="shared" ca="1" si="59"/>
        <v>72.43309144642194</v>
      </c>
      <c r="U195" s="311">
        <f t="shared" ca="1" si="60"/>
        <v>0</v>
      </c>
      <c r="V195" s="306">
        <f t="shared" ca="1" si="61"/>
        <v>1.1999751622137913</v>
      </c>
      <c r="W195" s="304">
        <f t="shared" ca="1" si="62"/>
        <v>146.81428386188651</v>
      </c>
      <c r="Y195" s="314" t="str">
        <f t="shared" ca="1" si="80"/>
        <v/>
      </c>
      <c r="Z195" s="315" t="str">
        <f t="shared" ca="1" si="81"/>
        <v/>
      </c>
      <c r="AA195" s="316" t="str">
        <f t="shared" ca="1" si="82"/>
        <v/>
      </c>
      <c r="AC195" s="310" t="e">
        <f t="shared" ca="1" si="83"/>
        <v>#N/A</v>
      </c>
      <c r="AD195" s="323" t="e">
        <f t="shared" ca="1" si="84"/>
        <v>#N/A</v>
      </c>
      <c r="AE195" s="324">
        <f t="shared" ca="1" si="63"/>
        <v>206.39252868357926</v>
      </c>
      <c r="AG195" s="306">
        <f t="shared" ca="1" si="85"/>
        <v>95.086963430662379</v>
      </c>
      <c r="AH195" s="304">
        <f t="shared" ca="1" si="86"/>
        <v>104.84533261452187</v>
      </c>
    </row>
    <row r="196" spans="1:34" x14ac:dyDescent="0.2">
      <c r="A196" s="347">
        <f t="shared" ca="1" si="64"/>
        <v>0.01</v>
      </c>
      <c r="B196" s="304">
        <f t="shared" ca="1" si="65"/>
        <v>1.9200000000000015</v>
      </c>
      <c r="D196" s="306">
        <f t="shared" ca="1" si="66"/>
        <v>10.718974174194107</v>
      </c>
      <c r="E196" s="307">
        <f t="shared" ca="1" si="67"/>
        <v>94.205155154744304</v>
      </c>
      <c r="F196" s="304">
        <f t="shared" ca="1" si="68"/>
        <v>94.81301421786192</v>
      </c>
      <c r="G196" s="306">
        <f t="shared" ca="1" si="69"/>
        <v>21.833190181889929</v>
      </c>
      <c r="H196" s="307">
        <f t="shared" ca="1" si="70"/>
        <v>211.76757178785678</v>
      </c>
      <c r="I196" s="304">
        <f t="shared" ca="1" si="71"/>
        <v>212.89009524739203</v>
      </c>
      <c r="J196" s="306">
        <f t="shared" ca="1" si="72"/>
        <v>20.623727617281432</v>
      </c>
      <c r="K196" s="307">
        <f t="shared" ca="1" si="73"/>
        <v>208.50549414370008</v>
      </c>
      <c r="L196" s="304">
        <f t="shared" ref="L196:L259" ca="1" si="87">SQRT(pos_x^2+pos_z^2)</f>
        <v>209.52298019296205</v>
      </c>
      <c r="M196" s="306">
        <f t="shared" ca="1" si="74"/>
        <v>1.468059535905907</v>
      </c>
      <c r="N196" s="304">
        <f t="shared" ca="1" si="75"/>
        <v>84.113615481342805</v>
      </c>
      <c r="P196" s="310">
        <f t="shared" ca="1" si="76"/>
        <v>7</v>
      </c>
      <c r="Q196" s="304">
        <f t="shared" ca="1" si="77"/>
        <v>918.40649350649323</v>
      </c>
      <c r="R196" s="306">
        <f t="shared" ca="1" si="78"/>
        <v>0.46005944119914094</v>
      </c>
      <c r="S196" s="307">
        <f t="shared" ca="1" si="79"/>
        <v>7.3789969026748521</v>
      </c>
      <c r="T196" s="304">
        <f t="shared" ref="T196:T259" ca="1" si="88">m*g</f>
        <v>72.387959615240305</v>
      </c>
      <c r="U196" s="311">
        <f t="shared" ref="U196:U259" ca="1" si="89">IF(pos_xz&lt;L_rampe,Poids*COS(Beta),0)</f>
        <v>0</v>
      </c>
      <c r="V196" s="306">
        <f t="shared" ref="V196:V259" ca="1" si="90">Rho_moyen*(20000-Alt_rampe-pos_z)/(20000+Alt_rampe+pos_z)</f>
        <v>1.199721611115671</v>
      </c>
      <c r="W196" s="304">
        <f t="shared" ref="W196:W259" ca="1" si="91">1/2*Rho*Sref*Cx*vit_xz^2</f>
        <v>148.09940635435163</v>
      </c>
      <c r="Y196" s="314" t="str">
        <f t="shared" ca="1" si="80"/>
        <v/>
      </c>
      <c r="Z196" s="315" t="str">
        <f t="shared" ca="1" si="81"/>
        <v/>
      </c>
      <c r="AA196" s="316" t="str">
        <f t="shared" ca="1" si="82"/>
        <v/>
      </c>
      <c r="AC196" s="310" t="e">
        <f t="shared" ca="1" si="83"/>
        <v>#N/A</v>
      </c>
      <c r="AD196" s="323" t="e">
        <f t="shared" ca="1" si="84"/>
        <v>#N/A</v>
      </c>
      <c r="AE196" s="324">
        <f t="shared" ref="AE196:AE259" ca="1" si="92">IF(t&lt;T_para, pos_z, NA())</f>
        <v>208.50549414370008</v>
      </c>
      <c r="AG196" s="306">
        <f t="shared" ca="1" si="85"/>
        <v>94.807681142548489</v>
      </c>
      <c r="AH196" s="304">
        <f t="shared" ca="1" si="86"/>
        <v>104.56600264527935</v>
      </c>
    </row>
    <row r="197" spans="1:34" x14ac:dyDescent="0.2">
      <c r="A197" s="347">
        <f t="shared" ref="A197:A260" ca="1" si="93">IF(B196+0.01&lt;=T_ini+ROUNDUP(Temps_fin_propu,0), 0.01, IF(K196&gt;0, 0.1, 0.0001))</f>
        <v>0.01</v>
      </c>
      <c r="B197" s="304">
        <f t="shared" ref="B197:B260" ca="1" si="94">B196+pas</f>
        <v>1.9300000000000015</v>
      </c>
      <c r="D197" s="306">
        <f t="shared" ref="D197:D260" ca="1" si="95">IF(AND(L196&lt;L_rampe,Poussee&lt;Poids*SIN(M196)),0,(-W196+Poussee)/m*COS(M196)-U196/m*SIN(M196))</f>
        <v>10.695176961173342</v>
      </c>
      <c r="E197" s="307">
        <f t="shared" ref="E197:E260" ca="1" si="96">IF(AND(L196&lt;L_rampe,Poussee&lt;Poids*SIN(M196)),0,(-W196+Poussee)/m*SIN(M196)+U196/m*COS(M196)-Poids/m)</f>
        <v>93.926175796598798</v>
      </c>
      <c r="F197" s="304">
        <f t="shared" ref="F197:F260" ca="1" si="97">SQRT(acc_x^2+acc_z^2)</f>
        <v>94.533133397790195</v>
      </c>
      <c r="G197" s="306">
        <f t="shared" ref="G197:G260" ca="1" si="98">G196+acc_x*pas</f>
        <v>21.940141951501662</v>
      </c>
      <c r="H197" s="307">
        <f t="shared" ref="H197:H260" ca="1" si="99">H196+acc_z*pas</f>
        <v>212.70683354582278</v>
      </c>
      <c r="I197" s="304">
        <f t="shared" ref="I197:I260" ca="1" si="100">SQRT(vit_x^2+vit_z^2)</f>
        <v>213.83537328034015</v>
      </c>
      <c r="J197" s="306">
        <f t="shared" ref="J197:J260" ca="1" si="101">J196+0.5*(vit_x+G196)*pas*(K196&gt;=0)</f>
        <v>20.84259427794839</v>
      </c>
      <c r="K197" s="307">
        <f t="shared" ref="K197:K260" ca="1" si="102">K196+0.5*(vit_z+H196)*pas</f>
        <v>210.62786617036846</v>
      </c>
      <c r="L197" s="304">
        <f t="shared" ca="1" si="87"/>
        <v>211.65658918096034</v>
      </c>
      <c r="M197" s="306">
        <f t="shared" ref="M197:M260" ca="1" si="103">IF(AND(L196&gt;L_rampe,G197&gt;0),ATAN2(G197,H197),$M$4)</f>
        <v>1.4680124868189379</v>
      </c>
      <c r="N197" s="304">
        <f t="shared" ref="N197:N260" ca="1" si="104">DEGREES(Beta)</f>
        <v>84.110919767229532</v>
      </c>
      <c r="P197" s="310">
        <f t="shared" ref="P197:P260" ca="1" si="105">MATCH(t-pas/2-T_ini,CdP_t)</f>
        <v>7</v>
      </c>
      <c r="Q197" s="304">
        <f t="shared" ref="Q197:Q260" ca="1" si="106">(INDEX(CdP,2,i_P+1)-INDEX(CdP,2,i_P+0))/(INDEX(CdP,1,i_P+1)-INDEX(CdP,1,i_P+0))*(t-pas/2-T_ini-INDEX(CdP,1,i_P+0))+INDEX(CdP,2,i_P+0)</f>
        <v>917.14675324675295</v>
      </c>
      <c r="R197" s="306">
        <f t="shared" ref="R197:R260" ca="1" si="107">Poussee/(g*ISP)</f>
        <v>0.45942839666270757</v>
      </c>
      <c r="S197" s="307">
        <f t="shared" ref="S197:S260" ca="1" si="108">S196-Débit*pas</f>
        <v>7.374402618708225</v>
      </c>
      <c r="T197" s="304">
        <f t="shared" ca="1" si="88"/>
        <v>72.342889689527695</v>
      </c>
      <c r="U197" s="311">
        <f t="shared" ca="1" si="89"/>
        <v>0</v>
      </c>
      <c r="V197" s="306">
        <f t="shared" ca="1" si="90"/>
        <v>1.1994669846214339</v>
      </c>
      <c r="W197" s="304">
        <f t="shared" ca="1" si="91"/>
        <v>149.3858008828015</v>
      </c>
      <c r="Y197" s="314" t="str">
        <f t="shared" ref="Y197:Y260" ca="1" si="109">IF(AND(pos_z&lt;=0,K196&gt;0),"Impact balistique","") &amp; IF(AND(H198&lt;0,vit_z&gt;=0),"Apogée","") &amp; IF(AND(Poussee=0,Q196&gt;0),"Fin de propulsion","") &amp; IF(AND(L198&gt;L_rampe,pos_xz&lt;=L_rampe),"Sortie de rampe","")</f>
        <v/>
      </c>
      <c r="Z197" s="315" t="str">
        <f t="shared" ref="Z197:Z260" ca="1" si="110">IF(ABS(t-T_para)&lt;pas/2,"Para","")</f>
        <v/>
      </c>
      <c r="AA197" s="316" t="str">
        <f t="shared" ref="AA197:AA260" ca="1" si="111">IF(ABS(t-T_satellite)&lt;pas/2,"Satellite","")</f>
        <v/>
      </c>
      <c r="AC197" s="310" t="e">
        <f t="shared" ref="AC197:AC260" ca="1" si="112">IF(ABS(t-ROUND(t,0))&lt;0.001,t,NA())</f>
        <v>#N/A</v>
      </c>
      <c r="AD197" s="323" t="e">
        <f t="shared" ref="AD197:AD260" ca="1" si="113">IF(ABS(t-ROUND(t,0))&lt;0.001,pos_x,NA())</f>
        <v>#N/A</v>
      </c>
      <c r="AE197" s="324">
        <f t="shared" ca="1" si="92"/>
        <v>210.62786617036846</v>
      </c>
      <c r="AG197" s="306">
        <f t="shared" ref="AG197:AG260" ca="1" si="114">IF(AND(L196&lt;L_rampe,Poussee&lt;Poids*SIN(M196)),0,(-W196+Poussee)/m-Poids*SIN(M196)/m)</f>
        <v>94.527779627332762</v>
      </c>
      <c r="AH197" s="304">
        <f t="shared" ref="AH197:AH260" ca="1" si="115">IF(AND(L196&lt;L_rampe,Poussee&lt;Poids*SIN(M196)), g*SIN(M196), (-W196+Poussee)/m)</f>
        <v>104.28605361760346</v>
      </c>
    </row>
    <row r="198" spans="1:34" x14ac:dyDescent="0.2">
      <c r="A198" s="347">
        <f t="shared" ca="1" si="93"/>
        <v>0.01</v>
      </c>
      <c r="B198" s="304">
        <f t="shared" ca="1" si="94"/>
        <v>1.9400000000000015</v>
      </c>
      <c r="D198" s="306">
        <f t="shared" ca="1" si="95"/>
        <v>10.671271384324132</v>
      </c>
      <c r="E198" s="307">
        <f t="shared" ca="1" si="96"/>
        <v>93.646593447991648</v>
      </c>
      <c r="F198" s="304">
        <f t="shared" ca="1" si="97"/>
        <v>94.25264185884302</v>
      </c>
      <c r="G198" s="306">
        <f t="shared" ca="1" si="98"/>
        <v>22.046854665344902</v>
      </c>
      <c r="H198" s="307">
        <f t="shared" ca="1" si="99"/>
        <v>213.64329948030269</v>
      </c>
      <c r="I198" s="304">
        <f t="shared" ca="1" si="100"/>
        <v>214.77784618871922</v>
      </c>
      <c r="J198" s="306">
        <f t="shared" ca="1" si="101"/>
        <v>21.062529261032623</v>
      </c>
      <c r="K198" s="307">
        <f t="shared" ca="1" si="102"/>
        <v>212.75961683549909</v>
      </c>
      <c r="L198" s="304">
        <f t="shared" ca="1" si="87"/>
        <v>213.79963679777438</v>
      </c>
      <c r="M198" s="306">
        <f t="shared" ca="1" si="103"/>
        <v>1.4679656228130791</v>
      </c>
      <c r="N198" s="304">
        <f t="shared" ca="1" si="104"/>
        <v>84.108234657482754</v>
      </c>
      <c r="P198" s="310">
        <f t="shared" ca="1" si="105"/>
        <v>7</v>
      </c>
      <c r="Q198" s="304">
        <f t="shared" ca="1" si="106"/>
        <v>915.88701298701278</v>
      </c>
      <c r="R198" s="306">
        <f t="shared" ca="1" si="107"/>
        <v>0.45879735212627432</v>
      </c>
      <c r="S198" s="307">
        <f t="shared" ca="1" si="108"/>
        <v>7.3698146451869624</v>
      </c>
      <c r="T198" s="304">
        <f t="shared" ca="1" si="88"/>
        <v>72.297881669284109</v>
      </c>
      <c r="U198" s="311">
        <f t="shared" ca="1" si="89"/>
        <v>0</v>
      </c>
      <c r="V198" s="306">
        <f t="shared" ca="1" si="90"/>
        <v>1.1992112867748745</v>
      </c>
      <c r="W198" s="304">
        <f t="shared" ca="1" si="91"/>
        <v>150.67340273737935</v>
      </c>
      <c r="Y198" s="314" t="str">
        <f t="shared" ca="1" si="109"/>
        <v/>
      </c>
      <c r="Z198" s="315" t="str">
        <f t="shared" ca="1" si="110"/>
        <v/>
      </c>
      <c r="AA198" s="316" t="str">
        <f t="shared" ca="1" si="111"/>
        <v/>
      </c>
      <c r="AC198" s="310" t="e">
        <f t="shared" ca="1" si="112"/>
        <v>#N/A</v>
      </c>
      <c r="AD198" s="323" t="e">
        <f t="shared" ca="1" si="113"/>
        <v>#N/A</v>
      </c>
      <c r="AE198" s="324">
        <f t="shared" ca="1" si="92"/>
        <v>212.75961683549909</v>
      </c>
      <c r="AG198" s="306">
        <f t="shared" ca="1" si="114"/>
        <v>94.247267252780844</v>
      </c>
      <c r="AH198" s="304">
        <f t="shared" ca="1" si="115"/>
        <v>104.00549389729817</v>
      </c>
    </row>
    <row r="199" spans="1:34" x14ac:dyDescent="0.2">
      <c r="A199" s="347">
        <f t="shared" ca="1" si="93"/>
        <v>0.01</v>
      </c>
      <c r="B199" s="304">
        <f t="shared" ca="1" si="94"/>
        <v>1.9500000000000015</v>
      </c>
      <c r="D199" s="306">
        <f t="shared" ca="1" si="95"/>
        <v>10.647258598310582</v>
      </c>
      <c r="E199" s="307">
        <f t="shared" ca="1" si="96"/>
        <v>93.3664164045897</v>
      </c>
      <c r="F199" s="304">
        <f t="shared" ca="1" si="97"/>
        <v>93.971547970087926</v>
      </c>
      <c r="G199" s="306">
        <f t="shared" ca="1" si="98"/>
        <v>22.153327251328008</v>
      </c>
      <c r="H199" s="307">
        <f t="shared" ca="1" si="99"/>
        <v>214.57696364434858</v>
      </c>
      <c r="I199" s="304">
        <f t="shared" ca="1" si="100"/>
        <v>215.71750794762238</v>
      </c>
      <c r="J199" s="306">
        <f t="shared" ca="1" si="101"/>
        <v>21.283530170615986</v>
      </c>
      <c r="K199" s="307">
        <f t="shared" ca="1" si="102"/>
        <v>214.90071815112233</v>
      </c>
      <c r="L199" s="304">
        <f t="shared" ca="1" si="87"/>
        <v>215.95209496180314</v>
      </c>
      <c r="M199" s="306">
        <f t="shared" ca="1" si="103"/>
        <v>1.4679189417466103</v>
      </c>
      <c r="N199" s="304">
        <f t="shared" ca="1" si="104"/>
        <v>84.105560029390915</v>
      </c>
      <c r="P199" s="310">
        <f t="shared" ca="1" si="105"/>
        <v>7</v>
      </c>
      <c r="Q199" s="304">
        <f t="shared" ca="1" si="106"/>
        <v>914.6272727272725</v>
      </c>
      <c r="R199" s="306">
        <f t="shared" ca="1" si="107"/>
        <v>0.45816630758984095</v>
      </c>
      <c r="S199" s="307">
        <f t="shared" ca="1" si="108"/>
        <v>7.3652329821110643</v>
      </c>
      <c r="T199" s="304">
        <f t="shared" ca="1" si="88"/>
        <v>72.252935554509548</v>
      </c>
      <c r="U199" s="311">
        <f t="shared" ca="1" si="89"/>
        <v>0</v>
      </c>
      <c r="V199" s="306">
        <f t="shared" ca="1" si="90"/>
        <v>1.1989545216268367</v>
      </c>
      <c r="W199" s="304">
        <f t="shared" ca="1" si="91"/>
        <v>151.96214738958031</v>
      </c>
      <c r="Y199" s="314" t="str">
        <f t="shared" ca="1" si="109"/>
        <v/>
      </c>
      <c r="Z199" s="315" t="str">
        <f t="shared" ca="1" si="110"/>
        <v/>
      </c>
      <c r="AA199" s="316" t="str">
        <f t="shared" ca="1" si="111"/>
        <v/>
      </c>
      <c r="AC199" s="310" t="e">
        <f t="shared" ca="1" si="112"/>
        <v>#N/A</v>
      </c>
      <c r="AD199" s="323" t="e">
        <f t="shared" ca="1" si="113"/>
        <v>#N/A</v>
      </c>
      <c r="AE199" s="324">
        <f t="shared" ca="1" si="92"/>
        <v>214.90071815112233</v>
      </c>
      <c r="AG199" s="306">
        <f t="shared" ca="1" si="114"/>
        <v>93.966152386575658</v>
      </c>
      <c r="AH199" s="304">
        <f t="shared" ca="1" si="115"/>
        <v>103.72433185011405</v>
      </c>
    </row>
    <row r="200" spans="1:34" x14ac:dyDescent="0.2">
      <c r="A200" s="347">
        <f t="shared" ca="1" si="93"/>
        <v>0.01</v>
      </c>
      <c r="B200" s="304">
        <f t="shared" ca="1" si="94"/>
        <v>1.9600000000000015</v>
      </c>
      <c r="D200" s="306">
        <f t="shared" ca="1" si="95"/>
        <v>10.623139754074762</v>
      </c>
      <c r="E200" s="307">
        <f t="shared" ca="1" si="96"/>
        <v>93.085652961669226</v>
      </c>
      <c r="F200" s="304">
        <f t="shared" ca="1" si="97"/>
        <v>93.689860099879112</v>
      </c>
      <c r="G200" s="306">
        <f t="shared" ca="1" si="98"/>
        <v>22.259558648868754</v>
      </c>
      <c r="H200" s="307">
        <f t="shared" ca="1" si="99"/>
        <v>215.50782017396529</v>
      </c>
      <c r="I200" s="304">
        <f t="shared" ca="1" si="100"/>
        <v>216.65435261581194</v>
      </c>
      <c r="J200" s="306">
        <f t="shared" ca="1" si="101"/>
        <v>21.505594600116972</v>
      </c>
      <c r="K200" s="307">
        <f t="shared" ca="1" si="102"/>
        <v>217.0511420702139</v>
      </c>
      <c r="L200" s="304">
        <f t="shared" ca="1" si="87"/>
        <v>218.11393553161329</v>
      </c>
      <c r="M200" s="306">
        <f t="shared" ca="1" si="103"/>
        <v>1.4678724415105586</v>
      </c>
      <c r="N200" s="304">
        <f t="shared" ca="1" si="104"/>
        <v>84.102895762118791</v>
      </c>
      <c r="P200" s="310">
        <f t="shared" ca="1" si="105"/>
        <v>7</v>
      </c>
      <c r="Q200" s="304">
        <f t="shared" ca="1" si="106"/>
        <v>913.36753246753221</v>
      </c>
      <c r="R200" s="306">
        <f t="shared" ca="1" si="107"/>
        <v>0.45753526305340764</v>
      </c>
      <c r="S200" s="307">
        <f t="shared" ca="1" si="108"/>
        <v>7.3606576294805306</v>
      </c>
      <c r="T200" s="304">
        <f t="shared" ca="1" si="88"/>
        <v>72.208051345204012</v>
      </c>
      <c r="U200" s="311">
        <f t="shared" ca="1" si="89"/>
        <v>0</v>
      </c>
      <c r="V200" s="306">
        <f t="shared" ca="1" si="90"/>
        <v>1.1986966932350764</v>
      </c>
      <c r="W200" s="304">
        <f t="shared" ca="1" si="91"/>
        <v>153.25197049641284</v>
      </c>
      <c r="Y200" s="314" t="str">
        <f t="shared" ca="1" si="109"/>
        <v/>
      </c>
      <c r="Z200" s="315" t="str">
        <f t="shared" ca="1" si="110"/>
        <v/>
      </c>
      <c r="AA200" s="316" t="str">
        <f t="shared" ca="1" si="111"/>
        <v/>
      </c>
      <c r="AC200" s="310" t="e">
        <f t="shared" ca="1" si="112"/>
        <v>#N/A</v>
      </c>
      <c r="AD200" s="323" t="e">
        <f t="shared" ca="1" si="113"/>
        <v>#N/A</v>
      </c>
      <c r="AE200" s="324">
        <f t="shared" ca="1" si="92"/>
        <v>217.0511420702139</v>
      </c>
      <c r="AG200" s="306">
        <f t="shared" ca="1" si="114"/>
        <v>93.684443395675245</v>
      </c>
      <c r="AH200" s="304">
        <f t="shared" ca="1" si="115"/>
        <v>103.44257584110554</v>
      </c>
    </row>
    <row r="201" spans="1:34" x14ac:dyDescent="0.2">
      <c r="A201" s="347">
        <f t="shared" ca="1" si="93"/>
        <v>0.01</v>
      </c>
      <c r="B201" s="304">
        <f t="shared" ca="1" si="94"/>
        <v>1.9700000000000015</v>
      </c>
      <c r="D201" s="306">
        <f t="shared" ca="1" si="95"/>
        <v>10.598915998860845</v>
      </c>
      <c r="E201" s="307">
        <f t="shared" ca="1" si="96"/>
        <v>92.804311413472092</v>
      </c>
      <c r="F201" s="304">
        <f t="shared" ca="1" si="97"/>
        <v>93.407586615218861</v>
      </c>
      <c r="G201" s="306">
        <f t="shared" ca="1" si="98"/>
        <v>22.365547808857364</v>
      </c>
      <c r="H201" s="307">
        <f t="shared" ca="1" si="99"/>
        <v>216.43586328809999</v>
      </c>
      <c r="I201" s="304">
        <f t="shared" ca="1" si="100"/>
        <v>217.58837433570616</v>
      </c>
      <c r="J201" s="306">
        <f t="shared" ca="1" si="101"/>
        <v>21.728720132405602</v>
      </c>
      <c r="K201" s="307">
        <f t="shared" ca="1" si="102"/>
        <v>219.21086048752423</v>
      </c>
      <c r="L201" s="304">
        <f t="shared" ca="1" si="87"/>
        <v>220.28513030677587</v>
      </c>
      <c r="M201" s="306">
        <f t="shared" ca="1" si="103"/>
        <v>1.4678261200280223</v>
      </c>
      <c r="N201" s="304">
        <f t="shared" ca="1" si="104"/>
        <v>84.100241736668679</v>
      </c>
      <c r="P201" s="310">
        <f t="shared" ca="1" si="105"/>
        <v>7</v>
      </c>
      <c r="Q201" s="304">
        <f t="shared" ca="1" si="106"/>
        <v>912.10779220779193</v>
      </c>
      <c r="R201" s="306">
        <f t="shared" ca="1" si="107"/>
        <v>0.45690421851697427</v>
      </c>
      <c r="S201" s="307">
        <f t="shared" ca="1" si="108"/>
        <v>7.3560885872953605</v>
      </c>
      <c r="T201" s="304">
        <f t="shared" ca="1" si="88"/>
        <v>72.163229041367487</v>
      </c>
      <c r="U201" s="311">
        <f t="shared" ca="1" si="89"/>
        <v>0</v>
      </c>
      <c r="V201" s="306">
        <f t="shared" ca="1" si="90"/>
        <v>1.1984378056641187</v>
      </c>
      <c r="W201" s="304">
        <f t="shared" ca="1" si="91"/>
        <v>154.54280790451907</v>
      </c>
      <c r="Y201" s="314" t="str">
        <f t="shared" ca="1" si="109"/>
        <v/>
      </c>
      <c r="Z201" s="315" t="str">
        <f t="shared" ca="1" si="110"/>
        <v/>
      </c>
      <c r="AA201" s="316" t="str">
        <f t="shared" ca="1" si="111"/>
        <v/>
      </c>
      <c r="AC201" s="310" t="e">
        <f t="shared" ca="1" si="112"/>
        <v>#N/A</v>
      </c>
      <c r="AD201" s="323" t="e">
        <f t="shared" ca="1" si="113"/>
        <v>#N/A</v>
      </c>
      <c r="AE201" s="324">
        <f t="shared" ca="1" si="92"/>
        <v>219.21086048752423</v>
      </c>
      <c r="AG201" s="306">
        <f t="shared" ca="1" si="114"/>
        <v>93.402148645673805</v>
      </c>
      <c r="AH201" s="304">
        <f t="shared" ca="1" si="115"/>
        <v>103.16023423399125</v>
      </c>
    </row>
    <row r="202" spans="1:34" x14ac:dyDescent="0.2">
      <c r="A202" s="347">
        <f t="shared" ca="1" si="93"/>
        <v>0.01</v>
      </c>
      <c r="B202" s="304">
        <f t="shared" ca="1" si="94"/>
        <v>1.9800000000000015</v>
      </c>
      <c r="D202" s="306">
        <f t="shared" ca="1" si="95"/>
        <v>10.574588476237064</v>
      </c>
      <c r="E202" s="307">
        <f t="shared" ca="1" si="96"/>
        <v>92.52240005256516</v>
      </c>
      <c r="F202" s="304">
        <f t="shared" ca="1" si="97"/>
        <v>93.124735881121694</v>
      </c>
      <c r="G202" s="306">
        <f t="shared" ca="1" si="98"/>
        <v>22.471293693619735</v>
      </c>
      <c r="H202" s="307">
        <f t="shared" ca="1" si="99"/>
        <v>217.36108728862564</v>
      </c>
      <c r="I202" s="304">
        <f t="shared" ca="1" si="100"/>
        <v>218.51956733335908</v>
      </c>
      <c r="J202" s="306">
        <f t="shared" ca="1" si="101"/>
        <v>21.952904339917989</v>
      </c>
      <c r="K202" s="307">
        <f t="shared" ca="1" si="102"/>
        <v>221.37984524040786</v>
      </c>
      <c r="L202" s="304">
        <f t="shared" ca="1" si="87"/>
        <v>222.46565102870269</v>
      </c>
      <c r="M202" s="306">
        <f t="shared" ca="1" si="103"/>
        <v>1.4677799752535106</v>
      </c>
      <c r="N202" s="304">
        <f t="shared" ca="1" si="104"/>
        <v>84.097597835842564</v>
      </c>
      <c r="P202" s="310">
        <f t="shared" ca="1" si="105"/>
        <v>7</v>
      </c>
      <c r="Q202" s="304">
        <f t="shared" ca="1" si="106"/>
        <v>910.84805194805176</v>
      </c>
      <c r="R202" s="306">
        <f t="shared" ca="1" si="107"/>
        <v>0.45627317398054101</v>
      </c>
      <c r="S202" s="307">
        <f t="shared" ca="1" si="108"/>
        <v>7.3515258555555549</v>
      </c>
      <c r="T202" s="304">
        <f t="shared" ca="1" si="88"/>
        <v>72.118468643</v>
      </c>
      <c r="U202" s="311">
        <f t="shared" ca="1" si="89"/>
        <v>0</v>
      </c>
      <c r="V202" s="306">
        <f t="shared" ca="1" si="90"/>
        <v>1.1981778629851187</v>
      </c>
      <c r="W202" s="304">
        <f t="shared" ca="1" si="91"/>
        <v>155.83459565425358</v>
      </c>
      <c r="Y202" s="314" t="str">
        <f t="shared" ca="1" si="109"/>
        <v/>
      </c>
      <c r="Z202" s="315" t="str">
        <f t="shared" ca="1" si="110"/>
        <v/>
      </c>
      <c r="AA202" s="316" t="str">
        <f t="shared" ca="1" si="111"/>
        <v/>
      </c>
      <c r="AC202" s="310" t="e">
        <f t="shared" ca="1" si="112"/>
        <v>#N/A</v>
      </c>
      <c r="AD202" s="323" t="e">
        <f t="shared" ca="1" si="113"/>
        <v>#N/A</v>
      </c>
      <c r="AE202" s="324">
        <f t="shared" ca="1" si="92"/>
        <v>221.37984524040786</v>
      </c>
      <c r="AG202" s="306">
        <f t="shared" ca="1" si="114"/>
        <v>93.119276500165611</v>
      </c>
      <c r="AH202" s="304">
        <f t="shared" ca="1" si="115"/>
        <v>102.87731539051748</v>
      </c>
    </row>
    <row r="203" spans="1:34" x14ac:dyDescent="0.2">
      <c r="A203" s="347">
        <f t="shared" ca="1" si="93"/>
        <v>0.01</v>
      </c>
      <c r="B203" s="304">
        <f t="shared" ca="1" si="94"/>
        <v>1.9900000000000015</v>
      </c>
      <c r="D203" s="306">
        <f t="shared" ca="1" si="95"/>
        <v>10.550158326115756</v>
      </c>
      <c r="E203" s="307">
        <f t="shared" ca="1" si="96"/>
        <v>92.239927169203213</v>
      </c>
      <c r="F203" s="304">
        <f t="shared" ca="1" si="97"/>
        <v>92.841316259982136</v>
      </c>
      <c r="G203" s="306">
        <f t="shared" ca="1" si="98"/>
        <v>22.576795276880894</v>
      </c>
      <c r="H203" s="307">
        <f t="shared" ca="1" si="99"/>
        <v>218.28348656031767</v>
      </c>
      <c r="I203" s="304">
        <f t="shared" ca="1" si="100"/>
        <v>219.44792591843418</v>
      </c>
      <c r="J203" s="306">
        <f t="shared" ca="1" si="101"/>
        <v>22.178144784770492</v>
      </c>
      <c r="K203" s="307">
        <f t="shared" ca="1" si="102"/>
        <v>223.55806810965257</v>
      </c>
      <c r="L203" s="304">
        <f t="shared" ca="1" si="87"/>
        <v>224.65546938148267</v>
      </c>
      <c r="M203" s="306">
        <f t="shared" ca="1" si="103"/>
        <v>1.4677340051723029</v>
      </c>
      <c r="N203" s="304">
        <f t="shared" ca="1" si="104"/>
        <v>84.094963944205503</v>
      </c>
      <c r="P203" s="310">
        <f t="shared" ca="1" si="105"/>
        <v>7</v>
      </c>
      <c r="Q203" s="304">
        <f t="shared" ca="1" si="106"/>
        <v>909.58831168831148</v>
      </c>
      <c r="R203" s="306">
        <f t="shared" ca="1" si="107"/>
        <v>0.45564212944410765</v>
      </c>
      <c r="S203" s="307">
        <f t="shared" ca="1" si="108"/>
        <v>7.3469694342611138</v>
      </c>
      <c r="T203" s="304">
        <f t="shared" ca="1" si="88"/>
        <v>72.073770150101524</v>
      </c>
      <c r="U203" s="311">
        <f t="shared" ca="1" si="89"/>
        <v>0</v>
      </c>
      <c r="V203" s="306">
        <f t="shared" ca="1" si="90"/>
        <v>1.1979168692757218</v>
      </c>
      <c r="W203" s="304">
        <f t="shared" ca="1" si="91"/>
        <v>157.12726998372011</v>
      </c>
      <c r="Y203" s="314" t="str">
        <f t="shared" ca="1" si="109"/>
        <v/>
      </c>
      <c r="Z203" s="315" t="str">
        <f t="shared" ca="1" si="110"/>
        <v/>
      </c>
      <c r="AA203" s="316" t="str">
        <f t="shared" ca="1" si="111"/>
        <v/>
      </c>
      <c r="AC203" s="310" t="e">
        <f t="shared" ca="1" si="112"/>
        <v>#N/A</v>
      </c>
      <c r="AD203" s="323" t="e">
        <f t="shared" ca="1" si="113"/>
        <v>#N/A</v>
      </c>
      <c r="AE203" s="324">
        <f t="shared" ca="1" si="92"/>
        <v>223.55806810965257</v>
      </c>
      <c r="AG203" s="306">
        <f t="shared" ca="1" si="114"/>
        <v>92.835835320112636</v>
      </c>
      <c r="AH203" s="304">
        <f t="shared" ca="1" si="115"/>
        <v>102.5938276698252</v>
      </c>
    </row>
    <row r="204" spans="1:34" x14ac:dyDescent="0.2">
      <c r="A204" s="347">
        <f t="shared" ca="1" si="93"/>
        <v>0.01</v>
      </c>
      <c r="B204" s="304">
        <f t="shared" ca="1" si="94"/>
        <v>2.0000000000000013</v>
      </c>
      <c r="D204" s="306">
        <f t="shared" ca="1" si="95"/>
        <v>10.525626684771096</v>
      </c>
      <c r="E204" s="307">
        <f t="shared" ca="1" si="96"/>
        <v>91.956901050695635</v>
      </c>
      <c r="F204" s="304">
        <f t="shared" ca="1" si="97"/>
        <v>92.557336110945798</v>
      </c>
      <c r="G204" s="306">
        <f t="shared" ca="1" si="98"/>
        <v>22.682051543728605</v>
      </c>
      <c r="H204" s="307">
        <f t="shared" ca="1" si="99"/>
        <v>219.20305557082463</v>
      </c>
      <c r="I204" s="304">
        <f t="shared" ca="1" si="100"/>
        <v>220.3734444841719</v>
      </c>
      <c r="J204" s="306">
        <f t="shared" ca="1" si="101"/>
        <v>22.404439018873539</v>
      </c>
      <c r="K204" s="307">
        <f t="shared" ca="1" si="102"/>
        <v>225.74550082030828</v>
      </c>
      <c r="L204" s="304">
        <f t="shared" ca="1" si="87"/>
        <v>226.85455699271776</v>
      </c>
      <c r="M204" s="306">
        <f t="shared" ca="1" si="103"/>
        <v>1.4676882077998237</v>
      </c>
      <c r="N204" s="304">
        <f t="shared" ca="1" si="104"/>
        <v>84.092339948049641</v>
      </c>
      <c r="P204" s="310">
        <f t="shared" ca="1" si="105"/>
        <v>7</v>
      </c>
      <c r="Q204" s="304">
        <f t="shared" ca="1" si="106"/>
        <v>908.32857142857119</v>
      </c>
      <c r="R204" s="306">
        <f t="shared" ca="1" si="107"/>
        <v>0.45501108490767428</v>
      </c>
      <c r="S204" s="307">
        <f t="shared" ca="1" si="108"/>
        <v>7.3424193234120372</v>
      </c>
      <c r="T204" s="304">
        <f t="shared" ca="1" si="88"/>
        <v>72.029133562672087</v>
      </c>
      <c r="U204" s="311">
        <f t="shared" ca="1" si="89"/>
        <v>0</v>
      </c>
      <c r="V204" s="306">
        <f t="shared" ca="1" si="90"/>
        <v>1.1976548286199231</v>
      </c>
      <c r="W204" s="304">
        <f t="shared" ca="1" si="91"/>
        <v>158.42076733276613</v>
      </c>
      <c r="Y204" s="314" t="str">
        <f t="shared" ca="1" si="109"/>
        <v/>
      </c>
      <c r="Z204" s="315" t="str">
        <f t="shared" ca="1" si="110"/>
        <v/>
      </c>
      <c r="AA204" s="316" t="str">
        <f t="shared" ca="1" si="111"/>
        <v/>
      </c>
      <c r="AC204" s="310">
        <f t="shared" ca="1" si="112"/>
        <v>2.0000000000000013</v>
      </c>
      <c r="AD204" s="323">
        <f t="shared" ca="1" si="113"/>
        <v>22.404439018873539</v>
      </c>
      <c r="AE204" s="324">
        <f t="shared" ca="1" si="92"/>
        <v>225.74550082030828</v>
      </c>
      <c r="AG204" s="306">
        <f t="shared" ca="1" si="114"/>
        <v>92.551833463215331</v>
      </c>
      <c r="AH204" s="304">
        <f t="shared" ca="1" si="115"/>
        <v>102.3097794278203</v>
      </c>
    </row>
    <row r="205" spans="1:34" x14ac:dyDescent="0.2">
      <c r="A205" s="347">
        <f t="shared" ca="1" si="93"/>
        <v>0.01</v>
      </c>
      <c r="B205" s="304">
        <f t="shared" ca="1" si="94"/>
        <v>2.0100000000000011</v>
      </c>
      <c r="D205" s="306">
        <f t="shared" ca="1" si="95"/>
        <v>10.50099468485493</v>
      </c>
      <c r="E205" s="307">
        <f t="shared" ca="1" si="96"/>
        <v>91.673329980776472</v>
      </c>
      <c r="F205" s="304">
        <f t="shared" ca="1" si="97"/>
        <v>92.272803789283884</v>
      </c>
      <c r="G205" s="306">
        <f t="shared" ca="1" si="98"/>
        <v>22.787061490577155</v>
      </c>
      <c r="H205" s="307">
        <f t="shared" ca="1" si="99"/>
        <v>220.11978887063239</v>
      </c>
      <c r="I205" s="304">
        <f t="shared" ca="1" si="100"/>
        <v>221.2961175073506</v>
      </c>
      <c r="J205" s="306">
        <f t="shared" ca="1" si="101"/>
        <v>22.631784584045068</v>
      </c>
      <c r="K205" s="307">
        <f t="shared" ca="1" si="102"/>
        <v>227.94211504251555</v>
      </c>
      <c r="L205" s="304">
        <f t="shared" ca="1" si="87"/>
        <v>229.06288543435844</v>
      </c>
      <c r="M205" s="306">
        <f t="shared" ca="1" si="103"/>
        <v>1.4676425811810307</v>
      </c>
      <c r="N205" s="304">
        <f t="shared" ca="1" si="104"/>
        <v>84.089725735359366</v>
      </c>
      <c r="P205" s="310">
        <f t="shared" ca="1" si="105"/>
        <v>7</v>
      </c>
      <c r="Q205" s="304">
        <f t="shared" ca="1" si="106"/>
        <v>907.06883116883091</v>
      </c>
      <c r="R205" s="306">
        <f t="shared" ca="1" si="107"/>
        <v>0.45438004037124097</v>
      </c>
      <c r="S205" s="307">
        <f t="shared" ca="1" si="108"/>
        <v>7.337875523008325</v>
      </c>
      <c r="T205" s="304">
        <f t="shared" ca="1" si="88"/>
        <v>71.984558880711674</v>
      </c>
      <c r="U205" s="311">
        <f t="shared" ca="1" si="89"/>
        <v>0</v>
      </c>
      <c r="V205" s="306">
        <f t="shared" ca="1" si="90"/>
        <v>1.1973917451079286</v>
      </c>
      <c r="W205" s="304">
        <f t="shared" ca="1" si="91"/>
        <v>159.71502434693465</v>
      </c>
      <c r="Y205" s="314" t="str">
        <f t="shared" ca="1" si="109"/>
        <v/>
      </c>
      <c r="Z205" s="315" t="str">
        <f t="shared" ca="1" si="110"/>
        <v/>
      </c>
      <c r="AA205" s="316" t="str">
        <f t="shared" ca="1" si="111"/>
        <v/>
      </c>
      <c r="AC205" s="310" t="e">
        <f t="shared" ca="1" si="112"/>
        <v>#N/A</v>
      </c>
      <c r="AD205" s="323" t="e">
        <f t="shared" ca="1" si="113"/>
        <v>#N/A</v>
      </c>
      <c r="AE205" s="324">
        <f t="shared" ca="1" si="92"/>
        <v>227.94211504251555</v>
      </c>
      <c r="AG205" s="306">
        <f t="shared" ca="1" si="114"/>
        <v>92.267279283286811</v>
      </c>
      <c r="AH205" s="304">
        <f t="shared" ca="1" si="115"/>
        <v>102.02517901654727</v>
      </c>
    </row>
    <row r="206" spans="1:34" x14ac:dyDescent="0.2">
      <c r="A206" s="347">
        <f t="shared" ca="1" si="93"/>
        <v>0.01</v>
      </c>
      <c r="B206" s="304">
        <f t="shared" ca="1" si="94"/>
        <v>2.0200000000000009</v>
      </c>
      <c r="D206" s="306">
        <f t="shared" ca="1" si="95"/>
        <v>10.476263455410971</v>
      </c>
      <c r="E206" s="307">
        <f t="shared" ca="1" si="96"/>
        <v>91.389222238978434</v>
      </c>
      <c r="F206" s="304">
        <f t="shared" ca="1" si="97"/>
        <v>91.987727645771145</v>
      </c>
      <c r="G206" s="306">
        <f t="shared" ca="1" si="98"/>
        <v>22.891824125131265</v>
      </c>
      <c r="H206" s="307">
        <f t="shared" ca="1" si="99"/>
        <v>221.03368109302218</v>
      </c>
      <c r="I206" s="304">
        <f t="shared" ca="1" si="100"/>
        <v>222.21593954824161</v>
      </c>
      <c r="J206" s="306">
        <f t="shared" ca="1" si="101"/>
        <v>22.860179012123609</v>
      </c>
      <c r="K206" s="307">
        <f t="shared" ca="1" si="102"/>
        <v>230.14788239233383</v>
      </c>
      <c r="L206" s="304">
        <f t="shared" ca="1" si="87"/>
        <v>231.280426223539</v>
      </c>
      <c r="M206" s="306">
        <f t="shared" ca="1" si="103"/>
        <v>1.4675971233898228</v>
      </c>
      <c r="N206" s="304">
        <f t="shared" ca="1" si="104"/>
        <v>84.087121195777158</v>
      </c>
      <c r="P206" s="310">
        <f t="shared" ca="1" si="105"/>
        <v>7</v>
      </c>
      <c r="Q206" s="304">
        <f t="shared" ca="1" si="106"/>
        <v>905.80909090909074</v>
      </c>
      <c r="R206" s="306">
        <f t="shared" ca="1" si="107"/>
        <v>0.45374899583480766</v>
      </c>
      <c r="S206" s="307">
        <f t="shared" ca="1" si="108"/>
        <v>7.3333380330499773</v>
      </c>
      <c r="T206" s="304">
        <f t="shared" ca="1" si="88"/>
        <v>71.940046104220286</v>
      </c>
      <c r="U206" s="311">
        <f t="shared" ca="1" si="89"/>
        <v>0</v>
      </c>
      <c r="V206" s="306">
        <f t="shared" ca="1" si="90"/>
        <v>1.1971276228360157</v>
      </c>
      <c r="W206" s="304">
        <f t="shared" ca="1" si="91"/>
        <v>161.0099778813732</v>
      </c>
      <c r="Y206" s="314" t="str">
        <f t="shared" ca="1" si="109"/>
        <v/>
      </c>
      <c r="Z206" s="315" t="str">
        <f t="shared" ca="1" si="110"/>
        <v/>
      </c>
      <c r="AA206" s="316" t="str">
        <f t="shared" ca="1" si="111"/>
        <v/>
      </c>
      <c r="AC206" s="310" t="e">
        <f t="shared" ca="1" si="112"/>
        <v>#N/A</v>
      </c>
      <c r="AD206" s="323" t="e">
        <f t="shared" ca="1" si="113"/>
        <v>#N/A</v>
      </c>
      <c r="AE206" s="324">
        <f t="shared" ca="1" si="92"/>
        <v>230.14788239233383</v>
      </c>
      <c r="AG206" s="306">
        <f t="shared" ca="1" si="114"/>
        <v>91.982181129630746</v>
      </c>
      <c r="AH206" s="304">
        <f t="shared" ca="1" si="115"/>
        <v>101.74003478356653</v>
      </c>
    </row>
    <row r="207" spans="1:34" x14ac:dyDescent="0.2">
      <c r="A207" s="347">
        <f t="shared" ca="1" si="93"/>
        <v>0.01</v>
      </c>
      <c r="B207" s="304">
        <f t="shared" ca="1" si="94"/>
        <v>2.0300000000000007</v>
      </c>
      <c r="D207" s="306">
        <f t="shared" ca="1" si="95"/>
        <v>10.451434121886802</v>
      </c>
      <c r="E207" s="307">
        <f t="shared" ca="1" si="96"/>
        <v>91.104586100010465</v>
      </c>
      <c r="F207" s="304">
        <f t="shared" ca="1" si="97"/>
        <v>91.702116026067586</v>
      </c>
      <c r="G207" s="306">
        <f t="shared" ca="1" si="98"/>
        <v>22.996338466350132</v>
      </c>
      <c r="H207" s="307">
        <f t="shared" ca="1" si="99"/>
        <v>221.94472695402229</v>
      </c>
      <c r="I207" s="304">
        <f t="shared" ca="1" si="100"/>
        <v>223.13290525055788</v>
      </c>
      <c r="J207" s="306">
        <f t="shared" ca="1" si="101"/>
        <v>23.089619825081016</v>
      </c>
      <c r="K207" s="307">
        <f t="shared" ca="1" si="102"/>
        <v>232.36277443256904</v>
      </c>
      <c r="L207" s="304">
        <f t="shared" ca="1" si="87"/>
        <v>233.5071508234121</v>
      </c>
      <c r="M207" s="306">
        <f t="shared" ca="1" si="103"/>
        <v>1.4675518325284596</v>
      </c>
      <c r="N207" s="304">
        <f t="shared" ca="1" si="104"/>
        <v>84.084526220570538</v>
      </c>
      <c r="P207" s="310">
        <f t="shared" ca="1" si="105"/>
        <v>7</v>
      </c>
      <c r="Q207" s="304">
        <f t="shared" ca="1" si="106"/>
        <v>904.54935064935046</v>
      </c>
      <c r="R207" s="306">
        <f t="shared" ca="1" si="107"/>
        <v>0.45311795129837434</v>
      </c>
      <c r="S207" s="307">
        <f t="shared" ca="1" si="108"/>
        <v>7.3288068535369932</v>
      </c>
      <c r="T207" s="304">
        <f t="shared" ca="1" si="88"/>
        <v>71.895595233197909</v>
      </c>
      <c r="U207" s="311">
        <f t="shared" ca="1" si="89"/>
        <v>0</v>
      </c>
      <c r="V207" s="306">
        <f t="shared" ca="1" si="90"/>
        <v>1.1968624659063944</v>
      </c>
      <c r="W207" s="304">
        <f t="shared" ca="1" si="91"/>
        <v>162.30556500469976</v>
      </c>
      <c r="Y207" s="314" t="str">
        <f t="shared" ca="1" si="109"/>
        <v/>
      </c>
      <c r="Z207" s="315" t="str">
        <f t="shared" ca="1" si="110"/>
        <v/>
      </c>
      <c r="AA207" s="316" t="str">
        <f t="shared" ca="1" si="111"/>
        <v/>
      </c>
      <c r="AC207" s="310" t="e">
        <f t="shared" ca="1" si="112"/>
        <v>#N/A</v>
      </c>
      <c r="AD207" s="323" t="e">
        <f t="shared" ca="1" si="113"/>
        <v>#N/A</v>
      </c>
      <c r="AE207" s="324">
        <f t="shared" ca="1" si="92"/>
        <v>232.36277443256904</v>
      </c>
      <c r="AG207" s="306">
        <f t="shared" ca="1" si="114"/>
        <v>91.696547346422605</v>
      </c>
      <c r="AH207" s="304">
        <f t="shared" ca="1" si="115"/>
        <v>101.45435507133523</v>
      </c>
    </row>
    <row r="208" spans="1:34" x14ac:dyDescent="0.2">
      <c r="A208" s="347">
        <f t="shared" ca="1" si="93"/>
        <v>0.01</v>
      </c>
      <c r="B208" s="304">
        <f t="shared" ca="1" si="94"/>
        <v>2.0400000000000005</v>
      </c>
      <c r="D208" s="306">
        <f t="shared" ca="1" si="95"/>
        <v>10.426507806144405</v>
      </c>
      <c r="E208" s="307">
        <f t="shared" ca="1" si="96"/>
        <v>90.819429833139239</v>
      </c>
      <c r="F208" s="304">
        <f t="shared" ca="1" si="97"/>
        <v>91.415977270103568</v>
      </c>
      <c r="G208" s="306">
        <f t="shared" ca="1" si="98"/>
        <v>23.100603544411577</v>
      </c>
      <c r="H208" s="307">
        <f t="shared" ca="1" si="99"/>
        <v>222.85292125235367</v>
      </c>
      <c r="I208" s="304">
        <f t="shared" ca="1" si="100"/>
        <v>224.04700934139655</v>
      </c>
      <c r="J208" s="306">
        <f t="shared" ca="1" si="101"/>
        <v>23.320104535134824</v>
      </c>
      <c r="K208" s="307">
        <f t="shared" ca="1" si="102"/>
        <v>234.58676267360093</v>
      </c>
      <c r="L208" s="304">
        <f t="shared" ca="1" si="87"/>
        <v>235.74303064398316</v>
      </c>
      <c r="M208" s="306">
        <f t="shared" ca="1" si="103"/>
        <v>1.4675067067269958</v>
      </c>
      <c r="N208" s="304">
        <f t="shared" ca="1" si="104"/>
        <v>84.08194070259951</v>
      </c>
      <c r="P208" s="310">
        <f t="shared" ca="1" si="105"/>
        <v>7</v>
      </c>
      <c r="Q208" s="304">
        <f t="shared" ca="1" si="106"/>
        <v>903.28961038961029</v>
      </c>
      <c r="R208" s="306">
        <f t="shared" ca="1" si="107"/>
        <v>0.45248690676194103</v>
      </c>
      <c r="S208" s="307">
        <f t="shared" ca="1" si="108"/>
        <v>7.3242819844693736</v>
      </c>
      <c r="T208" s="304">
        <f t="shared" ca="1" si="88"/>
        <v>71.851206267644557</v>
      </c>
      <c r="U208" s="311">
        <f t="shared" ca="1" si="89"/>
        <v>0</v>
      </c>
      <c r="V208" s="306">
        <f t="shared" ca="1" si="90"/>
        <v>1.1965962784270681</v>
      </c>
      <c r="W208" s="304">
        <f t="shared" ca="1" si="91"/>
        <v>163.60172300282451</v>
      </c>
      <c r="Y208" s="314" t="str">
        <f t="shared" ca="1" si="109"/>
        <v/>
      </c>
      <c r="Z208" s="315" t="str">
        <f t="shared" ca="1" si="110"/>
        <v/>
      </c>
      <c r="AA208" s="316" t="str">
        <f t="shared" ca="1" si="111"/>
        <v/>
      </c>
      <c r="AC208" s="310" t="e">
        <f t="shared" ca="1" si="112"/>
        <v>#N/A</v>
      </c>
      <c r="AD208" s="323" t="e">
        <f t="shared" ca="1" si="113"/>
        <v>#N/A</v>
      </c>
      <c r="AE208" s="324">
        <f t="shared" ca="1" si="92"/>
        <v>234.58676267360093</v>
      </c>
      <c r="AG208" s="306">
        <f t="shared" ca="1" si="114"/>
        <v>91.41038627209474</v>
      </c>
      <c r="AH208" s="304">
        <f t="shared" ca="1" si="115"/>
        <v>101.16814821659179</v>
      </c>
    </row>
    <row r="209" spans="1:34" x14ac:dyDescent="0.2">
      <c r="A209" s="347">
        <f t="shared" ca="1" si="93"/>
        <v>0.01</v>
      </c>
      <c r="B209" s="304">
        <f t="shared" ca="1" si="94"/>
        <v>2.0500000000000003</v>
      </c>
      <c r="D209" s="306">
        <f t="shared" ca="1" si="95"/>
        <v>10.401485626468995</v>
      </c>
      <c r="E209" s="307">
        <f t="shared" ca="1" si="96"/>
        <v>90.533761701574505</v>
      </c>
      <c r="F209" s="304">
        <f t="shared" ca="1" si="97"/>
        <v>91.129319711468924</v>
      </c>
      <c r="G209" s="306">
        <f t="shared" ca="1" si="98"/>
        <v>23.204618400676267</v>
      </c>
      <c r="H209" s="307">
        <f t="shared" ca="1" si="99"/>
        <v>223.7582588693694</v>
      </c>
      <c r="I209" s="304">
        <f t="shared" ca="1" si="100"/>
        <v>224.95824663117537</v>
      </c>
      <c r="J209" s="306">
        <f t="shared" ca="1" si="101"/>
        <v>23.551630644860264</v>
      </c>
      <c r="K209" s="307">
        <f t="shared" ca="1" si="102"/>
        <v>236.81981857420953</v>
      </c>
      <c r="L209" s="304">
        <f t="shared" ca="1" si="87"/>
        <v>237.98803704294349</v>
      </c>
      <c r="M209" s="306">
        <f t="shared" ca="1" si="103"/>
        <v>1.4674617441427318</v>
      </c>
      <c r="N209" s="304">
        <f t="shared" ca="1" si="104"/>
        <v>84.079364536285183</v>
      </c>
      <c r="P209" s="310">
        <f t="shared" ca="1" si="105"/>
        <v>7</v>
      </c>
      <c r="Q209" s="304">
        <f t="shared" ca="1" si="106"/>
        <v>902.02987012987001</v>
      </c>
      <c r="R209" s="306">
        <f t="shared" ca="1" si="107"/>
        <v>0.45185586222550772</v>
      </c>
      <c r="S209" s="307">
        <f t="shared" ca="1" si="108"/>
        <v>7.3197634258471185</v>
      </c>
      <c r="T209" s="304">
        <f t="shared" ca="1" si="88"/>
        <v>71.806879207560229</v>
      </c>
      <c r="U209" s="311">
        <f t="shared" ca="1" si="89"/>
        <v>0</v>
      </c>
      <c r="V209" s="306">
        <f t="shared" ca="1" si="90"/>
        <v>1.196329064511694</v>
      </c>
      <c r="W209" s="304">
        <f t="shared" ca="1" si="91"/>
        <v>164.89838938272845</v>
      </c>
      <c r="Y209" s="314" t="str">
        <f t="shared" ca="1" si="109"/>
        <v/>
      </c>
      <c r="Z209" s="315" t="str">
        <f t="shared" ca="1" si="110"/>
        <v/>
      </c>
      <c r="AA209" s="316" t="str">
        <f t="shared" ca="1" si="111"/>
        <v/>
      </c>
      <c r="AC209" s="310" t="e">
        <f t="shared" ca="1" si="112"/>
        <v>#N/A</v>
      </c>
      <c r="AD209" s="323" t="e">
        <f t="shared" ca="1" si="113"/>
        <v>#N/A</v>
      </c>
      <c r="AE209" s="324">
        <f t="shared" ca="1" si="92"/>
        <v>236.81981857420953</v>
      </c>
      <c r="AG209" s="306">
        <f t="shared" ca="1" si="114"/>
        <v>91.123706238724992</v>
      </c>
      <c r="AH209" s="304">
        <f t="shared" ca="1" si="115"/>
        <v>100.88142254974407</v>
      </c>
    </row>
    <row r="210" spans="1:34" x14ac:dyDescent="0.2">
      <c r="A210" s="347">
        <f t="shared" ca="1" si="93"/>
        <v>0.01</v>
      </c>
      <c r="B210" s="304">
        <f t="shared" ca="1" si="94"/>
        <v>2.06</v>
      </c>
      <c r="D210" s="306">
        <f t="shared" ca="1" si="95"/>
        <v>10.375104993092464</v>
      </c>
      <c r="E210" s="307">
        <f t="shared" ca="1" si="96"/>
        <v>90.235404270626304</v>
      </c>
      <c r="F210" s="304">
        <f t="shared" ca="1" si="97"/>
        <v>90.829901395416343</v>
      </c>
      <c r="G210" s="306">
        <f t="shared" ca="1" si="98"/>
        <v>23.308369450607191</v>
      </c>
      <c r="H210" s="307">
        <f t="shared" ca="1" si="99"/>
        <v>224.66061291207566</v>
      </c>
      <c r="I210" s="304">
        <f t="shared" ca="1" si="100"/>
        <v>225.86648950314762</v>
      </c>
      <c r="J210" s="306">
        <f t="shared" ca="1" si="101"/>
        <v>23.784195584116681</v>
      </c>
      <c r="K210" s="307">
        <f t="shared" ca="1" si="102"/>
        <v>239.06191293311676</v>
      </c>
      <c r="L210" s="304">
        <f t="shared" ca="1" si="87"/>
        <v>240.24214071395679</v>
      </c>
      <c r="M210" s="306">
        <f t="shared" ca="1" si="103"/>
        <v>1.4674169429353747</v>
      </c>
      <c r="N210" s="304">
        <f t="shared" ca="1" si="104"/>
        <v>84.076797616186539</v>
      </c>
      <c r="P210" s="310">
        <f t="shared" ca="1" si="105"/>
        <v>8</v>
      </c>
      <c r="Q210" s="304">
        <f t="shared" ca="1" si="106"/>
        <v>900.68055555555543</v>
      </c>
      <c r="R210" s="306">
        <f t="shared" ca="1" si="107"/>
        <v>0.4511799470251579</v>
      </c>
      <c r="S210" s="307">
        <f t="shared" ca="1" si="108"/>
        <v>7.3152516263768668</v>
      </c>
      <c r="T210" s="304">
        <f t="shared" ca="1" si="88"/>
        <v>71.76261845475706</v>
      </c>
      <c r="U210" s="311">
        <f t="shared" ca="1" si="89"/>
        <v>0</v>
      </c>
      <c r="V210" s="306">
        <f t="shared" ca="1" si="90"/>
        <v>1.1960608283523328</v>
      </c>
      <c r="W210" s="304">
        <f t="shared" ca="1" si="91"/>
        <v>166.19532159695643</v>
      </c>
      <c r="Y210" s="314" t="str">
        <f t="shared" ca="1" si="109"/>
        <v/>
      </c>
      <c r="Z210" s="315" t="str">
        <f t="shared" ca="1" si="110"/>
        <v/>
      </c>
      <c r="AA210" s="316" t="str">
        <f t="shared" ca="1" si="111"/>
        <v/>
      </c>
      <c r="AC210" s="310" t="e">
        <f t="shared" ca="1" si="112"/>
        <v>#N/A</v>
      </c>
      <c r="AD210" s="323" t="e">
        <f t="shared" ca="1" si="113"/>
        <v>#N/A</v>
      </c>
      <c r="AE210" s="324">
        <f t="shared" ca="1" si="92"/>
        <v>239.06191293311676</v>
      </c>
      <c r="AG210" s="306">
        <f t="shared" ca="1" si="114"/>
        <v>90.824264529848023</v>
      </c>
      <c r="AH210" s="304">
        <f t="shared" ca="1" si="115"/>
        <v>100.58193535268023</v>
      </c>
    </row>
    <row r="211" spans="1:34" x14ac:dyDescent="0.2">
      <c r="A211" s="347">
        <f t="shared" ca="1" si="93"/>
        <v>0.01</v>
      </c>
      <c r="B211" s="304">
        <f t="shared" ca="1" si="94"/>
        <v>2.0699999999999998</v>
      </c>
      <c r="D211" s="306">
        <f t="shared" ca="1" si="95"/>
        <v>10.347364959746482</v>
      </c>
      <c r="E211" s="307">
        <f t="shared" ca="1" si="96"/>
        <v>89.924361891239897</v>
      </c>
      <c r="F211" s="304">
        <f t="shared" ca="1" si="97"/>
        <v>90.517726568649891</v>
      </c>
      <c r="G211" s="306">
        <f t="shared" ca="1" si="98"/>
        <v>23.411843100204656</v>
      </c>
      <c r="H211" s="307">
        <f t="shared" ca="1" si="99"/>
        <v>225.55985653098807</v>
      </c>
      <c r="I211" s="304">
        <f t="shared" ca="1" si="100"/>
        <v>226.77161038284427</v>
      </c>
      <c r="J211" s="306">
        <f t="shared" ca="1" si="101"/>
        <v>24.017796646870739</v>
      </c>
      <c r="K211" s="307">
        <f t="shared" ca="1" si="102"/>
        <v>241.31301528033208</v>
      </c>
      <c r="L211" s="304">
        <f t="shared" ca="1" si="87"/>
        <v>242.50531107473961</v>
      </c>
      <c r="M211" s="306">
        <f t="shared" ca="1" si="103"/>
        <v>1.46737230126723</v>
      </c>
      <c r="N211" s="304">
        <f t="shared" ca="1" si="104"/>
        <v>84.074239837011419</v>
      </c>
      <c r="P211" s="310">
        <f t="shared" ca="1" si="105"/>
        <v>8</v>
      </c>
      <c r="Q211" s="304">
        <f t="shared" ca="1" si="106"/>
        <v>899.24166666666667</v>
      </c>
      <c r="R211" s="306">
        <f t="shared" ca="1" si="107"/>
        <v>0.45045916116089163</v>
      </c>
      <c r="S211" s="307">
        <f t="shared" ca="1" si="108"/>
        <v>7.3107470347652574</v>
      </c>
      <c r="T211" s="304">
        <f t="shared" ca="1" si="88"/>
        <v>71.718428411047185</v>
      </c>
      <c r="U211" s="311">
        <f t="shared" ca="1" si="89"/>
        <v>0</v>
      </c>
      <c r="V211" s="306">
        <f t="shared" ca="1" si="90"/>
        <v>1.1957915742921175</v>
      </c>
      <c r="W211" s="304">
        <f t="shared" ca="1" si="91"/>
        <v>167.49227455936312</v>
      </c>
      <c r="Y211" s="314" t="str">
        <f t="shared" ca="1" si="109"/>
        <v/>
      </c>
      <c r="Z211" s="315" t="str">
        <f t="shared" ca="1" si="110"/>
        <v/>
      </c>
      <c r="AA211" s="316" t="str">
        <f t="shared" ca="1" si="111"/>
        <v/>
      </c>
      <c r="AC211" s="310" t="e">
        <f t="shared" ca="1" si="112"/>
        <v>#N/A</v>
      </c>
      <c r="AD211" s="323" t="e">
        <f t="shared" ca="1" si="113"/>
        <v>#N/A</v>
      </c>
      <c r="AE211" s="324">
        <f t="shared" ca="1" si="92"/>
        <v>241.31301528033208</v>
      </c>
      <c r="AG211" s="306">
        <f t="shared" ca="1" si="114"/>
        <v>90.512065373249612</v>
      </c>
      <c r="AH211" s="304">
        <f t="shared" ca="1" si="115"/>
        <v>100.26969085153796</v>
      </c>
    </row>
    <row r="212" spans="1:34" x14ac:dyDescent="0.2">
      <c r="A212" s="347">
        <f t="shared" ca="1" si="93"/>
        <v>0.01</v>
      </c>
      <c r="B212" s="304">
        <f t="shared" ca="1" si="94"/>
        <v>2.0799999999999996</v>
      </c>
      <c r="D212" s="306">
        <f t="shared" ca="1" si="95"/>
        <v>10.319530991845385</v>
      </c>
      <c r="E212" s="307">
        <f t="shared" ca="1" si="96"/>
        <v>89.612839971423796</v>
      </c>
      <c r="F212" s="304">
        <f t="shared" ca="1" si="97"/>
        <v>90.205065310300995</v>
      </c>
      <c r="G212" s="306">
        <f t="shared" ca="1" si="98"/>
        <v>23.515038410123111</v>
      </c>
      <c r="H212" s="307">
        <f t="shared" ca="1" si="99"/>
        <v>226.4559849307023</v>
      </c>
      <c r="I212" s="304">
        <f t="shared" ca="1" si="100"/>
        <v>227.67360440412065</v>
      </c>
      <c r="J212" s="306">
        <f t="shared" ca="1" si="101"/>
        <v>24.252431054422377</v>
      </c>
      <c r="K212" s="307">
        <f t="shared" ca="1" si="102"/>
        <v>243.57309448764053</v>
      </c>
      <c r="L212" s="304">
        <f t="shared" ca="1" si="87"/>
        <v>244.77751688080866</v>
      </c>
      <c r="M212" s="306">
        <f t="shared" ca="1" si="103"/>
        <v>1.4673278173273434</v>
      </c>
      <c r="N212" s="304">
        <f t="shared" ca="1" si="104"/>
        <v>84.071691094999807</v>
      </c>
      <c r="P212" s="310">
        <f t="shared" ca="1" si="105"/>
        <v>8</v>
      </c>
      <c r="Q212" s="304">
        <f t="shared" ca="1" si="106"/>
        <v>897.80277777777781</v>
      </c>
      <c r="R212" s="306">
        <f t="shared" ca="1" si="107"/>
        <v>0.44973837529662536</v>
      </c>
      <c r="S212" s="307">
        <f t="shared" ca="1" si="108"/>
        <v>7.3062496510122914</v>
      </c>
      <c r="T212" s="304">
        <f t="shared" ca="1" si="88"/>
        <v>71.674309076430589</v>
      </c>
      <c r="U212" s="311">
        <f t="shared" ca="1" si="89"/>
        <v>0</v>
      </c>
      <c r="V212" s="306">
        <f t="shared" ca="1" si="90"/>
        <v>1.1955213067520567</v>
      </c>
      <c r="W212" s="304">
        <f t="shared" ca="1" si="91"/>
        <v>168.78918254801363</v>
      </c>
      <c r="Y212" s="314" t="str">
        <f t="shared" ca="1" si="109"/>
        <v/>
      </c>
      <c r="Z212" s="315" t="str">
        <f t="shared" ca="1" si="110"/>
        <v/>
      </c>
      <c r="AA212" s="316" t="str">
        <f t="shared" ca="1" si="111"/>
        <v/>
      </c>
      <c r="AC212" s="310" t="e">
        <f t="shared" ca="1" si="112"/>
        <v>#N/A</v>
      </c>
      <c r="AD212" s="323" t="e">
        <f t="shared" ca="1" si="113"/>
        <v>#N/A</v>
      </c>
      <c r="AE212" s="324">
        <f t="shared" ca="1" si="92"/>
        <v>243.57309448764053</v>
      </c>
      <c r="AG212" s="306">
        <f t="shared" ca="1" si="114"/>
        <v>90.19937960137608</v>
      </c>
      <c r="AH212" s="304">
        <f t="shared" ca="1" si="115"/>
        <v>99.956959877114116</v>
      </c>
    </row>
    <row r="213" spans="1:34" x14ac:dyDescent="0.2">
      <c r="A213" s="347">
        <f t="shared" ca="1" si="93"/>
        <v>0.01</v>
      </c>
      <c r="B213" s="304">
        <f t="shared" ca="1" si="94"/>
        <v>2.0899999999999994</v>
      </c>
      <c r="D213" s="306">
        <f t="shared" ca="1" si="95"/>
        <v>10.29160428580952</v>
      </c>
      <c r="E213" s="307">
        <f t="shared" ca="1" si="96"/>
        <v>89.300847467581434</v>
      </c>
      <c r="F213" s="304">
        <f t="shared" ca="1" si="97"/>
        <v>89.891926651974359</v>
      </c>
      <c r="G213" s="306">
        <f t="shared" ca="1" si="98"/>
        <v>23.617954452981206</v>
      </c>
      <c r="H213" s="307">
        <f t="shared" ca="1" si="99"/>
        <v>227.34899340537811</v>
      </c>
      <c r="I213" s="304">
        <f t="shared" ca="1" si="100"/>
        <v>228.57246679112896</v>
      </c>
      <c r="J213" s="306">
        <f t="shared" ca="1" si="101"/>
        <v>24.488096018737899</v>
      </c>
      <c r="K213" s="307">
        <f t="shared" ca="1" si="102"/>
        <v>245.84211937932093</v>
      </c>
      <c r="L213" s="304">
        <f t="shared" ca="1" si="87"/>
        <v>247.05872683946868</v>
      </c>
      <c r="M213" s="306">
        <f t="shared" ca="1" si="103"/>
        <v>1.4672834893309736</v>
      </c>
      <c r="N213" s="304">
        <f t="shared" ca="1" si="104"/>
        <v>84.069151287893547</v>
      </c>
      <c r="P213" s="310">
        <f t="shared" ca="1" si="105"/>
        <v>8</v>
      </c>
      <c r="Q213" s="304">
        <f t="shared" ca="1" si="106"/>
        <v>896.36388888888894</v>
      </c>
      <c r="R213" s="306">
        <f t="shared" ca="1" si="107"/>
        <v>0.44901758943235903</v>
      </c>
      <c r="S213" s="307">
        <f t="shared" ca="1" si="108"/>
        <v>7.3017594751179677</v>
      </c>
      <c r="T213" s="304">
        <f t="shared" ca="1" si="88"/>
        <v>71.630260450907272</v>
      </c>
      <c r="U213" s="311">
        <f t="shared" ca="1" si="89"/>
        <v>0</v>
      </c>
      <c r="V213" s="306">
        <f t="shared" ca="1" si="90"/>
        <v>1.1952500301579057</v>
      </c>
      <c r="W213" s="304">
        <f t="shared" ca="1" si="91"/>
        <v>170.08598012502523</v>
      </c>
      <c r="Y213" s="314" t="str">
        <f t="shared" ca="1" si="109"/>
        <v/>
      </c>
      <c r="Z213" s="315" t="str">
        <f t="shared" ca="1" si="110"/>
        <v/>
      </c>
      <c r="AA213" s="316" t="str">
        <f t="shared" ca="1" si="111"/>
        <v/>
      </c>
      <c r="AC213" s="310" t="e">
        <f t="shared" ca="1" si="112"/>
        <v>#N/A</v>
      </c>
      <c r="AD213" s="323" t="e">
        <f t="shared" ca="1" si="113"/>
        <v>#N/A</v>
      </c>
      <c r="AE213" s="324">
        <f t="shared" ca="1" si="92"/>
        <v>245.84211937932093</v>
      </c>
      <c r="AG213" s="306">
        <f t="shared" ca="1" si="114"/>
        <v>89.886216243914205</v>
      </c>
      <c r="AH213" s="304">
        <f t="shared" ca="1" si="115"/>
        <v>99.643751457469165</v>
      </c>
    </row>
    <row r="214" spans="1:34" x14ac:dyDescent="0.2">
      <c r="A214" s="347">
        <f t="shared" ca="1" si="93"/>
        <v>0.01</v>
      </c>
      <c r="B214" s="304">
        <f t="shared" ca="1" si="94"/>
        <v>2.0999999999999992</v>
      </c>
      <c r="D214" s="306">
        <f t="shared" ca="1" si="95"/>
        <v>10.263586033826774</v>
      </c>
      <c r="E214" s="307">
        <f t="shared" ca="1" si="96"/>
        <v>88.988393322562914</v>
      </c>
      <c r="F214" s="304">
        <f t="shared" ca="1" si="97"/>
        <v>89.578319611415594</v>
      </c>
      <c r="G214" s="306">
        <f t="shared" ca="1" si="98"/>
        <v>23.720590313319473</v>
      </c>
      <c r="H214" s="307">
        <f t="shared" ca="1" si="99"/>
        <v>228.23887733860374</v>
      </c>
      <c r="I214" s="304">
        <f t="shared" ca="1" si="100"/>
        <v>229.46819285817924</v>
      </c>
      <c r="J214" s="306">
        <f t="shared" ca="1" si="101"/>
        <v>24.724788742569402</v>
      </c>
      <c r="K214" s="307">
        <f t="shared" ca="1" si="102"/>
        <v>248.12005873304085</v>
      </c>
      <c r="L214" s="304">
        <f t="shared" ca="1" si="87"/>
        <v>249.34890961071463</v>
      </c>
      <c r="M214" s="306">
        <f t="shared" ca="1" si="103"/>
        <v>1.467239315519075</v>
      </c>
      <c r="N214" s="304">
        <f t="shared" ca="1" si="104"/>
        <v>84.066620314906757</v>
      </c>
      <c r="P214" s="310">
        <f t="shared" ca="1" si="105"/>
        <v>8</v>
      </c>
      <c r="Q214" s="304">
        <f t="shared" ca="1" si="106"/>
        <v>894.92500000000007</v>
      </c>
      <c r="R214" s="306">
        <f t="shared" ca="1" si="107"/>
        <v>0.44829680356809271</v>
      </c>
      <c r="S214" s="307">
        <f t="shared" ca="1" si="108"/>
        <v>7.2972765070822865</v>
      </c>
      <c r="T214" s="304">
        <f t="shared" ca="1" si="88"/>
        <v>71.586282534477235</v>
      </c>
      <c r="U214" s="311">
        <f t="shared" ca="1" si="89"/>
        <v>0</v>
      </c>
      <c r="V214" s="306">
        <f t="shared" ca="1" si="90"/>
        <v>1.1949777489400175</v>
      </c>
      <c r="W214" s="304">
        <f t="shared" ca="1" si="91"/>
        <v>171.38260214030143</v>
      </c>
      <c r="Y214" s="314" t="str">
        <f t="shared" ca="1" si="109"/>
        <v/>
      </c>
      <c r="Z214" s="315" t="str">
        <f t="shared" ca="1" si="110"/>
        <v/>
      </c>
      <c r="AA214" s="316" t="str">
        <f t="shared" ca="1" si="111"/>
        <v/>
      </c>
      <c r="AC214" s="310" t="e">
        <f t="shared" ca="1" si="112"/>
        <v>#N/A</v>
      </c>
      <c r="AD214" s="323" t="e">
        <f t="shared" ca="1" si="113"/>
        <v>#N/A</v>
      </c>
      <c r="AE214" s="324">
        <f t="shared" ca="1" si="92"/>
        <v>248.12005873304085</v>
      </c>
      <c r="AG214" s="306">
        <f t="shared" ca="1" si="114"/>
        <v>89.572584316670316</v>
      </c>
      <c r="AH214" s="304">
        <f t="shared" ca="1" si="115"/>
        <v>99.330074606805809</v>
      </c>
    </row>
    <row r="215" spans="1:34" x14ac:dyDescent="0.2">
      <c r="A215" s="347">
        <f t="shared" ca="1" si="93"/>
        <v>0.01</v>
      </c>
      <c r="B215" s="304">
        <f t="shared" ca="1" si="94"/>
        <v>2.109999999999999</v>
      </c>
      <c r="D215" s="306">
        <f t="shared" ca="1" si="95"/>
        <v>10.235477423852341</v>
      </c>
      <c r="E215" s="307">
        <f t="shared" ca="1" si="96"/>
        <v>88.675486465018849</v>
      </c>
      <c r="F215" s="304">
        <f t="shared" ca="1" si="97"/>
        <v>89.264253191868093</v>
      </c>
      <c r="G215" s="306">
        <f t="shared" ca="1" si="98"/>
        <v>23.822945087557997</v>
      </c>
      <c r="H215" s="307">
        <f t="shared" ca="1" si="99"/>
        <v>229.12563220325393</v>
      </c>
      <c r="I215" s="304">
        <f t="shared" ca="1" si="100"/>
        <v>230.36077800959433</v>
      </c>
      <c r="J215" s="306">
        <f t="shared" ca="1" si="101"/>
        <v>24.962506419573788</v>
      </c>
      <c r="K215" s="307">
        <f t="shared" ca="1" si="102"/>
        <v>250.40688128075013</v>
      </c>
      <c r="L215" s="304">
        <f t="shared" ca="1" si="87"/>
        <v>251.6480338081324</v>
      </c>
      <c r="M215" s="306">
        <f t="shared" ca="1" si="103"/>
        <v>1.467195294157795</v>
      </c>
      <c r="N215" s="304">
        <f t="shared" ca="1" si="104"/>
        <v>84.064098076696979</v>
      </c>
      <c r="P215" s="310">
        <f t="shared" ca="1" si="105"/>
        <v>8</v>
      </c>
      <c r="Q215" s="304">
        <f t="shared" ca="1" si="106"/>
        <v>893.4861111111112</v>
      </c>
      <c r="R215" s="306">
        <f t="shared" ca="1" si="107"/>
        <v>0.44757601770382643</v>
      </c>
      <c r="S215" s="307">
        <f t="shared" ca="1" si="108"/>
        <v>7.2928007469052485</v>
      </c>
      <c r="T215" s="304">
        <f t="shared" ca="1" si="88"/>
        <v>71.542375327140491</v>
      </c>
      <c r="U215" s="311">
        <f t="shared" ca="1" si="89"/>
        <v>0</v>
      </c>
      <c r="V215" s="306">
        <f t="shared" ca="1" si="90"/>
        <v>1.1947044675331959</v>
      </c>
      <c r="W215" s="304">
        <f t="shared" ca="1" si="91"/>
        <v>172.67898373521302</v>
      </c>
      <c r="Y215" s="314" t="str">
        <f t="shared" ca="1" si="109"/>
        <v/>
      </c>
      <c r="Z215" s="315" t="str">
        <f t="shared" ca="1" si="110"/>
        <v/>
      </c>
      <c r="AA215" s="316" t="str">
        <f t="shared" ca="1" si="111"/>
        <v/>
      </c>
      <c r="AC215" s="310" t="e">
        <f t="shared" ca="1" si="112"/>
        <v>#N/A</v>
      </c>
      <c r="AD215" s="323" t="e">
        <f t="shared" ca="1" si="113"/>
        <v>#N/A</v>
      </c>
      <c r="AE215" s="324">
        <f t="shared" ca="1" si="92"/>
        <v>250.40688128075013</v>
      </c>
      <c r="AG215" s="306">
        <f t="shared" ca="1" si="114"/>
        <v>89.258492820927003</v>
      </c>
      <c r="AH215" s="304">
        <f t="shared" ca="1" si="115"/>
        <v>99.015938324825271</v>
      </c>
    </row>
    <row r="216" spans="1:34" x14ac:dyDescent="0.2">
      <c r="A216" s="347">
        <f t="shared" ca="1" si="93"/>
        <v>0.01</v>
      </c>
      <c r="B216" s="304">
        <f t="shared" ca="1" si="94"/>
        <v>2.1199999999999988</v>
      </c>
      <c r="D216" s="306">
        <f t="shared" ca="1" si="95"/>
        <v>10.207279639607055</v>
      </c>
      <c r="E216" s="307">
        <f t="shared" ca="1" si="96"/>
        <v>88.362135808759774</v>
      </c>
      <c r="F216" s="304">
        <f t="shared" ca="1" si="97"/>
        <v>88.949736381435358</v>
      </c>
      <c r="G216" s="306">
        <f t="shared" ca="1" si="98"/>
        <v>23.925017883954066</v>
      </c>
      <c r="H216" s="307">
        <f t="shared" ca="1" si="99"/>
        <v>230.00925356134152</v>
      </c>
      <c r="I216" s="304">
        <f t="shared" ca="1" si="100"/>
        <v>231.25021773955808</v>
      </c>
      <c r="J216" s="306">
        <f t="shared" ca="1" si="101"/>
        <v>25.201246234431348</v>
      </c>
      <c r="K216" s="307">
        <f t="shared" ca="1" si="102"/>
        <v>252.70255570957312</v>
      </c>
      <c r="L216" s="304">
        <f t="shared" ca="1" si="87"/>
        <v>253.95606799979862</v>
      </c>
      <c r="M216" s="306">
        <f t="shared" ca="1" si="103"/>
        <v>1.4671514235379826</v>
      </c>
      <c r="N216" s="304">
        <f t="shared" ca="1" si="104"/>
        <v>84.061584475337114</v>
      </c>
      <c r="P216" s="310">
        <f t="shared" ca="1" si="105"/>
        <v>8</v>
      </c>
      <c r="Q216" s="304">
        <f t="shared" ca="1" si="106"/>
        <v>892.04722222222233</v>
      </c>
      <c r="R216" s="306">
        <f t="shared" ca="1" si="107"/>
        <v>0.44685523183956011</v>
      </c>
      <c r="S216" s="307">
        <f t="shared" ca="1" si="108"/>
        <v>7.2883321945868529</v>
      </c>
      <c r="T216" s="304">
        <f t="shared" ca="1" si="88"/>
        <v>71.498538828897026</v>
      </c>
      <c r="U216" s="311">
        <f t="shared" ca="1" si="89"/>
        <v>0</v>
      </c>
      <c r="V216" s="306">
        <f t="shared" ca="1" si="90"/>
        <v>1.1944301903765475</v>
      </c>
      <c r="W216" s="304">
        <f t="shared" ca="1" si="91"/>
        <v>173.97506034622481</v>
      </c>
      <c r="Y216" s="314" t="str">
        <f t="shared" ca="1" si="109"/>
        <v/>
      </c>
      <c r="Z216" s="315" t="str">
        <f t="shared" ca="1" si="110"/>
        <v/>
      </c>
      <c r="AA216" s="316" t="str">
        <f t="shared" ca="1" si="111"/>
        <v/>
      </c>
      <c r="AC216" s="310" t="e">
        <f t="shared" ca="1" si="112"/>
        <v>#N/A</v>
      </c>
      <c r="AD216" s="323" t="e">
        <f t="shared" ca="1" si="113"/>
        <v>#N/A</v>
      </c>
      <c r="AE216" s="324">
        <f t="shared" ca="1" si="92"/>
        <v>252.70255570957312</v>
      </c>
      <c r="AG216" s="306">
        <f t="shared" ca="1" si="114"/>
        <v>88.943950742804901</v>
      </c>
      <c r="AH216" s="304">
        <f t="shared" ca="1" si="115"/>
        <v>98.701351596088642</v>
      </c>
    </row>
    <row r="217" spans="1:34" x14ac:dyDescent="0.2">
      <c r="A217" s="347">
        <f t="shared" ca="1" si="93"/>
        <v>0.01</v>
      </c>
      <c r="B217" s="304">
        <f t="shared" ca="1" si="94"/>
        <v>2.1299999999999986</v>
      </c>
      <c r="D217" s="306">
        <f t="shared" ca="1" si="95"/>
        <v>10.178993860574536</v>
      </c>
      <c r="E217" s="307">
        <f t="shared" ca="1" si="96"/>
        <v>88.048350252120727</v>
      </c>
      <c r="F217" s="304">
        <f t="shared" ca="1" si="97"/>
        <v>88.634778152448391</v>
      </c>
      <c r="G217" s="306">
        <f t="shared" ca="1" si="98"/>
        <v>24.02680782255981</v>
      </c>
      <c r="H217" s="307">
        <f t="shared" ca="1" si="99"/>
        <v>230.88973706386273</v>
      </c>
      <c r="I217" s="304">
        <f t="shared" ca="1" si="100"/>
        <v>232.13650763195756</v>
      </c>
      <c r="J217" s="306">
        <f t="shared" ca="1" si="101"/>
        <v>25.441005362963917</v>
      </c>
      <c r="K217" s="307">
        <f t="shared" ca="1" si="102"/>
        <v>255.00705066269913</v>
      </c>
      <c r="L217" s="304">
        <f t="shared" ca="1" si="87"/>
        <v>256.27298070917806</v>
      </c>
      <c r="M217" s="306">
        <f t="shared" ca="1" si="103"/>
        <v>1.4671077019747092</v>
      </c>
      <c r="N217" s="304">
        <f t="shared" ca="1" si="104"/>
        <v>84.059079414287822</v>
      </c>
      <c r="P217" s="310">
        <f t="shared" ca="1" si="105"/>
        <v>8</v>
      </c>
      <c r="Q217" s="304">
        <f t="shared" ca="1" si="106"/>
        <v>890.60833333333346</v>
      </c>
      <c r="R217" s="306">
        <f t="shared" ca="1" si="107"/>
        <v>0.44613444597529378</v>
      </c>
      <c r="S217" s="307">
        <f t="shared" ca="1" si="108"/>
        <v>7.2838708501270997</v>
      </c>
      <c r="T217" s="304">
        <f t="shared" ca="1" si="88"/>
        <v>71.454773039746854</v>
      </c>
      <c r="U217" s="311">
        <f t="shared" ca="1" si="89"/>
        <v>0</v>
      </c>
      <c r="V217" s="306">
        <f t="shared" ca="1" si="90"/>
        <v>1.1941549219133365</v>
      </c>
      <c r="W217" s="304">
        <f t="shared" ca="1" si="91"/>
        <v>175.27076770846941</v>
      </c>
      <c r="Y217" s="314" t="str">
        <f t="shared" ca="1" si="109"/>
        <v/>
      </c>
      <c r="Z217" s="315" t="str">
        <f t="shared" ca="1" si="110"/>
        <v/>
      </c>
      <c r="AA217" s="316" t="str">
        <f t="shared" ca="1" si="111"/>
        <v/>
      </c>
      <c r="AC217" s="310" t="e">
        <f t="shared" ca="1" si="112"/>
        <v>#N/A</v>
      </c>
      <c r="AD217" s="323" t="e">
        <f t="shared" ca="1" si="113"/>
        <v>#N/A</v>
      </c>
      <c r="AE217" s="324">
        <f t="shared" ca="1" si="92"/>
        <v>255.00705066269913</v>
      </c>
      <c r="AG217" s="306">
        <f t="shared" ca="1" si="114"/>
        <v>88.628967052629761</v>
      </c>
      <c r="AH217" s="304">
        <f t="shared" ca="1" si="115"/>
        <v>98.386323389383506</v>
      </c>
    </row>
    <row r="218" spans="1:34" x14ac:dyDescent="0.2">
      <c r="A218" s="347">
        <f t="shared" ca="1" si="93"/>
        <v>0.01</v>
      </c>
      <c r="B218" s="304">
        <f t="shared" ca="1" si="94"/>
        <v>2.1399999999999983</v>
      </c>
      <c r="D218" s="306">
        <f t="shared" ca="1" si="95"/>
        <v>10.150621261997093</v>
      </c>
      <c r="E218" s="307">
        <f t="shared" ca="1" si="96"/>
        <v>87.734138677331316</v>
      </c>
      <c r="F218" s="304">
        <f t="shared" ca="1" si="97"/>
        <v>88.319387460838456</v>
      </c>
      <c r="G218" s="306">
        <f t="shared" ca="1" si="98"/>
        <v>24.12831403517978</v>
      </c>
      <c r="H218" s="307">
        <f t="shared" ca="1" si="99"/>
        <v>231.76707845063603</v>
      </c>
      <c r="I218" s="304">
        <f t="shared" ca="1" si="100"/>
        <v>233.01964336021874</v>
      </c>
      <c r="J218" s="306">
        <f t="shared" ca="1" si="101"/>
        <v>25.681780972252614</v>
      </c>
      <c r="K218" s="307">
        <f t="shared" ca="1" si="102"/>
        <v>257.32033474027162</v>
      </c>
      <c r="L218" s="304">
        <f t="shared" ca="1" si="87"/>
        <v>258.59874041602018</v>
      </c>
      <c r="M218" s="306">
        <f t="shared" ca="1" si="103"/>
        <v>1.467064127806802</v>
      </c>
      <c r="N218" s="304">
        <f t="shared" ca="1" si="104"/>
        <v>84.056582798370954</v>
      </c>
      <c r="P218" s="310">
        <f t="shared" ca="1" si="105"/>
        <v>8</v>
      </c>
      <c r="Q218" s="304">
        <f t="shared" ca="1" si="106"/>
        <v>889.16944444444459</v>
      </c>
      <c r="R218" s="306">
        <f t="shared" ca="1" si="107"/>
        <v>0.44541366011102751</v>
      </c>
      <c r="S218" s="307">
        <f t="shared" ca="1" si="108"/>
        <v>7.2794167135259897</v>
      </c>
      <c r="T218" s="304">
        <f t="shared" ca="1" si="88"/>
        <v>71.411077959689962</v>
      </c>
      <c r="U218" s="311">
        <f t="shared" ca="1" si="89"/>
        <v>0</v>
      </c>
      <c r="V218" s="306">
        <f t="shared" ca="1" si="90"/>
        <v>1.1938786665908374</v>
      </c>
      <c r="W218" s="304">
        <f t="shared" ca="1" si="91"/>
        <v>176.56604185926611</v>
      </c>
      <c r="Y218" s="314" t="str">
        <f t="shared" ca="1" si="109"/>
        <v/>
      </c>
      <c r="Z218" s="315" t="str">
        <f t="shared" ca="1" si="110"/>
        <v/>
      </c>
      <c r="AA218" s="316" t="str">
        <f t="shared" ca="1" si="111"/>
        <v/>
      </c>
      <c r="AC218" s="310" t="e">
        <f t="shared" ca="1" si="112"/>
        <v>#N/A</v>
      </c>
      <c r="AD218" s="323" t="e">
        <f t="shared" ca="1" si="113"/>
        <v>#N/A</v>
      </c>
      <c r="AE218" s="324">
        <f t="shared" ca="1" si="92"/>
        <v>257.32033474027162</v>
      </c>
      <c r="AG218" s="306">
        <f t="shared" ca="1" si="114"/>
        <v>88.31355070430466</v>
      </c>
      <c r="AH218" s="304">
        <f t="shared" ca="1" si="115"/>
        <v>98.070862657095816</v>
      </c>
    </row>
    <row r="219" spans="1:34" x14ac:dyDescent="0.2">
      <c r="A219" s="347">
        <f t="shared" ca="1" si="93"/>
        <v>0.01</v>
      </c>
      <c r="B219" s="304">
        <f t="shared" ca="1" si="94"/>
        <v>2.1499999999999981</v>
      </c>
      <c r="D219" s="306">
        <f t="shared" ca="1" si="95"/>
        <v>10.122163014870482</v>
      </c>
      <c r="E219" s="307">
        <f t="shared" ca="1" si="96"/>
        <v>87.41950994989125</v>
      </c>
      <c r="F219" s="304">
        <f t="shared" ca="1" si="97"/>
        <v>88.003573245515128</v>
      </c>
      <c r="G219" s="306">
        <f t="shared" ca="1" si="98"/>
        <v>24.229535665328484</v>
      </c>
      <c r="H219" s="307">
        <f t="shared" ca="1" si="99"/>
        <v>232.64127355013494</v>
      </c>
      <c r="I219" s="304">
        <f t="shared" ca="1" si="100"/>
        <v>233.89962068713606</v>
      </c>
      <c r="J219" s="306">
        <f t="shared" ca="1" si="101"/>
        <v>25.923570220755156</v>
      </c>
      <c r="K219" s="307">
        <f t="shared" ca="1" si="102"/>
        <v>259.64237650027547</v>
      </c>
      <c r="L219" s="304">
        <f t="shared" ca="1" si="87"/>
        <v>260.93331555725348</v>
      </c>
      <c r="M219" s="306">
        <f t="shared" ca="1" si="103"/>
        <v>1.4670206993963861</v>
      </c>
      <c r="N219" s="304">
        <f t="shared" ca="1" si="104"/>
        <v>84.054094533743168</v>
      </c>
      <c r="P219" s="310">
        <f t="shared" ca="1" si="105"/>
        <v>8</v>
      </c>
      <c r="Q219" s="304">
        <f t="shared" ca="1" si="106"/>
        <v>887.73055555555584</v>
      </c>
      <c r="R219" s="306">
        <f t="shared" ca="1" si="107"/>
        <v>0.44469287424676124</v>
      </c>
      <c r="S219" s="307">
        <f t="shared" ca="1" si="108"/>
        <v>7.2749697847835222</v>
      </c>
      <c r="T219" s="304">
        <f t="shared" ca="1" si="88"/>
        <v>71.367453588726363</v>
      </c>
      <c r="U219" s="311">
        <f t="shared" ca="1" si="89"/>
        <v>0</v>
      </c>
      <c r="V219" s="306">
        <f t="shared" ca="1" si="90"/>
        <v>1.1936014288601888</v>
      </c>
      <c r="W219" s="304">
        <f t="shared" ca="1" si="91"/>
        <v>177.86081914158598</v>
      </c>
      <c r="Y219" s="314" t="str">
        <f t="shared" ca="1" si="109"/>
        <v/>
      </c>
      <c r="Z219" s="315" t="str">
        <f t="shared" ca="1" si="110"/>
        <v/>
      </c>
      <c r="AA219" s="316" t="str">
        <f t="shared" ca="1" si="111"/>
        <v/>
      </c>
      <c r="AC219" s="310" t="e">
        <f t="shared" ca="1" si="112"/>
        <v>#N/A</v>
      </c>
      <c r="AD219" s="323" t="e">
        <f t="shared" ca="1" si="113"/>
        <v>#N/A</v>
      </c>
      <c r="AE219" s="324">
        <f t="shared" ca="1" si="92"/>
        <v>259.64237650027547</v>
      </c>
      <c r="AG219" s="306">
        <f t="shared" ca="1" si="114"/>
        <v>87.997710634687806</v>
      </c>
      <c r="AH219" s="304">
        <f t="shared" ca="1" si="115"/>
        <v>97.754978334587207</v>
      </c>
    </row>
    <row r="220" spans="1:34" x14ac:dyDescent="0.2">
      <c r="A220" s="347">
        <f t="shared" ca="1" si="93"/>
        <v>0.01</v>
      </c>
      <c r="B220" s="304">
        <f t="shared" ca="1" si="94"/>
        <v>2.1599999999999979</v>
      </c>
      <c r="D220" s="306">
        <f t="shared" ca="1" si="95"/>
        <v>10.093620285937664</v>
      </c>
      <c r="E220" s="307">
        <f t="shared" ca="1" si="96"/>
        <v>87.104472917951355</v>
      </c>
      <c r="F220" s="304">
        <f t="shared" ca="1" si="97"/>
        <v>87.687344427749736</v>
      </c>
      <c r="G220" s="306">
        <f t="shared" ca="1" si="98"/>
        <v>24.33047186818786</v>
      </c>
      <c r="H220" s="307">
        <f t="shared" ca="1" si="99"/>
        <v>233.51231827931446</v>
      </c>
      <c r="I220" s="304">
        <f t="shared" ca="1" si="100"/>
        <v>234.77643546469594</v>
      </c>
      <c r="J220" s="306">
        <f t="shared" ca="1" si="101"/>
        <v>26.166370258422738</v>
      </c>
      <c r="K220" s="307">
        <f t="shared" ca="1" si="102"/>
        <v>261.97314445942271</v>
      </c>
      <c r="L220" s="304">
        <f t="shared" ca="1" si="87"/>
        <v>263.27667452787841</v>
      </c>
      <c r="M220" s="306">
        <f t="shared" ca="1" si="103"/>
        <v>1.4669774151284407</v>
      </c>
      <c r="N220" s="304">
        <f t="shared" ca="1" si="104"/>
        <v>84.051614527870569</v>
      </c>
      <c r="P220" s="310">
        <f t="shared" ca="1" si="105"/>
        <v>8</v>
      </c>
      <c r="Q220" s="304">
        <f t="shared" ca="1" si="106"/>
        <v>886.29166666666697</v>
      </c>
      <c r="R220" s="306">
        <f t="shared" ca="1" si="107"/>
        <v>0.44397208838249497</v>
      </c>
      <c r="S220" s="307">
        <f t="shared" ca="1" si="108"/>
        <v>7.270530063899697</v>
      </c>
      <c r="T220" s="304">
        <f t="shared" ca="1" si="88"/>
        <v>71.323899926856029</v>
      </c>
      <c r="U220" s="311">
        <f t="shared" ca="1" si="89"/>
        <v>0</v>
      </c>
      <c r="V220" s="306">
        <f t="shared" ca="1" si="90"/>
        <v>1.1933232131762503</v>
      </c>
      <c r="W220" s="304">
        <f t="shared" ca="1" si="91"/>
        <v>179.15503620746293</v>
      </c>
      <c r="Y220" s="314" t="str">
        <f t="shared" ca="1" si="109"/>
        <v/>
      </c>
      <c r="Z220" s="315" t="str">
        <f t="shared" ca="1" si="110"/>
        <v/>
      </c>
      <c r="AA220" s="316" t="str">
        <f t="shared" ca="1" si="111"/>
        <v/>
      </c>
      <c r="AC220" s="310" t="e">
        <f t="shared" ca="1" si="112"/>
        <v>#N/A</v>
      </c>
      <c r="AD220" s="323" t="e">
        <f t="shared" ca="1" si="113"/>
        <v>#N/A</v>
      </c>
      <c r="AE220" s="324">
        <f t="shared" ca="1" si="92"/>
        <v>261.97314445942271</v>
      </c>
      <c r="AG220" s="306">
        <f t="shared" ca="1" si="114"/>
        <v>87.681455762975418</v>
      </c>
      <c r="AH220" s="304">
        <f t="shared" ca="1" si="115"/>
        <v>97.438679339577561</v>
      </c>
    </row>
    <row r="221" spans="1:34" x14ac:dyDescent="0.2">
      <c r="A221" s="347">
        <f t="shared" ca="1" si="93"/>
        <v>0.01</v>
      </c>
      <c r="B221" s="304">
        <f t="shared" ca="1" si="94"/>
        <v>2.1699999999999977</v>
      </c>
      <c r="D221" s="306">
        <f t="shared" ca="1" si="95"/>
        <v>10.064994237681411</v>
      </c>
      <c r="E221" s="307">
        <f t="shared" ca="1" si="96"/>
        <v>86.789036411700309</v>
      </c>
      <c r="F221" s="304">
        <f t="shared" ca="1" si="97"/>
        <v>87.370709910564429</v>
      </c>
      <c r="G221" s="306">
        <f t="shared" ca="1" si="98"/>
        <v>24.431121810564676</v>
      </c>
      <c r="H221" s="307">
        <f t="shared" ca="1" si="99"/>
        <v>234.38020864343147</v>
      </c>
      <c r="I221" s="304">
        <f t="shared" ca="1" si="100"/>
        <v>235.65008363389376</v>
      </c>
      <c r="J221" s="306">
        <f t="shared" ca="1" si="101"/>
        <v>26.410178226816502</v>
      </c>
      <c r="K221" s="307">
        <f t="shared" ca="1" si="102"/>
        <v>264.31260709403642</v>
      </c>
      <c r="L221" s="304">
        <f t="shared" ca="1" si="87"/>
        <v>265.6287856818584</v>
      </c>
      <c r="M221" s="306">
        <f t="shared" ca="1" si="103"/>
        <v>1.4669342734103625</v>
      </c>
      <c r="N221" s="304">
        <f t="shared" ca="1" si="104"/>
        <v>84.049142689503753</v>
      </c>
      <c r="P221" s="310">
        <f t="shared" ca="1" si="105"/>
        <v>8</v>
      </c>
      <c r="Q221" s="304">
        <f t="shared" ca="1" si="106"/>
        <v>884.8527777777781</v>
      </c>
      <c r="R221" s="306">
        <f t="shared" ca="1" si="107"/>
        <v>0.44325130251822864</v>
      </c>
      <c r="S221" s="307">
        <f t="shared" ca="1" si="108"/>
        <v>7.2660975508745151</v>
      </c>
      <c r="T221" s="304">
        <f t="shared" ca="1" si="88"/>
        <v>71.280416974079003</v>
      </c>
      <c r="U221" s="311">
        <f t="shared" ca="1" si="89"/>
        <v>0</v>
      </c>
      <c r="V221" s="306">
        <f t="shared" ca="1" si="90"/>
        <v>1.1930440239974538</v>
      </c>
      <c r="W221" s="304">
        <f t="shared" ca="1" si="91"/>
        <v>180.44863002134929</v>
      </c>
      <c r="Y221" s="314" t="str">
        <f t="shared" ca="1" si="109"/>
        <v/>
      </c>
      <c r="Z221" s="315" t="str">
        <f t="shared" ca="1" si="110"/>
        <v/>
      </c>
      <c r="AA221" s="316" t="str">
        <f t="shared" ca="1" si="111"/>
        <v/>
      </c>
      <c r="AC221" s="310" t="e">
        <f t="shared" ca="1" si="112"/>
        <v>#N/A</v>
      </c>
      <c r="AD221" s="323" t="e">
        <f t="shared" ca="1" si="113"/>
        <v>#N/A</v>
      </c>
      <c r="AE221" s="324">
        <f t="shared" ca="1" si="92"/>
        <v>264.31260709403642</v>
      </c>
      <c r="AG221" s="306">
        <f t="shared" ca="1" si="114"/>
        <v>87.364794990090431</v>
      </c>
      <c r="AH221" s="304">
        <f t="shared" ca="1" si="115"/>
        <v>97.121974571533315</v>
      </c>
    </row>
    <row r="222" spans="1:34" x14ac:dyDescent="0.2">
      <c r="A222" s="347">
        <f t="shared" ca="1" si="93"/>
        <v>0.01</v>
      </c>
      <c r="B222" s="304">
        <f t="shared" ca="1" si="94"/>
        <v>2.1799999999999975</v>
      </c>
      <c r="D222" s="306">
        <f t="shared" ca="1" si="95"/>
        <v>10.036286028316088</v>
      </c>
      <c r="E222" s="307">
        <f t="shared" ca="1" si="96"/>
        <v>86.473209242756909</v>
      </c>
      <c r="F222" s="304">
        <f t="shared" ca="1" si="97"/>
        <v>87.053678578126679</v>
      </c>
      <c r="G222" s="306">
        <f t="shared" ca="1" si="98"/>
        <v>24.531484670847838</v>
      </c>
      <c r="H222" s="307">
        <f t="shared" ca="1" si="99"/>
        <v>235.24494073585905</v>
      </c>
      <c r="I222" s="304">
        <f t="shared" ca="1" si="100"/>
        <v>236.5205612245453</v>
      </c>
      <c r="J222" s="306">
        <f t="shared" ca="1" si="101"/>
        <v>26.654991259223564</v>
      </c>
      <c r="K222" s="307">
        <f t="shared" ca="1" si="102"/>
        <v>266.66073284093289</v>
      </c>
      <c r="L222" s="304">
        <f t="shared" ca="1" si="87"/>
        <v>267.98961733300911</v>
      </c>
      <c r="M222" s="306">
        <f t="shared" ca="1" si="103"/>
        <v>1.4668912726715431</v>
      </c>
      <c r="N222" s="304">
        <f t="shared" ca="1" si="104"/>
        <v>84.046678928653449</v>
      </c>
      <c r="P222" s="310">
        <f t="shared" ca="1" si="105"/>
        <v>8</v>
      </c>
      <c r="Q222" s="304">
        <f t="shared" ca="1" si="106"/>
        <v>883.41388888888923</v>
      </c>
      <c r="R222" s="306">
        <f t="shared" ca="1" si="107"/>
        <v>0.44253051665396231</v>
      </c>
      <c r="S222" s="307">
        <f t="shared" ca="1" si="108"/>
        <v>7.2616722457079756</v>
      </c>
      <c r="T222" s="304">
        <f t="shared" ca="1" si="88"/>
        <v>71.237004730395242</v>
      </c>
      <c r="U222" s="311">
        <f t="shared" ca="1" si="89"/>
        <v>0</v>
      </c>
      <c r="V222" s="306">
        <f t="shared" ca="1" si="90"/>
        <v>1.1927638657856634</v>
      </c>
      <c r="W222" s="304">
        <f t="shared" ca="1" si="91"/>
        <v>181.74153786341822</v>
      </c>
      <c r="Y222" s="314" t="str">
        <f t="shared" ca="1" si="109"/>
        <v/>
      </c>
      <c r="Z222" s="315" t="str">
        <f t="shared" ca="1" si="110"/>
        <v/>
      </c>
      <c r="AA222" s="316" t="str">
        <f t="shared" ca="1" si="111"/>
        <v/>
      </c>
      <c r="AC222" s="310" t="e">
        <f t="shared" ca="1" si="112"/>
        <v>#N/A</v>
      </c>
      <c r="AD222" s="323" t="e">
        <f t="shared" ca="1" si="113"/>
        <v>#N/A</v>
      </c>
      <c r="AE222" s="324">
        <f t="shared" ca="1" si="92"/>
        <v>266.66073284093289</v>
      </c>
      <c r="AG222" s="306">
        <f t="shared" ca="1" si="114"/>
        <v>87.04773719807649</v>
      </c>
      <c r="AH222" s="304">
        <f t="shared" ca="1" si="115"/>
        <v>96.804872911061054</v>
      </c>
    </row>
    <row r="223" spans="1:34" x14ac:dyDescent="0.2">
      <c r="A223" s="347">
        <f t="shared" ca="1" si="93"/>
        <v>0.01</v>
      </c>
      <c r="B223" s="304">
        <f t="shared" ca="1" si="94"/>
        <v>2.1899999999999973</v>
      </c>
      <c r="D223" s="306">
        <f t="shared" ca="1" si="95"/>
        <v>10.007496811778276</v>
      </c>
      <c r="E223" s="307">
        <f t="shared" ca="1" si="96"/>
        <v>86.157000203567932</v>
      </c>
      <c r="F223" s="304">
        <f t="shared" ca="1" si="97"/>
        <v>86.736259295149196</v>
      </c>
      <c r="G223" s="306">
        <f t="shared" ca="1" si="98"/>
        <v>24.631559638965623</v>
      </c>
      <c r="H223" s="307">
        <f t="shared" ca="1" si="99"/>
        <v>236.10651073789472</v>
      </c>
      <c r="I223" s="304">
        <f t="shared" ca="1" si="100"/>
        <v>237.38786435509189</v>
      </c>
      <c r="J223" s="306">
        <f t="shared" ca="1" si="101"/>
        <v>26.90080648077263</v>
      </c>
      <c r="K223" s="307">
        <f t="shared" ca="1" si="102"/>
        <v>269.01749009830166</v>
      </c>
      <c r="L223" s="304">
        <f t="shared" ca="1" si="87"/>
        <v>270.3591377558854</v>
      </c>
      <c r="M223" s="306">
        <f t="shared" ca="1" si="103"/>
        <v>1.466848411362953</v>
      </c>
      <c r="N223" s="304">
        <f t="shared" ca="1" si="104"/>
        <v>84.044223156566829</v>
      </c>
      <c r="P223" s="310">
        <f t="shared" ca="1" si="105"/>
        <v>8</v>
      </c>
      <c r="Q223" s="304">
        <f t="shared" ca="1" si="106"/>
        <v>881.97500000000036</v>
      </c>
      <c r="R223" s="306">
        <f t="shared" ca="1" si="107"/>
        <v>0.44180973078969604</v>
      </c>
      <c r="S223" s="307">
        <f t="shared" ca="1" si="108"/>
        <v>7.2572541484000785</v>
      </c>
      <c r="T223" s="304">
        <f t="shared" ca="1" si="88"/>
        <v>71.193663195804774</v>
      </c>
      <c r="U223" s="311">
        <f t="shared" ca="1" si="89"/>
        <v>0</v>
      </c>
      <c r="V223" s="306">
        <f t="shared" ca="1" si="90"/>
        <v>1.1924827430060283</v>
      </c>
      <c r="W223" s="304">
        <f t="shared" ca="1" si="91"/>
        <v>183.03369733281016</v>
      </c>
      <c r="Y223" s="314" t="str">
        <f t="shared" ca="1" si="109"/>
        <v/>
      </c>
      <c r="Z223" s="315" t="str">
        <f t="shared" ca="1" si="110"/>
        <v/>
      </c>
      <c r="AA223" s="316" t="str">
        <f t="shared" ca="1" si="111"/>
        <v/>
      </c>
      <c r="AC223" s="310" t="e">
        <f t="shared" ca="1" si="112"/>
        <v>#N/A</v>
      </c>
      <c r="AD223" s="323" t="e">
        <f t="shared" ca="1" si="113"/>
        <v>#N/A</v>
      </c>
      <c r="AE223" s="324">
        <f t="shared" ca="1" si="92"/>
        <v>269.01749009830166</v>
      </c>
      <c r="AG223" s="306">
        <f t="shared" ca="1" si="114"/>
        <v>86.730291249497554</v>
      </c>
      <c r="AH223" s="304">
        <f t="shared" ca="1" si="115"/>
        <v>96.487383219306764</v>
      </c>
    </row>
    <row r="224" spans="1:34" x14ac:dyDescent="0.2">
      <c r="A224" s="347">
        <f t="shared" ca="1" si="93"/>
        <v>0.01</v>
      </c>
      <c r="B224" s="304">
        <f t="shared" ca="1" si="94"/>
        <v>2.1999999999999971</v>
      </c>
      <c r="D224" s="306">
        <f t="shared" ca="1" si="95"/>
        <v>9.9786277377167512</v>
      </c>
      <c r="E224" s="307">
        <f t="shared" ca="1" si="96"/>
        <v>85.840418066811935</v>
      </c>
      <c r="F224" s="304">
        <f t="shared" ca="1" si="97"/>
        <v>86.418460906295849</v>
      </c>
      <c r="G224" s="306">
        <f t="shared" ca="1" si="98"/>
        <v>24.731345916342789</v>
      </c>
      <c r="H224" s="307">
        <f t="shared" ca="1" si="99"/>
        <v>236.96491491856284</v>
      </c>
      <c r="I224" s="304">
        <f t="shared" ca="1" si="100"/>
        <v>238.25198923239975</v>
      </c>
      <c r="J224" s="306">
        <f t="shared" ca="1" si="101"/>
        <v>27.147621008549173</v>
      </c>
      <c r="K224" s="307">
        <f t="shared" ca="1" si="102"/>
        <v>271.38284722658398</v>
      </c>
      <c r="L224" s="304">
        <f t="shared" ca="1" si="87"/>
        <v>272.73731518666682</v>
      </c>
      <c r="M224" s="306">
        <f t="shared" ca="1" si="103"/>
        <v>1.4668056879567377</v>
      </c>
      <c r="N224" s="304">
        <f t="shared" ca="1" si="104"/>
        <v>84.041775285704276</v>
      </c>
      <c r="P224" s="310">
        <f t="shared" ca="1" si="105"/>
        <v>8</v>
      </c>
      <c r="Q224" s="304">
        <f t="shared" ca="1" si="106"/>
        <v>880.5361111111115</v>
      </c>
      <c r="R224" s="306">
        <f t="shared" ca="1" si="107"/>
        <v>0.44108894492542972</v>
      </c>
      <c r="S224" s="307">
        <f t="shared" ca="1" si="108"/>
        <v>7.2528432589508238</v>
      </c>
      <c r="T224" s="304">
        <f t="shared" ca="1" si="88"/>
        <v>71.150392370307586</v>
      </c>
      <c r="U224" s="311">
        <f t="shared" ca="1" si="89"/>
        <v>0</v>
      </c>
      <c r="V224" s="306">
        <f t="shared" ca="1" si="90"/>
        <v>1.1922006601268398</v>
      </c>
      <c r="W224" s="304">
        <f t="shared" ca="1" si="91"/>
        <v>184.32504635082546</v>
      </c>
      <c r="Y224" s="314" t="str">
        <f t="shared" ca="1" si="109"/>
        <v/>
      </c>
      <c r="Z224" s="315" t="str">
        <f t="shared" ca="1" si="110"/>
        <v/>
      </c>
      <c r="AA224" s="316" t="str">
        <f t="shared" ca="1" si="111"/>
        <v/>
      </c>
      <c r="AC224" s="310" t="e">
        <f t="shared" ca="1" si="112"/>
        <v>#N/A</v>
      </c>
      <c r="AD224" s="323" t="e">
        <f t="shared" ca="1" si="113"/>
        <v>#N/A</v>
      </c>
      <c r="AE224" s="324">
        <f t="shared" ca="1" si="92"/>
        <v>271.38284722658398</v>
      </c>
      <c r="AG224" s="306">
        <f t="shared" ca="1" si="114"/>
        <v>86.412465986843131</v>
      </c>
      <c r="AH224" s="304">
        <f t="shared" ca="1" si="115"/>
        <v>96.169514337360738</v>
      </c>
    </row>
    <row r="225" spans="1:34" x14ac:dyDescent="0.2">
      <c r="A225" s="347">
        <f t="shared" ca="1" si="93"/>
        <v>0.01</v>
      </c>
      <c r="B225" s="304">
        <f t="shared" ca="1" si="94"/>
        <v>2.2099999999999969</v>
      </c>
      <c r="D225" s="306">
        <f t="shared" ca="1" si="95"/>
        <v>9.9496799514814604</v>
      </c>
      <c r="E225" s="307">
        <f t="shared" ca="1" si="96"/>
        <v>85.523471584808533</v>
      </c>
      <c r="F225" s="304">
        <f t="shared" ca="1" si="97"/>
        <v>86.100292235592704</v>
      </c>
      <c r="G225" s="306">
        <f t="shared" ca="1" si="98"/>
        <v>24.830842715857603</v>
      </c>
      <c r="H225" s="307">
        <f t="shared" ca="1" si="99"/>
        <v>237.82014963441094</v>
      </c>
      <c r="I225" s="304">
        <f t="shared" ca="1" si="100"/>
        <v>239.11293215155317</v>
      </c>
      <c r="J225" s="306">
        <f t="shared" ca="1" si="101"/>
        <v>27.395431951710176</v>
      </c>
      <c r="K225" s="307">
        <f t="shared" ca="1" si="102"/>
        <v>273.75677254934885</v>
      </c>
      <c r="L225" s="304">
        <f t="shared" ca="1" si="87"/>
        <v>275.12411782404087</v>
      </c>
      <c r="M225" s="306">
        <f t="shared" ca="1" si="103"/>
        <v>1.4667631009458217</v>
      </c>
      <c r="N225" s="304">
        <f t="shared" ca="1" si="104"/>
        <v>84.039335229716713</v>
      </c>
      <c r="P225" s="310">
        <f t="shared" ca="1" si="105"/>
        <v>8</v>
      </c>
      <c r="Q225" s="304">
        <f t="shared" ca="1" si="106"/>
        <v>879.09722222222263</v>
      </c>
      <c r="R225" s="306">
        <f t="shared" ca="1" si="107"/>
        <v>0.44036815906116339</v>
      </c>
      <c r="S225" s="307">
        <f t="shared" ca="1" si="108"/>
        <v>7.2484395773602124</v>
      </c>
      <c r="T225" s="304">
        <f t="shared" ca="1" si="88"/>
        <v>71.10719225390369</v>
      </c>
      <c r="U225" s="311">
        <f t="shared" ca="1" si="89"/>
        <v>0</v>
      </c>
      <c r="V225" s="306">
        <f t="shared" ca="1" si="90"/>
        <v>1.1919176216193914</v>
      </c>
      <c r="W225" s="304">
        <f t="shared" ca="1" si="91"/>
        <v>185.61552316406147</v>
      </c>
      <c r="Y225" s="314" t="str">
        <f t="shared" ca="1" si="109"/>
        <v/>
      </c>
      <c r="Z225" s="315" t="str">
        <f t="shared" ca="1" si="110"/>
        <v/>
      </c>
      <c r="AA225" s="316" t="str">
        <f t="shared" ca="1" si="111"/>
        <v/>
      </c>
      <c r="AC225" s="310" t="e">
        <f t="shared" ca="1" si="112"/>
        <v>#N/A</v>
      </c>
      <c r="AD225" s="323" t="e">
        <f t="shared" ca="1" si="113"/>
        <v>#N/A</v>
      </c>
      <c r="AE225" s="324">
        <f t="shared" ca="1" si="92"/>
        <v>273.75677254934885</v>
      </c>
      <c r="AG225" s="306">
        <f t="shared" ca="1" si="114"/>
        <v>86.094270231939106</v>
      </c>
      <c r="AH225" s="304">
        <f t="shared" ca="1" si="115"/>
        <v>95.85127508566805</v>
      </c>
    </row>
    <row r="226" spans="1:34" x14ac:dyDescent="0.2">
      <c r="A226" s="347">
        <f t="shared" ca="1" si="93"/>
        <v>0.01</v>
      </c>
      <c r="B226" s="304">
        <f t="shared" ca="1" si="94"/>
        <v>2.2199999999999966</v>
      </c>
      <c r="D226" s="306">
        <f t="shared" ca="1" si="95"/>
        <v>9.9206545941118485</v>
      </c>
      <c r="E226" s="307">
        <f t="shared" ca="1" si="96"/>
        <v>85.206169488933938</v>
      </c>
      <c r="F226" s="304">
        <f t="shared" ca="1" si="97"/>
        <v>85.781762085845557</v>
      </c>
      <c r="G226" s="306">
        <f t="shared" ca="1" si="98"/>
        <v>24.930049261798722</v>
      </c>
      <c r="H226" s="307">
        <f t="shared" ca="1" si="99"/>
        <v>238.67221132930027</v>
      </c>
      <c r="I226" s="304">
        <f t="shared" ca="1" si="100"/>
        <v>239.97068949564212</v>
      </c>
      <c r="J226" s="306">
        <f t="shared" ca="1" si="101"/>
        <v>27.644236411598456</v>
      </c>
      <c r="K226" s="307">
        <f t="shared" ca="1" si="102"/>
        <v>276.1392343541674</v>
      </c>
      <c r="L226" s="304">
        <f t="shared" ca="1" si="87"/>
        <v>277.51951383008389</v>
      </c>
      <c r="M226" s="306">
        <f t="shared" ca="1" si="103"/>
        <v>1.4667206488435229</v>
      </c>
      <c r="N226" s="304">
        <f t="shared" ca="1" si="104"/>
        <v>84.036902903423538</v>
      </c>
      <c r="P226" s="310">
        <f t="shared" ca="1" si="105"/>
        <v>8</v>
      </c>
      <c r="Q226" s="304">
        <f t="shared" ca="1" si="106"/>
        <v>877.65833333333376</v>
      </c>
      <c r="R226" s="306">
        <f t="shared" ca="1" si="107"/>
        <v>0.43964737319689712</v>
      </c>
      <c r="S226" s="307">
        <f t="shared" ca="1" si="108"/>
        <v>7.2440431036282433</v>
      </c>
      <c r="T226" s="304">
        <f t="shared" ca="1" si="88"/>
        <v>71.064062846593075</v>
      </c>
      <c r="U226" s="311">
        <f t="shared" ca="1" si="89"/>
        <v>0</v>
      </c>
      <c r="V226" s="306">
        <f t="shared" ca="1" si="90"/>
        <v>1.1916336319578318</v>
      </c>
      <c r="W226" s="304">
        <f t="shared" ca="1" si="91"/>
        <v>186.90506634749462</v>
      </c>
      <c r="Y226" s="314" t="str">
        <f t="shared" ca="1" si="109"/>
        <v/>
      </c>
      <c r="Z226" s="315" t="str">
        <f t="shared" ca="1" si="110"/>
        <v/>
      </c>
      <c r="AA226" s="316" t="str">
        <f t="shared" ca="1" si="111"/>
        <v/>
      </c>
      <c r="AC226" s="310" t="e">
        <f t="shared" ca="1" si="112"/>
        <v>#N/A</v>
      </c>
      <c r="AD226" s="323" t="e">
        <f t="shared" ca="1" si="113"/>
        <v>#N/A</v>
      </c>
      <c r="AE226" s="324">
        <f t="shared" ca="1" si="92"/>
        <v>276.1392343541674</v>
      </c>
      <c r="AG226" s="306">
        <f t="shared" ca="1" si="114"/>
        <v>85.775712785364561</v>
      </c>
      <c r="AH226" s="304">
        <f t="shared" ca="1" si="115"/>
        <v>95.532674263445031</v>
      </c>
    </row>
    <row r="227" spans="1:34" x14ac:dyDescent="0.2">
      <c r="A227" s="347">
        <f t="shared" ca="1" si="93"/>
        <v>0.01</v>
      </c>
      <c r="B227" s="304">
        <f t="shared" ca="1" si="94"/>
        <v>2.2299999999999964</v>
      </c>
      <c r="D227" s="306">
        <f t="shared" ca="1" si="95"/>
        <v>9.8915528023242718</v>
      </c>
      <c r="E227" s="307">
        <f t="shared" ca="1" si="96"/>
        <v>84.888520489041838</v>
      </c>
      <c r="F227" s="304">
        <f t="shared" ca="1" si="97"/>
        <v>85.462879238062442</v>
      </c>
      <c r="G227" s="306">
        <f t="shared" ca="1" si="98"/>
        <v>25.028964789821963</v>
      </c>
      <c r="H227" s="307">
        <f t="shared" ca="1" si="99"/>
        <v>239.52109653419069</v>
      </c>
      <c r="I227" s="304">
        <f t="shared" ca="1" si="100"/>
        <v>240.82525773554408</v>
      </c>
      <c r="J227" s="306">
        <f t="shared" ca="1" si="101"/>
        <v>27.894031481856558</v>
      </c>
      <c r="K227" s="307">
        <f t="shared" ca="1" si="102"/>
        <v>278.53020089348485</v>
      </c>
      <c r="L227" s="304">
        <f t="shared" ca="1" si="87"/>
        <v>279.92347133114049</v>
      </c>
      <c r="M227" s="306">
        <f t="shared" ca="1" si="103"/>
        <v>1.4666783301831754</v>
      </c>
      <c r="N227" s="304">
        <f t="shared" ca="1" si="104"/>
        <v>84.034478222790966</v>
      </c>
      <c r="P227" s="310">
        <f t="shared" ca="1" si="105"/>
        <v>8</v>
      </c>
      <c r="Q227" s="304">
        <f t="shared" ca="1" si="106"/>
        <v>876.21944444444489</v>
      </c>
      <c r="R227" s="306">
        <f t="shared" ca="1" si="107"/>
        <v>0.43892658733263079</v>
      </c>
      <c r="S227" s="307">
        <f t="shared" ca="1" si="108"/>
        <v>7.2396538377549167</v>
      </c>
      <c r="T227" s="304">
        <f t="shared" ca="1" si="88"/>
        <v>71.021004148375738</v>
      </c>
      <c r="U227" s="311">
        <f t="shared" ca="1" si="89"/>
        <v>0</v>
      </c>
      <c r="V227" s="306">
        <f t="shared" ca="1" si="90"/>
        <v>1.1913486956190262</v>
      </c>
      <c r="W227" s="304">
        <f t="shared" ca="1" si="91"/>
        <v>188.19361480750825</v>
      </c>
      <c r="Y227" s="314" t="str">
        <f t="shared" ca="1" si="109"/>
        <v/>
      </c>
      <c r="Z227" s="315" t="str">
        <f t="shared" ca="1" si="110"/>
        <v/>
      </c>
      <c r="AA227" s="316" t="str">
        <f t="shared" ca="1" si="111"/>
        <v/>
      </c>
      <c r="AC227" s="310" t="e">
        <f t="shared" ca="1" si="112"/>
        <v>#N/A</v>
      </c>
      <c r="AD227" s="323" t="e">
        <f t="shared" ca="1" si="113"/>
        <v>#N/A</v>
      </c>
      <c r="AE227" s="324">
        <f t="shared" ca="1" si="92"/>
        <v>278.53020089348485</v>
      </c>
      <c r="AG227" s="306">
        <f t="shared" ca="1" si="114"/>
        <v>85.456802425874059</v>
      </c>
      <c r="AH227" s="304">
        <f t="shared" ca="1" si="115"/>
        <v>95.213720648101173</v>
      </c>
    </row>
    <row r="228" spans="1:34" x14ac:dyDescent="0.2">
      <c r="A228" s="347">
        <f t="shared" ca="1" si="93"/>
        <v>0.01</v>
      </c>
      <c r="B228" s="304">
        <f t="shared" ca="1" si="94"/>
        <v>2.2399999999999962</v>
      </c>
      <c r="D228" s="306">
        <f t="shared" ca="1" si="95"/>
        <v>9.8623757084988206</v>
      </c>
      <c r="E228" s="307">
        <f t="shared" ca="1" si="96"/>
        <v>84.570533272890685</v>
      </c>
      <c r="F228" s="304">
        <f t="shared" ca="1" si="97"/>
        <v>85.143652450882669</v>
      </c>
      <c r="G228" s="306">
        <f t="shared" ca="1" si="98"/>
        <v>25.127588546906949</v>
      </c>
      <c r="H228" s="307">
        <f t="shared" ca="1" si="99"/>
        <v>240.36680186691959</v>
      </c>
      <c r="I228" s="304">
        <f t="shared" ca="1" si="100"/>
        <v>241.67663342970008</v>
      </c>
      <c r="J228" s="306">
        <f t="shared" ca="1" si="101"/>
        <v>28.144814248540204</v>
      </c>
      <c r="K228" s="307">
        <f t="shared" ca="1" si="102"/>
        <v>280.92964038549042</v>
      </c>
      <c r="L228" s="304">
        <f t="shared" ca="1" si="87"/>
        <v>282.33595841869987</v>
      </c>
      <c r="M228" s="306">
        <f t="shared" ca="1" si="103"/>
        <v>1.4666361435177604</v>
      </c>
      <c r="N228" s="304">
        <f t="shared" ca="1" si="104"/>
        <v>84.032061104910966</v>
      </c>
      <c r="P228" s="310">
        <f t="shared" ca="1" si="105"/>
        <v>8</v>
      </c>
      <c r="Q228" s="304">
        <f t="shared" ca="1" si="106"/>
        <v>874.78055555555613</v>
      </c>
      <c r="R228" s="306">
        <f t="shared" ca="1" si="107"/>
        <v>0.43820580146836452</v>
      </c>
      <c r="S228" s="307">
        <f t="shared" ca="1" si="108"/>
        <v>7.2352717797402333</v>
      </c>
      <c r="T228" s="304">
        <f t="shared" ca="1" si="88"/>
        <v>70.978016159251695</v>
      </c>
      <c r="U228" s="311">
        <f t="shared" ca="1" si="89"/>
        <v>0</v>
      </c>
      <c r="V228" s="306">
        <f t="shared" ca="1" si="90"/>
        <v>1.1910628170824142</v>
      </c>
      <c r="W228" s="304">
        <f t="shared" ca="1" si="91"/>
        <v>189.48110778486458</v>
      </c>
      <c r="Y228" s="314" t="str">
        <f t="shared" ca="1" si="109"/>
        <v/>
      </c>
      <c r="Z228" s="315" t="str">
        <f t="shared" ca="1" si="110"/>
        <v/>
      </c>
      <c r="AA228" s="316" t="str">
        <f t="shared" ca="1" si="111"/>
        <v/>
      </c>
      <c r="AC228" s="310" t="e">
        <f t="shared" ca="1" si="112"/>
        <v>#N/A</v>
      </c>
      <c r="AD228" s="323" t="e">
        <f t="shared" ca="1" si="113"/>
        <v>#N/A</v>
      </c>
      <c r="AE228" s="324">
        <f t="shared" ca="1" si="92"/>
        <v>280.92964038549042</v>
      </c>
      <c r="AG228" s="306">
        <f t="shared" ca="1" si="114"/>
        <v>85.137547909825869</v>
      </c>
      <c r="AH228" s="304">
        <f t="shared" ca="1" si="115"/>
        <v>94.894422994667153</v>
      </c>
    </row>
    <row r="229" spans="1:34" x14ac:dyDescent="0.2">
      <c r="A229" s="347">
        <f t="shared" ca="1" si="93"/>
        <v>0.01</v>
      </c>
      <c r="B229" s="304">
        <f t="shared" ca="1" si="94"/>
        <v>2.249999999999996</v>
      </c>
      <c r="D229" s="306">
        <f t="shared" ca="1" si="95"/>
        <v>9.8331244406654683</v>
      </c>
      <c r="E229" s="307">
        <f t="shared" ca="1" si="96"/>
        <v>84.252216505576371</v>
      </c>
      <c r="F229" s="304">
        <f t="shared" ca="1" si="97"/>
        <v>84.824090460010993</v>
      </c>
      <c r="G229" s="306">
        <f t="shared" ca="1" si="98"/>
        <v>25.225919791313604</v>
      </c>
      <c r="H229" s="307">
        <f t="shared" ca="1" si="99"/>
        <v>241.20932403197534</v>
      </c>
      <c r="I229" s="304">
        <f t="shared" ca="1" si="100"/>
        <v>242.52481322388493</v>
      </c>
      <c r="J229" s="306">
        <f t="shared" ca="1" si="101"/>
        <v>28.396581790231306</v>
      </c>
      <c r="K229" s="307">
        <f t="shared" ca="1" si="102"/>
        <v>283.33752101498487</v>
      </c>
      <c r="L229" s="304">
        <f t="shared" ca="1" si="87"/>
        <v>284.75694315027033</v>
      </c>
      <c r="M229" s="306">
        <f t="shared" ca="1" si="103"/>
        <v>1.4665940874195462</v>
      </c>
      <c r="N229" s="304">
        <f t="shared" ca="1" si="104"/>
        <v>84.0296514679805</v>
      </c>
      <c r="P229" s="310">
        <f t="shared" ca="1" si="105"/>
        <v>8</v>
      </c>
      <c r="Q229" s="304">
        <f t="shared" ca="1" si="106"/>
        <v>873.34166666666727</v>
      </c>
      <c r="R229" s="306">
        <f t="shared" ca="1" si="107"/>
        <v>0.43748501560409825</v>
      </c>
      <c r="S229" s="307">
        <f t="shared" ca="1" si="108"/>
        <v>7.2308969295841923</v>
      </c>
      <c r="T229" s="304">
        <f t="shared" ca="1" si="88"/>
        <v>70.935098879220931</v>
      </c>
      <c r="U229" s="311">
        <f t="shared" ca="1" si="89"/>
        <v>0</v>
      </c>
      <c r="V229" s="306">
        <f t="shared" ca="1" si="90"/>
        <v>1.1907760008298685</v>
      </c>
      <c r="W229" s="304">
        <f t="shared" ca="1" si="91"/>
        <v>190.76748485762175</v>
      </c>
      <c r="Y229" s="314" t="str">
        <f t="shared" ca="1" si="109"/>
        <v/>
      </c>
      <c r="Z229" s="315" t="str">
        <f t="shared" ca="1" si="110"/>
        <v/>
      </c>
      <c r="AA229" s="316" t="str">
        <f t="shared" ca="1" si="111"/>
        <v/>
      </c>
      <c r="AC229" s="310" t="e">
        <f t="shared" ca="1" si="112"/>
        <v>#N/A</v>
      </c>
      <c r="AD229" s="323" t="e">
        <f t="shared" ca="1" si="113"/>
        <v>#N/A</v>
      </c>
      <c r="AE229" s="324">
        <f t="shared" ca="1" si="92"/>
        <v>283.33752101498487</v>
      </c>
      <c r="AG229" s="306">
        <f t="shared" ca="1" si="114"/>
        <v>84.817957970615979</v>
      </c>
      <c r="AH229" s="304">
        <f t="shared" ca="1" si="115"/>
        <v>94.574790035228403</v>
      </c>
    </row>
    <row r="230" spans="1:34" x14ac:dyDescent="0.2">
      <c r="A230" s="347">
        <f t="shared" ca="1" si="93"/>
        <v>0.01</v>
      </c>
      <c r="B230" s="304">
        <f t="shared" ca="1" si="94"/>
        <v>2.2599999999999958</v>
      </c>
      <c r="D230" s="306">
        <f t="shared" ca="1" si="95"/>
        <v>9.8038001224896192</v>
      </c>
      <c r="E230" s="307">
        <f t="shared" ca="1" si="96"/>
        <v>83.93357882897152</v>
      </c>
      <c r="F230" s="304">
        <f t="shared" ca="1" si="97"/>
        <v>84.504201977658497</v>
      </c>
      <c r="G230" s="306">
        <f t="shared" ca="1" si="98"/>
        <v>25.323957792538501</v>
      </c>
      <c r="H230" s="307">
        <f t="shared" ca="1" si="99"/>
        <v>242.04865982026504</v>
      </c>
      <c r="I230" s="304">
        <f t="shared" ca="1" si="100"/>
        <v>243.36979385097212</v>
      </c>
      <c r="J230" s="306">
        <f t="shared" ca="1" si="101"/>
        <v>28.649331178150565</v>
      </c>
      <c r="K230" s="307">
        <f t="shared" ca="1" si="102"/>
        <v>285.75381093424608</v>
      </c>
      <c r="L230" s="304">
        <f t="shared" ca="1" si="87"/>
        <v>287.18639355025198</v>
      </c>
      <c r="M230" s="306">
        <f t="shared" ca="1" si="103"/>
        <v>1.4665521604797369</v>
      </c>
      <c r="N230" s="304">
        <f t="shared" ca="1" si="104"/>
        <v>84.02724923128153</v>
      </c>
      <c r="P230" s="310">
        <f t="shared" ca="1" si="105"/>
        <v>8</v>
      </c>
      <c r="Q230" s="304">
        <f t="shared" ca="1" si="106"/>
        <v>871.9027777777784</v>
      </c>
      <c r="R230" s="306">
        <f t="shared" ca="1" si="107"/>
        <v>0.43676422973983192</v>
      </c>
      <c r="S230" s="307">
        <f t="shared" ca="1" si="108"/>
        <v>7.2265292872867937</v>
      </c>
      <c r="T230" s="304">
        <f t="shared" ca="1" si="88"/>
        <v>70.892252308283446</v>
      </c>
      <c r="U230" s="311">
        <f t="shared" ca="1" si="89"/>
        <v>0</v>
      </c>
      <c r="V230" s="306">
        <f t="shared" ca="1" si="90"/>
        <v>1.1904882513455555</v>
      </c>
      <c r="W230" s="304">
        <f t="shared" ca="1" si="91"/>
        <v>192.05268594399598</v>
      </c>
      <c r="Y230" s="314" t="str">
        <f t="shared" ca="1" si="109"/>
        <v/>
      </c>
      <c r="Z230" s="315" t="str">
        <f t="shared" ca="1" si="110"/>
        <v/>
      </c>
      <c r="AA230" s="316" t="str">
        <f t="shared" ca="1" si="111"/>
        <v/>
      </c>
      <c r="AC230" s="310" t="e">
        <f t="shared" ca="1" si="112"/>
        <v>#N/A</v>
      </c>
      <c r="AD230" s="323" t="e">
        <f t="shared" ca="1" si="113"/>
        <v>#N/A</v>
      </c>
      <c r="AE230" s="324">
        <f t="shared" ca="1" si="92"/>
        <v>285.75381093424608</v>
      </c>
      <c r="AG230" s="306">
        <f t="shared" ca="1" si="114"/>
        <v>84.498041318118212</v>
      </c>
      <c r="AH230" s="304">
        <f t="shared" ca="1" si="115"/>
        <v>94.254830478365008</v>
      </c>
    </row>
    <row r="231" spans="1:34" x14ac:dyDescent="0.2">
      <c r="A231" s="347">
        <f t="shared" ca="1" si="93"/>
        <v>0.01</v>
      </c>
      <c r="B231" s="304">
        <f t="shared" ca="1" si="94"/>
        <v>2.2699999999999956</v>
      </c>
      <c r="D231" s="306">
        <f t="shared" ca="1" si="95"/>
        <v>9.7744038732569525</v>
      </c>
      <c r="E231" s="307">
        <f t="shared" ca="1" si="96"/>
        <v>83.614628861170303</v>
      </c>
      <c r="F231" s="304">
        <f t="shared" ca="1" si="97"/>
        <v>84.183995691988827</v>
      </c>
      <c r="G231" s="306">
        <f t="shared" ca="1" si="98"/>
        <v>25.421701831271069</v>
      </c>
      <c r="H231" s="307">
        <f t="shared" ca="1" si="99"/>
        <v>242.88480610887675</v>
      </c>
      <c r="I231" s="304">
        <f t="shared" ca="1" si="100"/>
        <v>244.21157213069307</v>
      </c>
      <c r="J231" s="306">
        <f t="shared" ca="1" si="101"/>
        <v>28.903059476269611</v>
      </c>
      <c r="K231" s="307">
        <f t="shared" ca="1" si="102"/>
        <v>288.1784782638918</v>
      </c>
      <c r="L231" s="304">
        <f t="shared" ca="1" si="87"/>
        <v>289.62427761080585</v>
      </c>
      <c r="M231" s="306">
        <f t="shared" ca="1" si="103"/>
        <v>1.4665103613081285</v>
      </c>
      <c r="N231" s="304">
        <f t="shared" ca="1" si="104"/>
        <v>84.024854315161221</v>
      </c>
      <c r="P231" s="310">
        <f t="shared" ca="1" si="105"/>
        <v>8</v>
      </c>
      <c r="Q231" s="304">
        <f t="shared" ca="1" si="106"/>
        <v>870.46388888888953</v>
      </c>
      <c r="R231" s="306">
        <f t="shared" ca="1" si="107"/>
        <v>0.43604344387556565</v>
      </c>
      <c r="S231" s="307">
        <f t="shared" ca="1" si="108"/>
        <v>7.2221688528480383</v>
      </c>
      <c r="T231" s="304">
        <f t="shared" ca="1" si="88"/>
        <v>70.849476446439255</v>
      </c>
      <c r="U231" s="311">
        <f t="shared" ca="1" si="89"/>
        <v>0</v>
      </c>
      <c r="V231" s="306">
        <f t="shared" ca="1" si="90"/>
        <v>1.1901995731157944</v>
      </c>
      <c r="W231" s="304">
        <f t="shared" ca="1" si="91"/>
        <v>193.33665130516806</v>
      </c>
      <c r="Y231" s="314" t="str">
        <f t="shared" ca="1" si="109"/>
        <v/>
      </c>
      <c r="Z231" s="315" t="str">
        <f t="shared" ca="1" si="110"/>
        <v/>
      </c>
      <c r="AA231" s="316" t="str">
        <f t="shared" ca="1" si="111"/>
        <v/>
      </c>
      <c r="AC231" s="310" t="e">
        <f t="shared" ca="1" si="112"/>
        <v>#N/A</v>
      </c>
      <c r="AD231" s="323" t="e">
        <f t="shared" ca="1" si="113"/>
        <v>#N/A</v>
      </c>
      <c r="AE231" s="324">
        <f t="shared" ca="1" si="92"/>
        <v>288.1784782638918</v>
      </c>
      <c r="AG231" s="306">
        <f t="shared" ca="1" si="114"/>
        <v>84.177806638130079</v>
      </c>
      <c r="AH231" s="304">
        <f t="shared" ca="1" si="115"/>
        <v>93.934553008597192</v>
      </c>
    </row>
    <row r="232" spans="1:34" x14ac:dyDescent="0.2">
      <c r="A232" s="347">
        <f t="shared" ca="1" si="93"/>
        <v>0.01</v>
      </c>
      <c r="B232" s="304">
        <f t="shared" ca="1" si="94"/>
        <v>2.2799999999999954</v>
      </c>
      <c r="D232" s="306">
        <f t="shared" ca="1" si="95"/>
        <v>9.7449368078577852</v>
      </c>
      <c r="E232" s="307">
        <f t="shared" ca="1" si="96"/>
        <v>83.295375195939542</v>
      </c>
      <c r="F232" s="304">
        <f t="shared" ca="1" si="97"/>
        <v>83.863480266570633</v>
      </c>
      <c r="G232" s="306">
        <f t="shared" ca="1" si="98"/>
        <v>25.519151199349647</v>
      </c>
      <c r="H232" s="307">
        <f t="shared" ca="1" si="99"/>
        <v>243.71775986083614</v>
      </c>
      <c r="I232" s="304">
        <f t="shared" ca="1" si="100"/>
        <v>245.05014496939083</v>
      </c>
      <c r="J232" s="306">
        <f t="shared" ca="1" si="101"/>
        <v>29.157763741422716</v>
      </c>
      <c r="K232" s="307">
        <f t="shared" ca="1" si="102"/>
        <v>290.61149109374037</v>
      </c>
      <c r="L232" s="304">
        <f t="shared" ca="1" si="87"/>
        <v>292.07056329272172</v>
      </c>
      <c r="M232" s="306">
        <f t="shared" ca="1" si="103"/>
        <v>1.4664686885327713</v>
      </c>
      <c r="N232" s="304">
        <f t="shared" ca="1" si="104"/>
        <v>84.022466641012656</v>
      </c>
      <c r="P232" s="310">
        <f t="shared" ca="1" si="105"/>
        <v>8</v>
      </c>
      <c r="Q232" s="304">
        <f t="shared" ca="1" si="106"/>
        <v>869.02500000000066</v>
      </c>
      <c r="R232" s="306">
        <f t="shared" ca="1" si="107"/>
        <v>0.43532265801129932</v>
      </c>
      <c r="S232" s="307">
        <f t="shared" ca="1" si="108"/>
        <v>7.2178156262679254</v>
      </c>
      <c r="T232" s="304">
        <f t="shared" ca="1" si="88"/>
        <v>70.806771293688357</v>
      </c>
      <c r="U232" s="311">
        <f t="shared" ca="1" si="89"/>
        <v>0</v>
      </c>
      <c r="V232" s="306">
        <f t="shared" ca="1" si="90"/>
        <v>1.1899099706289196</v>
      </c>
      <c r="W232" s="304">
        <f t="shared" ca="1" si="91"/>
        <v>194.61932154803532</v>
      </c>
      <c r="Y232" s="314" t="str">
        <f t="shared" ca="1" si="109"/>
        <v/>
      </c>
      <c r="Z232" s="315" t="str">
        <f t="shared" ca="1" si="110"/>
        <v/>
      </c>
      <c r="AA232" s="316" t="str">
        <f t="shared" ca="1" si="111"/>
        <v/>
      </c>
      <c r="AC232" s="310" t="e">
        <f t="shared" ca="1" si="112"/>
        <v>#N/A</v>
      </c>
      <c r="AD232" s="323" t="e">
        <f t="shared" ca="1" si="113"/>
        <v>#N/A</v>
      </c>
      <c r="AE232" s="324">
        <f t="shared" ca="1" si="92"/>
        <v>290.61149109374037</v>
      </c>
      <c r="AG232" s="306">
        <f t="shared" ca="1" si="114"/>
        <v>83.85726259182465</v>
      </c>
      <c r="AH232" s="304">
        <f t="shared" ca="1" si="115"/>
        <v>93.613966285836938</v>
      </c>
    </row>
    <row r="233" spans="1:34" x14ac:dyDescent="0.2">
      <c r="A233" s="347">
        <f t="shared" ca="1" si="93"/>
        <v>0.01</v>
      </c>
      <c r="B233" s="304">
        <f t="shared" ca="1" si="94"/>
        <v>2.2899999999999952</v>
      </c>
      <c r="D233" s="306">
        <f t="shared" ca="1" si="95"/>
        <v>9.7154000367710971</v>
      </c>
      <c r="E233" s="307">
        <f t="shared" ca="1" si="96"/>
        <v>82.975826402175869</v>
      </c>
      <c r="F233" s="304">
        <f t="shared" ca="1" si="97"/>
        <v>83.542664339836065</v>
      </c>
      <c r="G233" s="306">
        <f t="shared" ca="1" si="98"/>
        <v>25.61630519971736</v>
      </c>
      <c r="H233" s="307">
        <f t="shared" ca="1" si="99"/>
        <v>244.5475181248579</v>
      </c>
      <c r="I233" s="304">
        <f t="shared" ca="1" si="100"/>
        <v>245.88550935976843</v>
      </c>
      <c r="J233" s="306">
        <f t="shared" ca="1" si="101"/>
        <v>29.413441023418052</v>
      </c>
      <c r="K233" s="307">
        <f t="shared" ca="1" si="102"/>
        <v>293.05281748366883</v>
      </c>
      <c r="L233" s="304">
        <f t="shared" ca="1" si="87"/>
        <v>294.52521852628274</v>
      </c>
      <c r="M233" s="306">
        <f t="shared" ca="1" si="103"/>
        <v>1.4664271407996439</v>
      </c>
      <c r="N233" s="304">
        <f t="shared" ca="1" si="104"/>
        <v>84.020086131256122</v>
      </c>
      <c r="P233" s="310">
        <f t="shared" ca="1" si="105"/>
        <v>8</v>
      </c>
      <c r="Q233" s="304">
        <f t="shared" ca="1" si="106"/>
        <v>867.58611111111179</v>
      </c>
      <c r="R233" s="306">
        <f t="shared" ca="1" si="107"/>
        <v>0.434601872147033</v>
      </c>
      <c r="S233" s="307">
        <f t="shared" ca="1" si="108"/>
        <v>7.2134696075464548</v>
      </c>
      <c r="T233" s="304">
        <f t="shared" ca="1" si="88"/>
        <v>70.764136850030724</v>
      </c>
      <c r="U233" s="311">
        <f t="shared" ca="1" si="89"/>
        <v>0</v>
      </c>
      <c r="V233" s="306">
        <f t="shared" ca="1" si="90"/>
        <v>1.1896194483751401</v>
      </c>
      <c r="W233" s="304">
        <f t="shared" ca="1" si="91"/>
        <v>195.9006376279074</v>
      </c>
      <c r="Y233" s="314" t="str">
        <f t="shared" ca="1" si="109"/>
        <v/>
      </c>
      <c r="Z233" s="315" t="str">
        <f t="shared" ca="1" si="110"/>
        <v/>
      </c>
      <c r="AA233" s="316" t="str">
        <f t="shared" ca="1" si="111"/>
        <v/>
      </c>
      <c r="AC233" s="310" t="e">
        <f t="shared" ca="1" si="112"/>
        <v>#N/A</v>
      </c>
      <c r="AD233" s="323" t="e">
        <f t="shared" ca="1" si="113"/>
        <v>#N/A</v>
      </c>
      <c r="AE233" s="324">
        <f t="shared" ca="1" si="92"/>
        <v>293.05281748366883</v>
      </c>
      <c r="AG233" s="306">
        <f t="shared" ca="1" si="114"/>
        <v>83.536417815208551</v>
      </c>
      <c r="AH233" s="304">
        <f t="shared" ca="1" si="115"/>
        <v>93.293078944845689</v>
      </c>
    </row>
    <row r="234" spans="1:34" x14ac:dyDescent="0.2">
      <c r="A234" s="347">
        <f t="shared" ca="1" si="93"/>
        <v>0.01</v>
      </c>
      <c r="B234" s="304">
        <f t="shared" ca="1" si="94"/>
        <v>2.2999999999999949</v>
      </c>
      <c r="D234" s="306">
        <f t="shared" ca="1" si="95"/>
        <v>9.685794666047677</v>
      </c>
      <c r="E234" s="307">
        <f t="shared" ca="1" si="96"/>
        <v>82.655991023369083</v>
      </c>
      <c r="F234" s="304">
        <f t="shared" ca="1" si="97"/>
        <v>83.22155652454542</v>
      </c>
      <c r="G234" s="306">
        <f t="shared" ca="1" si="98"/>
        <v>25.713163146377838</v>
      </c>
      <c r="H234" s="307">
        <f t="shared" ca="1" si="99"/>
        <v>245.3740780350916</v>
      </c>
      <c r="I234" s="304">
        <f t="shared" ca="1" si="100"/>
        <v>246.71766238063191</v>
      </c>
      <c r="J234" s="306">
        <f t="shared" ca="1" si="101"/>
        <v>29.67008836514853</v>
      </c>
      <c r="K234" s="307">
        <f t="shared" ca="1" si="102"/>
        <v>295.50242546446856</v>
      </c>
      <c r="L234" s="304">
        <f t="shared" ca="1" si="87"/>
        <v>296.98821121212796</v>
      </c>
      <c r="M234" s="306">
        <f t="shared" ca="1" si="103"/>
        <v>1.4663857167723289</v>
      </c>
      <c r="N234" s="304">
        <f t="shared" ca="1" si="104"/>
        <v>84.017712709320534</v>
      </c>
      <c r="P234" s="310">
        <f t="shared" ca="1" si="105"/>
        <v>8</v>
      </c>
      <c r="Q234" s="304">
        <f t="shared" ca="1" si="106"/>
        <v>866.14722222222292</v>
      </c>
      <c r="R234" s="306">
        <f t="shared" ca="1" si="107"/>
        <v>0.43388108628276673</v>
      </c>
      <c r="S234" s="307">
        <f t="shared" ca="1" si="108"/>
        <v>7.2091307966836276</v>
      </c>
      <c r="T234" s="304">
        <f t="shared" ca="1" si="88"/>
        <v>70.721573115466384</v>
      </c>
      <c r="U234" s="311">
        <f t="shared" ca="1" si="89"/>
        <v>0</v>
      </c>
      <c r="V234" s="306">
        <f t="shared" ca="1" si="90"/>
        <v>1.1893280108464044</v>
      </c>
      <c r="W234" s="304">
        <f t="shared" ca="1" si="91"/>
        <v>197.18054085114818</v>
      </c>
      <c r="Y234" s="314" t="str">
        <f t="shared" ca="1" si="109"/>
        <v/>
      </c>
      <c r="Z234" s="315" t="str">
        <f t="shared" ca="1" si="110"/>
        <v/>
      </c>
      <c r="AA234" s="316" t="str">
        <f t="shared" ca="1" si="111"/>
        <v/>
      </c>
      <c r="AC234" s="310" t="e">
        <f t="shared" ca="1" si="112"/>
        <v>#N/A</v>
      </c>
      <c r="AD234" s="323" t="e">
        <f t="shared" ca="1" si="113"/>
        <v>#N/A</v>
      </c>
      <c r="AE234" s="324">
        <f t="shared" ca="1" si="92"/>
        <v>295.50242546446856</v>
      </c>
      <c r="AG234" s="306">
        <f t="shared" ca="1" si="114"/>
        <v>83.215280918585904</v>
      </c>
      <c r="AH234" s="304">
        <f t="shared" ca="1" si="115"/>
        <v>92.971899594698016</v>
      </c>
    </row>
    <row r="235" spans="1:34" x14ac:dyDescent="0.2">
      <c r="A235" s="347">
        <f t="shared" ca="1" si="93"/>
        <v>0.01</v>
      </c>
      <c r="B235" s="304">
        <f t="shared" ca="1" si="94"/>
        <v>2.3099999999999947</v>
      </c>
      <c r="D235" s="306">
        <f t="shared" ca="1" si="95"/>
        <v>9.6561217972933058</v>
      </c>
      <c r="E235" s="307">
        <f t="shared" ca="1" si="96"/>
        <v>82.335877577071415</v>
      </c>
      <c r="F235" s="304">
        <f t="shared" ca="1" si="97"/>
        <v>82.900165407257504</v>
      </c>
      <c r="G235" s="306">
        <f t="shared" ca="1" si="98"/>
        <v>25.809724364350771</v>
      </c>
      <c r="H235" s="307">
        <f t="shared" ca="1" si="99"/>
        <v>246.19743681086231</v>
      </c>
      <c r="I235" s="304">
        <f t="shared" ca="1" si="100"/>
        <v>247.54660119662785</v>
      </c>
      <c r="J235" s="306">
        <f t="shared" ca="1" si="101"/>
        <v>29.927702802702171</v>
      </c>
      <c r="K235" s="307">
        <f t="shared" ca="1" si="102"/>
        <v>297.96028303869832</v>
      </c>
      <c r="L235" s="304">
        <f t="shared" ca="1" si="87"/>
        <v>299.45950922211182</v>
      </c>
      <c r="M235" s="306">
        <f t="shared" ca="1" si="103"/>
        <v>1.4663444151317016</v>
      </c>
      <c r="N235" s="304">
        <f t="shared" ca="1" si="104"/>
        <v>84.01534629962562</v>
      </c>
      <c r="P235" s="310">
        <f t="shared" ca="1" si="105"/>
        <v>8</v>
      </c>
      <c r="Q235" s="304">
        <f t="shared" ca="1" si="106"/>
        <v>864.70833333333405</v>
      </c>
      <c r="R235" s="306">
        <f t="shared" ca="1" si="107"/>
        <v>0.4331603004185004</v>
      </c>
      <c r="S235" s="307">
        <f t="shared" ca="1" si="108"/>
        <v>7.2047991936794427</v>
      </c>
      <c r="T235" s="304">
        <f t="shared" ca="1" si="88"/>
        <v>70.679080089995338</v>
      </c>
      <c r="U235" s="311">
        <f t="shared" ca="1" si="89"/>
        <v>0</v>
      </c>
      <c r="V235" s="306">
        <f t="shared" ca="1" si="90"/>
        <v>1.1890356625362595</v>
      </c>
      <c r="W235" s="304">
        <f t="shared" ca="1" si="91"/>
        <v>198.45897287776094</v>
      </c>
      <c r="Y235" s="314" t="str">
        <f t="shared" ca="1" si="109"/>
        <v/>
      </c>
      <c r="Z235" s="315" t="str">
        <f t="shared" ca="1" si="110"/>
        <v/>
      </c>
      <c r="AA235" s="316" t="str">
        <f t="shared" ca="1" si="111"/>
        <v/>
      </c>
      <c r="AC235" s="310" t="e">
        <f t="shared" ca="1" si="112"/>
        <v>#N/A</v>
      </c>
      <c r="AD235" s="323" t="e">
        <f t="shared" ca="1" si="113"/>
        <v>#N/A</v>
      </c>
      <c r="AE235" s="324">
        <f t="shared" ca="1" si="92"/>
        <v>297.96028303869832</v>
      </c>
      <c r="AG235" s="306">
        <f t="shared" ca="1" si="114"/>
        <v>82.893860486028444</v>
      </c>
      <c r="AH235" s="304">
        <f t="shared" ca="1" si="115"/>
        <v>92.650436818251407</v>
      </c>
    </row>
    <row r="236" spans="1:34" x14ac:dyDescent="0.2">
      <c r="A236" s="347">
        <f t="shared" ca="1" si="93"/>
        <v>0.01</v>
      </c>
      <c r="B236" s="304">
        <f t="shared" ca="1" si="94"/>
        <v>2.3199999999999945</v>
      </c>
      <c r="D236" s="306">
        <f t="shared" ca="1" si="95"/>
        <v>9.6263825276511028</v>
      </c>
      <c r="E236" s="307">
        <f t="shared" ca="1" si="96"/>
        <v>82.015494554373433</v>
      </c>
      <c r="F236" s="304">
        <f t="shared" ca="1" si="97"/>
        <v>82.578499547806786</v>
      </c>
      <c r="G236" s="306">
        <f t="shared" ca="1" si="98"/>
        <v>25.905988189627283</v>
      </c>
      <c r="H236" s="307">
        <f t="shared" ca="1" si="99"/>
        <v>247.01759175640603</v>
      </c>
      <c r="I236" s="304">
        <f t="shared" ca="1" si="100"/>
        <v>248.37232305797599</v>
      </c>
      <c r="J236" s="306">
        <f t="shared" ca="1" si="101"/>
        <v>30.186281365472063</v>
      </c>
      <c r="K236" s="307">
        <f t="shared" ca="1" si="102"/>
        <v>300.42635818153468</v>
      </c>
      <c r="L236" s="304">
        <f t="shared" ca="1" si="87"/>
        <v>301.93908040016152</v>
      </c>
      <c r="M236" s="306">
        <f t="shared" ca="1" si="103"/>
        <v>1.4663032345756213</v>
      </c>
      <c r="N236" s="304">
        <f t="shared" ca="1" si="104"/>
        <v>84.01298682756422</v>
      </c>
      <c r="P236" s="310">
        <f t="shared" ca="1" si="105"/>
        <v>8</v>
      </c>
      <c r="Q236" s="304">
        <f t="shared" ca="1" si="106"/>
        <v>863.2694444444453</v>
      </c>
      <c r="R236" s="306">
        <f t="shared" ca="1" si="107"/>
        <v>0.43243951455423413</v>
      </c>
      <c r="S236" s="307">
        <f t="shared" ca="1" si="108"/>
        <v>7.2004747985339002</v>
      </c>
      <c r="T236" s="304">
        <f t="shared" ca="1" si="88"/>
        <v>70.636657773617557</v>
      </c>
      <c r="U236" s="311">
        <f t="shared" ca="1" si="89"/>
        <v>0</v>
      </c>
      <c r="V236" s="306">
        <f t="shared" ca="1" si="90"/>
        <v>1.1887424079397171</v>
      </c>
      <c r="W236" s="304">
        <f t="shared" ca="1" si="91"/>
        <v>199.73587572391989</v>
      </c>
      <c r="Y236" s="314" t="str">
        <f t="shared" ca="1" si="109"/>
        <v/>
      </c>
      <c r="Z236" s="315" t="str">
        <f t="shared" ca="1" si="110"/>
        <v/>
      </c>
      <c r="AA236" s="316" t="str">
        <f t="shared" ca="1" si="111"/>
        <v/>
      </c>
      <c r="AC236" s="310" t="e">
        <f t="shared" ca="1" si="112"/>
        <v>#N/A</v>
      </c>
      <c r="AD236" s="323" t="e">
        <f t="shared" ca="1" si="113"/>
        <v>#N/A</v>
      </c>
      <c r="AE236" s="324">
        <f t="shared" ca="1" si="92"/>
        <v>300.42635818153468</v>
      </c>
      <c r="AG236" s="306">
        <f t="shared" ca="1" si="114"/>
        <v>82.572165074851782</v>
      </c>
      <c r="AH236" s="304">
        <f t="shared" ca="1" si="115"/>
        <v>92.328699171622318</v>
      </c>
    </row>
    <row r="237" spans="1:34" x14ac:dyDescent="0.2">
      <c r="A237" s="347">
        <f t="shared" ca="1" si="93"/>
        <v>0.01</v>
      </c>
      <c r="B237" s="304">
        <f t="shared" ca="1" si="94"/>
        <v>2.3299999999999943</v>
      </c>
      <c r="D237" s="306">
        <f t="shared" ca="1" si="95"/>
        <v>9.5965779497837751</v>
      </c>
      <c r="E237" s="307">
        <f t="shared" ca="1" si="96"/>
        <v>81.694850419385716</v>
      </c>
      <c r="F237" s="304">
        <f t="shared" ca="1" si="97"/>
        <v>82.256567478786053</v>
      </c>
      <c r="G237" s="306">
        <f t="shared" ca="1" si="98"/>
        <v>26.001953969125122</v>
      </c>
      <c r="H237" s="307">
        <f t="shared" ca="1" si="99"/>
        <v>247.83454026059988</v>
      </c>
      <c r="I237" s="304">
        <f t="shared" ca="1" si="100"/>
        <v>249.19482530019641</v>
      </c>
      <c r="J237" s="306">
        <f t="shared" ca="1" si="101"/>
        <v>30.445821076265826</v>
      </c>
      <c r="K237" s="307">
        <f t="shared" ca="1" si="102"/>
        <v>302.90061884161969</v>
      </c>
      <c r="L237" s="304">
        <f t="shared" ca="1" si="87"/>
        <v>304.4268925631311</v>
      </c>
      <c r="M237" s="306">
        <f t="shared" ca="1" si="103"/>
        <v>1.4662621738186312</v>
      </c>
      <c r="N237" s="304">
        <f t="shared" ca="1" si="104"/>
        <v>84.010634219485084</v>
      </c>
      <c r="P237" s="310">
        <f t="shared" ca="1" si="105"/>
        <v>8</v>
      </c>
      <c r="Q237" s="304">
        <f t="shared" ca="1" si="106"/>
        <v>861.83055555555643</v>
      </c>
      <c r="R237" s="306">
        <f t="shared" ca="1" si="107"/>
        <v>0.43171872868996786</v>
      </c>
      <c r="S237" s="307">
        <f t="shared" ca="1" si="108"/>
        <v>7.196157611247</v>
      </c>
      <c r="T237" s="304">
        <f t="shared" ca="1" si="88"/>
        <v>70.59430616633307</v>
      </c>
      <c r="U237" s="311">
        <f t="shared" ca="1" si="89"/>
        <v>0</v>
      </c>
      <c r="V237" s="306">
        <f t="shared" ca="1" si="90"/>
        <v>1.1884482515531167</v>
      </c>
      <c r="W237" s="304">
        <f t="shared" ca="1" si="91"/>
        <v>201.0111917644459</v>
      </c>
      <c r="Y237" s="314" t="str">
        <f t="shared" ca="1" si="109"/>
        <v/>
      </c>
      <c r="Z237" s="315" t="str">
        <f t="shared" ca="1" si="110"/>
        <v/>
      </c>
      <c r="AA237" s="316" t="str">
        <f t="shared" ca="1" si="111"/>
        <v/>
      </c>
      <c r="AC237" s="310" t="e">
        <f t="shared" ca="1" si="112"/>
        <v>#N/A</v>
      </c>
      <c r="AD237" s="323" t="e">
        <f t="shared" ca="1" si="113"/>
        <v>#N/A</v>
      </c>
      <c r="AE237" s="324">
        <f t="shared" ca="1" si="92"/>
        <v>302.90061884161969</v>
      </c>
      <c r="AG237" s="306">
        <f t="shared" ca="1" si="114"/>
        <v>82.25020321509767</v>
      </c>
      <c r="AH237" s="304">
        <f t="shared" ca="1" si="115"/>
        <v>92.006695183668185</v>
      </c>
    </row>
    <row r="238" spans="1:34" x14ac:dyDescent="0.2">
      <c r="A238" s="347">
        <f t="shared" ca="1" si="93"/>
        <v>0.01</v>
      </c>
      <c r="B238" s="304">
        <f t="shared" ca="1" si="94"/>
        <v>2.3399999999999941</v>
      </c>
      <c r="D238" s="306">
        <f t="shared" ca="1" si="95"/>
        <v>9.5667091518554255</v>
      </c>
      <c r="E238" s="307">
        <f t="shared" ca="1" si="96"/>
        <v>81.373953608727007</v>
      </c>
      <c r="F238" s="304">
        <f t="shared" ca="1" si="97"/>
        <v>81.934377705035686</v>
      </c>
      <c r="G238" s="306">
        <f t="shared" ca="1" si="98"/>
        <v>26.097621060643675</v>
      </c>
      <c r="H238" s="307">
        <f t="shared" ca="1" si="99"/>
        <v>248.64827979668715</v>
      </c>
      <c r="I238" s="304">
        <f t="shared" ca="1" si="100"/>
        <v>250.01410534383169</v>
      </c>
      <c r="J238" s="306">
        <f t="shared" ca="1" si="101"/>
        <v>30.706318951414669</v>
      </c>
      <c r="K238" s="307">
        <f t="shared" ca="1" si="102"/>
        <v>305.38303294190615</v>
      </c>
      <c r="L238" s="304">
        <f t="shared" ca="1" si="87"/>
        <v>306.92291350165328</v>
      </c>
      <c r="M238" s="306">
        <f t="shared" ca="1" si="103"/>
        <v>1.4662212315916656</v>
      </c>
      <c r="N238" s="304">
        <f t="shared" ca="1" si="104"/>
        <v>84.008288402676087</v>
      </c>
      <c r="P238" s="310">
        <f t="shared" ca="1" si="105"/>
        <v>8</v>
      </c>
      <c r="Q238" s="304">
        <f t="shared" ca="1" si="106"/>
        <v>860.39166666666756</v>
      </c>
      <c r="R238" s="306">
        <f t="shared" ca="1" si="107"/>
        <v>0.43099794282570153</v>
      </c>
      <c r="S238" s="307">
        <f t="shared" ca="1" si="108"/>
        <v>7.1918476318187432</v>
      </c>
      <c r="T238" s="304">
        <f t="shared" ca="1" si="88"/>
        <v>70.552025268141875</v>
      </c>
      <c r="U238" s="311">
        <f t="shared" ca="1" si="89"/>
        <v>0</v>
      </c>
      <c r="V238" s="306">
        <f t="shared" ca="1" si="90"/>
        <v>1.188153197873989</v>
      </c>
      <c r="W238" s="304">
        <f t="shared" ca="1" si="91"/>
        <v>202.28486373522676</v>
      </c>
      <c r="Y238" s="314" t="str">
        <f t="shared" ca="1" si="109"/>
        <v/>
      </c>
      <c r="Z238" s="315" t="str">
        <f t="shared" ca="1" si="110"/>
        <v/>
      </c>
      <c r="AA238" s="316" t="str">
        <f t="shared" ca="1" si="111"/>
        <v/>
      </c>
      <c r="AC238" s="310" t="e">
        <f t="shared" ca="1" si="112"/>
        <v>#N/A</v>
      </c>
      <c r="AD238" s="323" t="e">
        <f t="shared" ca="1" si="113"/>
        <v>#N/A</v>
      </c>
      <c r="AE238" s="324">
        <f t="shared" ca="1" si="92"/>
        <v>305.38303294190615</v>
      </c>
      <c r="AG238" s="306">
        <f t="shared" ca="1" si="114"/>
        <v>81.927983409022673</v>
      </c>
      <c r="AH238" s="304">
        <f t="shared" ca="1" si="115"/>
        <v>91.684433355475747</v>
      </c>
    </row>
    <row r="239" spans="1:34" x14ac:dyDescent="0.2">
      <c r="A239" s="347">
        <f t="shared" ca="1" si="93"/>
        <v>0.01</v>
      </c>
      <c r="B239" s="304">
        <f t="shared" ca="1" si="94"/>
        <v>2.3499999999999939</v>
      </c>
      <c r="D239" s="306">
        <f t="shared" ca="1" si="95"/>
        <v>9.5367772175129613</v>
      </c>
      <c r="E239" s="307">
        <f t="shared" ca="1" si="96"/>
        <v>81.052812531018773</v>
      </c>
      <c r="F239" s="304">
        <f t="shared" ca="1" si="97"/>
        <v>81.611938703139188</v>
      </c>
      <c r="G239" s="306">
        <f t="shared" ca="1" si="98"/>
        <v>26.192988832818806</v>
      </c>
      <c r="H239" s="307">
        <f t="shared" ca="1" si="99"/>
        <v>249.45880792199733</v>
      </c>
      <c r="I239" s="304">
        <f t="shared" ca="1" si="100"/>
        <v>250.83016069416399</v>
      </c>
      <c r="J239" s="306">
        <f t="shared" ca="1" si="101"/>
        <v>30.967772000881983</v>
      </c>
      <c r="K239" s="307">
        <f t="shared" ca="1" si="102"/>
        <v>307.87356838049959</v>
      </c>
      <c r="L239" s="304">
        <f t="shared" ca="1" si="87"/>
        <v>309.42711098098818</v>
      </c>
      <c r="M239" s="306">
        <f t="shared" ca="1" si="103"/>
        <v>1.466180406641761</v>
      </c>
      <c r="N239" s="304">
        <f t="shared" ca="1" si="104"/>
        <v>84.005949305347713</v>
      </c>
      <c r="P239" s="310">
        <f t="shared" ca="1" si="105"/>
        <v>8</v>
      </c>
      <c r="Q239" s="304">
        <f t="shared" ca="1" si="106"/>
        <v>858.95277777777869</v>
      </c>
      <c r="R239" s="306">
        <f t="shared" ca="1" si="107"/>
        <v>0.43027715696143526</v>
      </c>
      <c r="S239" s="307">
        <f t="shared" ca="1" si="108"/>
        <v>7.1875448602491288</v>
      </c>
      <c r="T239" s="304">
        <f t="shared" ca="1" si="88"/>
        <v>70.50981507904396</v>
      </c>
      <c r="U239" s="311">
        <f t="shared" ca="1" si="89"/>
        <v>0</v>
      </c>
      <c r="V239" s="306">
        <f t="shared" ca="1" si="90"/>
        <v>1.1878572514009218</v>
      </c>
      <c r="W239" s="304">
        <f t="shared" ca="1" si="91"/>
        <v>203.55683473558329</v>
      </c>
      <c r="Y239" s="314" t="str">
        <f t="shared" ca="1" si="109"/>
        <v/>
      </c>
      <c r="Z239" s="315" t="str">
        <f t="shared" ca="1" si="110"/>
        <v/>
      </c>
      <c r="AA239" s="316" t="str">
        <f t="shared" ca="1" si="111"/>
        <v/>
      </c>
      <c r="AC239" s="310" t="e">
        <f t="shared" ca="1" si="112"/>
        <v>#N/A</v>
      </c>
      <c r="AD239" s="323" t="e">
        <f t="shared" ca="1" si="113"/>
        <v>#N/A</v>
      </c>
      <c r="AE239" s="324">
        <f t="shared" ca="1" si="92"/>
        <v>307.87356838049959</v>
      </c>
      <c r="AG239" s="306">
        <f t="shared" ca="1" si="114"/>
        <v>81.605514130592979</v>
      </c>
      <c r="AH239" s="304">
        <f t="shared" ca="1" si="115"/>
        <v>91.361922159855723</v>
      </c>
    </row>
    <row r="240" spans="1:34" x14ac:dyDescent="0.2">
      <c r="A240" s="347">
        <f t="shared" ca="1" si="93"/>
        <v>0.01</v>
      </c>
      <c r="B240" s="304">
        <f t="shared" ca="1" si="94"/>
        <v>2.3599999999999937</v>
      </c>
      <c r="D240" s="306">
        <f t="shared" ca="1" si="95"/>
        <v>9.5067832258674212</v>
      </c>
      <c r="E240" s="307">
        <f t="shared" ca="1" si="96"/>
        <v>80.731435566385713</v>
      </c>
      <c r="F240" s="304">
        <f t="shared" ca="1" si="97"/>
        <v>81.289258920924624</v>
      </c>
      <c r="G240" s="306">
        <f t="shared" ca="1" si="98"/>
        <v>26.28805666507748</v>
      </c>
      <c r="H240" s="307">
        <f t="shared" ca="1" si="99"/>
        <v>250.2661222776612</v>
      </c>
      <c r="I240" s="304">
        <f t="shared" ca="1" si="100"/>
        <v>251.64298894092715</v>
      </c>
      <c r="J240" s="306">
        <f t="shared" ca="1" si="101"/>
        <v>31.230177228371463</v>
      </c>
      <c r="K240" s="307">
        <f t="shared" ca="1" si="102"/>
        <v>310.37219303149789</v>
      </c>
      <c r="L240" s="304">
        <f t="shared" ca="1" si="87"/>
        <v>311.93945274186922</v>
      </c>
      <c r="M240" s="306">
        <f t="shared" ca="1" si="103"/>
        <v>1.4661396977317767</v>
      </c>
      <c r="N240" s="304">
        <f t="shared" ca="1" si="104"/>
        <v>84.003616856617043</v>
      </c>
      <c r="P240" s="310">
        <f t="shared" ca="1" si="105"/>
        <v>8</v>
      </c>
      <c r="Q240" s="304">
        <f t="shared" ca="1" si="106"/>
        <v>857.51388888888982</v>
      </c>
      <c r="R240" s="306">
        <f t="shared" ca="1" si="107"/>
        <v>0.42955637109716893</v>
      </c>
      <c r="S240" s="307">
        <f t="shared" ca="1" si="108"/>
        <v>7.1832492965381567</v>
      </c>
      <c r="T240" s="304">
        <f t="shared" ca="1" si="88"/>
        <v>70.467675599039325</v>
      </c>
      <c r="U240" s="311">
        <f t="shared" ca="1" si="89"/>
        <v>0</v>
      </c>
      <c r="V240" s="306">
        <f t="shared" ca="1" si="90"/>
        <v>1.1875604166334253</v>
      </c>
      <c r="W240" s="304">
        <f t="shared" ca="1" si="91"/>
        <v>204.82704823057992</v>
      </c>
      <c r="Y240" s="314" t="str">
        <f t="shared" ca="1" si="109"/>
        <v/>
      </c>
      <c r="Z240" s="315" t="str">
        <f t="shared" ca="1" si="110"/>
        <v/>
      </c>
      <c r="AA240" s="316" t="str">
        <f t="shared" ca="1" si="111"/>
        <v/>
      </c>
      <c r="AC240" s="310" t="e">
        <f t="shared" ca="1" si="112"/>
        <v>#N/A</v>
      </c>
      <c r="AD240" s="323" t="e">
        <f t="shared" ca="1" si="113"/>
        <v>#N/A</v>
      </c>
      <c r="AE240" s="324">
        <f t="shared" ca="1" si="92"/>
        <v>310.37219303149789</v>
      </c>
      <c r="AG240" s="306">
        <f t="shared" ca="1" si="114"/>
        <v>81.282803824985393</v>
      </c>
      <c r="AH240" s="304">
        <f t="shared" ca="1" si="115"/>
        <v>91.039170040843473</v>
      </c>
    </row>
    <row r="241" spans="1:34" x14ac:dyDescent="0.2">
      <c r="A241" s="347">
        <f t="shared" ca="1" si="93"/>
        <v>0.01</v>
      </c>
      <c r="B241" s="304">
        <f t="shared" ca="1" si="94"/>
        <v>2.3699999999999934</v>
      </c>
      <c r="D241" s="306">
        <f t="shared" ca="1" si="95"/>
        <v>9.4767282514747713</v>
      </c>
      <c r="E241" s="307">
        <f t="shared" ca="1" si="96"/>
        <v>80.409831065963047</v>
      </c>
      <c r="F241" s="304">
        <f t="shared" ca="1" si="97"/>
        <v>80.966346776972813</v>
      </c>
      <c r="G241" s="306">
        <f t="shared" ca="1" si="98"/>
        <v>26.382823947592229</v>
      </c>
      <c r="H241" s="307">
        <f t="shared" ca="1" si="99"/>
        <v>251.07022058832084</v>
      </c>
      <c r="I241" s="304">
        <f t="shared" ca="1" si="100"/>
        <v>252.45258775801395</v>
      </c>
      <c r="J241" s="306">
        <f t="shared" ca="1" si="101"/>
        <v>31.493531631434813</v>
      </c>
      <c r="K241" s="307">
        <f t="shared" ca="1" si="102"/>
        <v>312.87887474582777</v>
      </c>
      <c r="L241" s="304">
        <f t="shared" ca="1" si="87"/>
        <v>314.4599065013465</v>
      </c>
      <c r="M241" s="306">
        <f t="shared" ca="1" si="103"/>
        <v>1.4660991036401181</v>
      </c>
      <c r="N241" s="304">
        <f t="shared" ca="1" si="104"/>
        <v>84.001290986491838</v>
      </c>
      <c r="P241" s="310">
        <f t="shared" ca="1" si="105"/>
        <v>8</v>
      </c>
      <c r="Q241" s="304">
        <f t="shared" ca="1" si="106"/>
        <v>856.07500000000095</v>
      </c>
      <c r="R241" s="306">
        <f t="shared" ca="1" si="107"/>
        <v>0.42883558523290261</v>
      </c>
      <c r="S241" s="307">
        <f t="shared" ca="1" si="108"/>
        <v>7.1789609406858279</v>
      </c>
      <c r="T241" s="304">
        <f t="shared" ca="1" si="88"/>
        <v>70.425606828127982</v>
      </c>
      <c r="U241" s="311">
        <f t="shared" ca="1" si="89"/>
        <v>0</v>
      </c>
      <c r="V241" s="306">
        <f t="shared" ca="1" si="90"/>
        <v>1.1872626980717982</v>
      </c>
      <c r="W241" s="304">
        <f t="shared" ca="1" si="91"/>
        <v>206.09544805328071</v>
      </c>
      <c r="Y241" s="314" t="str">
        <f t="shared" ca="1" si="109"/>
        <v/>
      </c>
      <c r="Z241" s="315" t="str">
        <f t="shared" ca="1" si="110"/>
        <v/>
      </c>
      <c r="AA241" s="316" t="str">
        <f t="shared" ca="1" si="111"/>
        <v/>
      </c>
      <c r="AC241" s="310" t="e">
        <f t="shared" ca="1" si="112"/>
        <v>#N/A</v>
      </c>
      <c r="AD241" s="323" t="e">
        <f t="shared" ca="1" si="113"/>
        <v>#N/A</v>
      </c>
      <c r="AE241" s="324">
        <f t="shared" ca="1" si="92"/>
        <v>312.87887474582777</v>
      </c>
      <c r="AG241" s="306">
        <f t="shared" ca="1" si="114"/>
        <v>80.959860908094782</v>
      </c>
      <c r="AH241" s="304">
        <f t="shared" ca="1" si="115"/>
        <v>90.716185413206233</v>
      </c>
    </row>
    <row r="242" spans="1:34" x14ac:dyDescent="0.2">
      <c r="A242" s="347">
        <f t="shared" ca="1" si="93"/>
        <v>0.01</v>
      </c>
      <c r="B242" s="304">
        <f t="shared" ca="1" si="94"/>
        <v>2.3799999999999932</v>
      </c>
      <c r="D242" s="306">
        <f t="shared" ca="1" si="95"/>
        <v>9.4466133643167822</v>
      </c>
      <c r="E242" s="307">
        <f t="shared" ca="1" si="96"/>
        <v>80.088007351409715</v>
      </c>
      <c r="F242" s="304">
        <f t="shared" ca="1" si="97"/>
        <v>80.643210660131487</v>
      </c>
      <c r="G242" s="306">
        <f t="shared" ca="1" si="98"/>
        <v>26.477290081235395</v>
      </c>
      <c r="H242" s="307">
        <f t="shared" ca="1" si="99"/>
        <v>251.87110066183493</v>
      </c>
      <c r="I242" s="304">
        <f t="shared" ca="1" si="100"/>
        <v>253.25895490317825</v>
      </c>
      <c r="J242" s="306">
        <f t="shared" ca="1" si="101"/>
        <v>31.75783220157895</v>
      </c>
      <c r="K242" s="307">
        <f t="shared" ca="1" si="102"/>
        <v>315.39358135207857</v>
      </c>
      <c r="L242" s="304">
        <f t="shared" ca="1" si="87"/>
        <v>316.98843995362648</v>
      </c>
      <c r="M242" s="306">
        <f t="shared" ca="1" si="103"/>
        <v>1.4660586231604698</v>
      </c>
      <c r="N242" s="304">
        <f t="shared" ca="1" si="104"/>
        <v>83.998971625855319</v>
      </c>
      <c r="P242" s="310">
        <f t="shared" ca="1" si="105"/>
        <v>8</v>
      </c>
      <c r="Q242" s="304">
        <f t="shared" ca="1" si="106"/>
        <v>854.63611111111209</v>
      </c>
      <c r="R242" s="306">
        <f t="shared" ca="1" si="107"/>
        <v>0.42811479936863633</v>
      </c>
      <c r="S242" s="307">
        <f t="shared" ca="1" si="108"/>
        <v>7.1746797926921415</v>
      </c>
      <c r="T242" s="304">
        <f t="shared" ca="1" si="88"/>
        <v>70.383608766309905</v>
      </c>
      <c r="U242" s="311">
        <f t="shared" ca="1" si="89"/>
        <v>0</v>
      </c>
      <c r="V242" s="306">
        <f t="shared" ca="1" si="90"/>
        <v>1.1869641002169957</v>
      </c>
      <c r="W242" s="304">
        <f t="shared" ca="1" si="91"/>
        <v>207.36197840695067</v>
      </c>
      <c r="Y242" s="314" t="str">
        <f t="shared" ca="1" si="109"/>
        <v/>
      </c>
      <c r="Z242" s="315" t="str">
        <f t="shared" ca="1" si="110"/>
        <v/>
      </c>
      <c r="AA242" s="316" t="str">
        <f t="shared" ca="1" si="111"/>
        <v/>
      </c>
      <c r="AC242" s="310" t="e">
        <f t="shared" ca="1" si="112"/>
        <v>#N/A</v>
      </c>
      <c r="AD242" s="323" t="e">
        <f t="shared" ca="1" si="113"/>
        <v>#N/A</v>
      </c>
      <c r="AE242" s="324">
        <f t="shared" ca="1" si="92"/>
        <v>315.39358135207857</v>
      </c>
      <c r="AG242" s="306">
        <f t="shared" ca="1" si="114"/>
        <v>80.636693766047657</v>
      </c>
      <c r="AH242" s="304">
        <f t="shared" ca="1" si="115"/>
        <v>90.392976661956453</v>
      </c>
    </row>
    <row r="243" spans="1:34" x14ac:dyDescent="0.2">
      <c r="A243" s="347">
        <f t="shared" ca="1" si="93"/>
        <v>0.01</v>
      </c>
      <c r="B243" s="304">
        <f t="shared" ca="1" si="94"/>
        <v>2.389999999999993</v>
      </c>
      <c r="D243" s="306">
        <f t="shared" ca="1" si="95"/>
        <v>9.4164396297813244</v>
      </c>
      <c r="E243" s="307">
        <f t="shared" ca="1" si="96"/>
        <v>79.765972714428315</v>
      </c>
      <c r="F243" s="304">
        <f t="shared" ca="1" si="97"/>
        <v>80.319858929035973</v>
      </c>
      <c r="G243" s="306">
        <f t="shared" ca="1" si="98"/>
        <v>26.571454477533209</v>
      </c>
      <c r="H243" s="307">
        <f t="shared" ca="1" si="99"/>
        <v>252.66876038897922</v>
      </c>
      <c r="I243" s="304">
        <f t="shared" ca="1" si="100"/>
        <v>254.06208821773274</v>
      </c>
      <c r="J243" s="306">
        <f t="shared" ca="1" si="101"/>
        <v>32.02307592437279</v>
      </c>
      <c r="K243" s="307">
        <f t="shared" ca="1" si="102"/>
        <v>317.91628065733266</v>
      </c>
      <c r="L243" s="304">
        <f t="shared" ca="1" si="87"/>
        <v>319.52502077090935</v>
      </c>
      <c r="M243" s="306">
        <f t="shared" ca="1" si="103"/>
        <v>1.4660182551015304</v>
      </c>
      <c r="N243" s="304">
        <f t="shared" ca="1" si="104"/>
        <v>83.996658706450958</v>
      </c>
      <c r="P243" s="310">
        <f t="shared" ca="1" si="105"/>
        <v>8</v>
      </c>
      <c r="Q243" s="304">
        <f t="shared" ca="1" si="106"/>
        <v>853.19722222222322</v>
      </c>
      <c r="R243" s="306">
        <f t="shared" ca="1" si="107"/>
        <v>0.42739401350437001</v>
      </c>
      <c r="S243" s="307">
        <f t="shared" ca="1" si="108"/>
        <v>7.1704058525570975</v>
      </c>
      <c r="T243" s="304">
        <f t="shared" ca="1" si="88"/>
        <v>70.341681413585135</v>
      </c>
      <c r="U243" s="311">
        <f t="shared" ca="1" si="89"/>
        <v>0</v>
      </c>
      <c r="V243" s="306">
        <f t="shared" ca="1" si="90"/>
        <v>1.1866646275704968</v>
      </c>
      <c r="W243" s="304">
        <f t="shared" ca="1" si="91"/>
        <v>208.62658386720219</v>
      </c>
      <c r="Y243" s="314" t="str">
        <f t="shared" ca="1" si="109"/>
        <v/>
      </c>
      <c r="Z243" s="315" t="str">
        <f t="shared" ca="1" si="110"/>
        <v/>
      </c>
      <c r="AA243" s="316" t="str">
        <f t="shared" ca="1" si="111"/>
        <v/>
      </c>
      <c r="AC243" s="310" t="e">
        <f t="shared" ca="1" si="112"/>
        <v>#N/A</v>
      </c>
      <c r="AD243" s="323" t="e">
        <f t="shared" ca="1" si="113"/>
        <v>#N/A</v>
      </c>
      <c r="AE243" s="324">
        <f t="shared" ca="1" si="92"/>
        <v>317.91628065733266</v>
      </c>
      <c r="AG243" s="306">
        <f t="shared" ca="1" si="114"/>
        <v>80.313310754722124</v>
      </c>
      <c r="AH243" s="304">
        <f t="shared" ca="1" si="115"/>
        <v>90.069552141871569</v>
      </c>
    </row>
    <row r="244" spans="1:34" x14ac:dyDescent="0.2">
      <c r="A244" s="347">
        <f t="shared" ca="1" si="93"/>
        <v>0.01</v>
      </c>
      <c r="B244" s="304">
        <f t="shared" ca="1" si="94"/>
        <v>2.3999999999999928</v>
      </c>
      <c r="D244" s="306">
        <f t="shared" ca="1" si="95"/>
        <v>9.3862081086428493</v>
      </c>
      <c r="E244" s="307">
        <f t="shared" ca="1" si="96"/>
        <v>79.443735416291148</v>
      </c>
      <c r="F244" s="304">
        <f t="shared" ca="1" si="97"/>
        <v>79.996299911636072</v>
      </c>
      <c r="G244" s="306">
        <f t="shared" ca="1" si="98"/>
        <v>26.665316558619637</v>
      </c>
      <c r="H244" s="307">
        <f t="shared" ca="1" si="99"/>
        <v>253.46319774314213</v>
      </c>
      <c r="I244" s="304">
        <f t="shared" ca="1" si="100"/>
        <v>254.86198562624156</v>
      </c>
      <c r="J244" s="306">
        <f t="shared" ca="1" si="101"/>
        <v>32.289259779553554</v>
      </c>
      <c r="K244" s="307">
        <f t="shared" ca="1" si="102"/>
        <v>320.44694044799326</v>
      </c>
      <c r="L244" s="304">
        <f t="shared" ca="1" si="87"/>
        <v>322.06961660422309</v>
      </c>
      <c r="M244" s="306">
        <f t="shared" ca="1" si="103"/>
        <v>1.4659779982867562</v>
      </c>
      <c r="N244" s="304">
        <f t="shared" ca="1" si="104"/>
        <v>83.994352160867763</v>
      </c>
      <c r="P244" s="310">
        <f t="shared" ca="1" si="105"/>
        <v>8</v>
      </c>
      <c r="Q244" s="304">
        <f t="shared" ca="1" si="106"/>
        <v>851.75833333333435</v>
      </c>
      <c r="R244" s="306">
        <f t="shared" ca="1" si="107"/>
        <v>0.42667322764010368</v>
      </c>
      <c r="S244" s="307">
        <f t="shared" ca="1" si="108"/>
        <v>7.1661391202806968</v>
      </c>
      <c r="T244" s="304">
        <f t="shared" ca="1" si="88"/>
        <v>70.299824769953645</v>
      </c>
      <c r="U244" s="311">
        <f t="shared" ca="1" si="89"/>
        <v>0</v>
      </c>
      <c r="V244" s="306">
        <f t="shared" ca="1" si="90"/>
        <v>1.1863642846341709</v>
      </c>
      <c r="W244" s="304">
        <f t="shared" ca="1" si="91"/>
        <v>209.88920938408688</v>
      </c>
      <c r="Y244" s="314" t="str">
        <f t="shared" ca="1" si="109"/>
        <v/>
      </c>
      <c r="Z244" s="315" t="str">
        <f t="shared" ca="1" si="110"/>
        <v/>
      </c>
      <c r="AA244" s="316" t="str">
        <f t="shared" ca="1" si="111"/>
        <v/>
      </c>
      <c r="AC244" s="310" t="e">
        <f t="shared" ca="1" si="112"/>
        <v>#N/A</v>
      </c>
      <c r="AD244" s="323" t="e">
        <f t="shared" ca="1" si="113"/>
        <v>#N/A</v>
      </c>
      <c r="AE244" s="324">
        <f t="shared" ca="1" si="92"/>
        <v>320.44694044799326</v>
      </c>
      <c r="AG244" s="306">
        <f t="shared" ca="1" si="114"/>
        <v>79.989720199274302</v>
      </c>
      <c r="AH244" s="304">
        <f t="shared" ca="1" si="115"/>
        <v>89.745920177020068</v>
      </c>
    </row>
    <row r="245" spans="1:34" x14ac:dyDescent="0.2">
      <c r="A245" s="347">
        <f t="shared" ca="1" si="93"/>
        <v>0.01</v>
      </c>
      <c r="B245" s="304">
        <f t="shared" ca="1" si="94"/>
        <v>2.4099999999999926</v>
      </c>
      <c r="D245" s="306">
        <f t="shared" ca="1" si="95"/>
        <v>9.355919857042446</v>
      </c>
      <c r="E245" s="307">
        <f t="shared" ca="1" si="96"/>
        <v>79.121303687373015</v>
      </c>
      <c r="F245" s="304">
        <f t="shared" ca="1" si="97"/>
        <v>79.672541904729684</v>
      </c>
      <c r="G245" s="306">
        <f t="shared" ca="1" si="98"/>
        <v>26.758875757190062</v>
      </c>
      <c r="H245" s="307">
        <f t="shared" ca="1" si="99"/>
        <v>254.25441078001586</v>
      </c>
      <c r="I245" s="304">
        <f t="shared" ca="1" si="100"/>
        <v>255.65864513620849</v>
      </c>
      <c r="J245" s="306">
        <f t="shared" ca="1" si="101"/>
        <v>32.5563807411326</v>
      </c>
      <c r="K245" s="307">
        <f t="shared" ca="1" si="102"/>
        <v>322.98552849060906</v>
      </c>
      <c r="L245" s="304">
        <f t="shared" ca="1" si="87"/>
        <v>324.62219508425426</v>
      </c>
      <c r="M245" s="306">
        <f t="shared" ca="1" si="103"/>
        <v>1.4659378515541086</v>
      </c>
      <c r="N245" s="304">
        <f t="shared" ca="1" si="104"/>
        <v>83.992051922525818</v>
      </c>
      <c r="P245" s="310">
        <f t="shared" ca="1" si="105"/>
        <v>8</v>
      </c>
      <c r="Q245" s="304">
        <f t="shared" ca="1" si="106"/>
        <v>850.31944444444548</v>
      </c>
      <c r="R245" s="306">
        <f t="shared" ca="1" si="107"/>
        <v>0.42595244177583741</v>
      </c>
      <c r="S245" s="307">
        <f t="shared" ca="1" si="108"/>
        <v>7.1618795958629384</v>
      </c>
      <c r="T245" s="304">
        <f t="shared" ca="1" si="88"/>
        <v>70.258038835415434</v>
      </c>
      <c r="U245" s="311">
        <f t="shared" ca="1" si="89"/>
        <v>0</v>
      </c>
      <c r="V245" s="306">
        <f t="shared" ca="1" si="90"/>
        <v>1.1860630759101485</v>
      </c>
      <c r="W245" s="304">
        <f t="shared" ca="1" si="91"/>
        <v>211.14980028413342</v>
      </c>
      <c r="Y245" s="314" t="str">
        <f t="shared" ca="1" si="109"/>
        <v/>
      </c>
      <c r="Z245" s="315" t="str">
        <f t="shared" ca="1" si="110"/>
        <v/>
      </c>
      <c r="AA245" s="316" t="str">
        <f t="shared" ca="1" si="111"/>
        <v/>
      </c>
      <c r="AC245" s="310" t="e">
        <f t="shared" ca="1" si="112"/>
        <v>#N/A</v>
      </c>
      <c r="AD245" s="323" t="e">
        <f t="shared" ca="1" si="113"/>
        <v>#N/A</v>
      </c>
      <c r="AE245" s="324">
        <f t="shared" ca="1" si="92"/>
        <v>322.98552849060906</v>
      </c>
      <c r="AG245" s="306">
        <f t="shared" ca="1" si="114"/>
        <v>79.665930393671005</v>
      </c>
      <c r="AH245" s="304">
        <f t="shared" ca="1" si="115"/>
        <v>89.422089060294084</v>
      </c>
    </row>
    <row r="246" spans="1:34" x14ac:dyDescent="0.2">
      <c r="A246" s="347">
        <f t="shared" ca="1" si="93"/>
        <v>0.01</v>
      </c>
      <c r="B246" s="304">
        <f t="shared" ca="1" si="94"/>
        <v>2.4199999999999924</v>
      </c>
      <c r="D246" s="306">
        <f t="shared" ca="1" si="95"/>
        <v>9.3211057755723612</v>
      </c>
      <c r="E246" s="307">
        <f t="shared" ca="1" si="96"/>
        <v>78.7562117605803</v>
      </c>
      <c r="F246" s="304">
        <f t="shared" ca="1" si="97"/>
        <v>79.30588820356769</v>
      </c>
      <c r="G246" s="306">
        <f t="shared" ca="1" si="98"/>
        <v>26.852086814945785</v>
      </c>
      <c r="H246" s="307">
        <f t="shared" ca="1" si="99"/>
        <v>255.04197289762166</v>
      </c>
      <c r="I246" s="304">
        <f t="shared" ca="1" si="100"/>
        <v>256.45163775228377</v>
      </c>
      <c r="J246" s="306">
        <f t="shared" ca="1" si="101"/>
        <v>32.824435553993276</v>
      </c>
      <c r="K246" s="307">
        <f t="shared" ca="1" si="102"/>
        <v>325.53201040899722</v>
      </c>
      <c r="L246" s="304">
        <f t="shared" ca="1" si="87"/>
        <v>327.18272168676901</v>
      </c>
      <c r="M246" s="306">
        <f t="shared" ca="1" si="103"/>
        <v>1.4658978136891294</v>
      </c>
      <c r="N246" s="304">
        <f t="shared" ca="1" si="104"/>
        <v>83.989757921841786</v>
      </c>
      <c r="P246" s="310">
        <f t="shared" ca="1" si="105"/>
        <v>9</v>
      </c>
      <c r="Q246" s="304">
        <f t="shared" ca="1" si="106"/>
        <v>848.57500000000164</v>
      </c>
      <c r="R246" s="306">
        <f t="shared" ca="1" si="107"/>
        <v>0.42507859327630249</v>
      </c>
      <c r="S246" s="307">
        <f t="shared" ca="1" si="108"/>
        <v>7.1576288099301753</v>
      </c>
      <c r="T246" s="304">
        <f t="shared" ca="1" si="88"/>
        <v>70.21633862541502</v>
      </c>
      <c r="U246" s="311">
        <f t="shared" ca="1" si="89"/>
        <v>0</v>
      </c>
      <c r="V246" s="306">
        <f t="shared" ca="1" si="90"/>
        <v>1.1857610061525765</v>
      </c>
      <c r="W246" s="304">
        <f t="shared" ca="1" si="91"/>
        <v>212.40759484468816</v>
      </c>
      <c r="Y246" s="314" t="str">
        <f t="shared" ca="1" si="109"/>
        <v/>
      </c>
      <c r="Z246" s="315" t="str">
        <f t="shared" ca="1" si="110"/>
        <v/>
      </c>
      <c r="AA246" s="316" t="str">
        <f t="shared" ca="1" si="111"/>
        <v/>
      </c>
      <c r="AC246" s="310" t="e">
        <f t="shared" ca="1" si="112"/>
        <v>#N/A</v>
      </c>
      <c r="AD246" s="323" t="e">
        <f t="shared" ca="1" si="113"/>
        <v>#N/A</v>
      </c>
      <c r="AE246" s="324">
        <f t="shared" ca="1" si="92"/>
        <v>325.53201040899722</v>
      </c>
      <c r="AG246" s="306">
        <f t="shared" ca="1" si="114"/>
        <v>79.299241052534882</v>
      </c>
      <c r="AH246" s="304">
        <f t="shared" ca="1" si="115"/>
        <v>89.055358505254262</v>
      </c>
    </row>
    <row r="247" spans="1:34" x14ac:dyDescent="0.2">
      <c r="A247" s="347">
        <f t="shared" ca="1" si="93"/>
        <v>0.01</v>
      </c>
      <c r="B247" s="304">
        <f t="shared" ca="1" si="94"/>
        <v>2.4299999999999922</v>
      </c>
      <c r="D247" s="306">
        <f t="shared" ca="1" si="95"/>
        <v>9.2817622502317239</v>
      </c>
      <c r="E247" s="307">
        <f t="shared" ca="1" si="96"/>
        <v>78.348472471054578</v>
      </c>
      <c r="F247" s="304">
        <f t="shared" ca="1" si="97"/>
        <v>78.896351303576921</v>
      </c>
      <c r="G247" s="306">
        <f t="shared" ca="1" si="98"/>
        <v>26.944904437448102</v>
      </c>
      <c r="H247" s="307">
        <f t="shared" ca="1" si="99"/>
        <v>255.82545762233221</v>
      </c>
      <c r="I247" s="304">
        <f t="shared" ca="1" si="100"/>
        <v>257.24053460296437</v>
      </c>
      <c r="J247" s="306">
        <f t="shared" ca="1" si="101"/>
        <v>33.093420510255243</v>
      </c>
      <c r="K247" s="307">
        <f t="shared" ca="1" si="102"/>
        <v>328.08634756159699</v>
      </c>
      <c r="L247" s="304">
        <f t="shared" ca="1" si="87"/>
        <v>329.7511575982374</v>
      </c>
      <c r="M247" s="306">
        <f t="shared" ca="1" si="103"/>
        <v>1.4658578834262153</v>
      </c>
      <c r="N247" s="304">
        <f t="shared" ca="1" si="104"/>
        <v>83.987470086301954</v>
      </c>
      <c r="P247" s="310">
        <f t="shared" ca="1" si="105"/>
        <v>9</v>
      </c>
      <c r="Q247" s="304">
        <f t="shared" ca="1" si="106"/>
        <v>846.52500000000168</v>
      </c>
      <c r="R247" s="306">
        <f t="shared" ca="1" si="107"/>
        <v>0.42405168214149835</v>
      </c>
      <c r="S247" s="307">
        <f t="shared" ca="1" si="108"/>
        <v>7.15338829310876</v>
      </c>
      <c r="T247" s="304">
        <f t="shared" ca="1" si="88"/>
        <v>70.174739155396935</v>
      </c>
      <c r="U247" s="311">
        <f t="shared" ca="1" si="89"/>
        <v>0</v>
      </c>
      <c r="V247" s="306">
        <f t="shared" ca="1" si="90"/>
        <v>1.1854580806189692</v>
      </c>
      <c r="W247" s="304">
        <f t="shared" ca="1" si="91"/>
        <v>213.6618238971399</v>
      </c>
      <c r="Y247" s="314" t="str">
        <f t="shared" ca="1" si="109"/>
        <v/>
      </c>
      <c r="Z247" s="315" t="str">
        <f t="shared" ca="1" si="110"/>
        <v/>
      </c>
      <c r="AA247" s="316" t="str">
        <f t="shared" ca="1" si="111"/>
        <v/>
      </c>
      <c r="AC247" s="310" t="e">
        <f t="shared" ca="1" si="112"/>
        <v>#N/A</v>
      </c>
      <c r="AD247" s="323" t="e">
        <f t="shared" ca="1" si="113"/>
        <v>#N/A</v>
      </c>
      <c r="AE247" s="324">
        <f t="shared" ca="1" si="92"/>
        <v>328.08634756159699</v>
      </c>
      <c r="AG247" s="306">
        <f t="shared" ca="1" si="114"/>
        <v>78.889664560512259</v>
      </c>
      <c r="AH247" s="304">
        <f t="shared" ca="1" si="115"/>
        <v>88.645740895428887</v>
      </c>
    </row>
    <row r="248" spans="1:34" x14ac:dyDescent="0.2">
      <c r="A248" s="347">
        <f t="shared" ca="1" si="93"/>
        <v>0.01</v>
      </c>
      <c r="B248" s="304">
        <f t="shared" ca="1" si="94"/>
        <v>2.439999999999992</v>
      </c>
      <c r="D248" s="306">
        <f t="shared" ca="1" si="95"/>
        <v>9.2423647129058928</v>
      </c>
      <c r="E248" s="307">
        <f t="shared" ca="1" si="96"/>
        <v>77.940624155324514</v>
      </c>
      <c r="F248" s="304">
        <f t="shared" ca="1" si="97"/>
        <v>78.486700779227064</v>
      </c>
      <c r="G248" s="306">
        <f t="shared" ca="1" si="98"/>
        <v>27.037328084577162</v>
      </c>
      <c r="H248" s="307">
        <f t="shared" ca="1" si="99"/>
        <v>256.60486386388544</v>
      </c>
      <c r="I248" s="304">
        <f t="shared" ca="1" si="100"/>
        <v>258.02533454790102</v>
      </c>
      <c r="J248" s="306">
        <f t="shared" ca="1" si="101"/>
        <v>33.363331672865371</v>
      </c>
      <c r="K248" s="307">
        <f t="shared" ca="1" si="102"/>
        <v>330.64849916902807</v>
      </c>
      <c r="L248" s="304">
        <f t="shared" ca="1" si="87"/>
        <v>332.32746185508711</v>
      </c>
      <c r="M248" s="306">
        <f t="shared" ca="1" si="103"/>
        <v>1.4658180595158399</v>
      </c>
      <c r="N248" s="304">
        <f t="shared" ca="1" si="104"/>
        <v>83.985188344313741</v>
      </c>
      <c r="P248" s="310">
        <f t="shared" ca="1" si="105"/>
        <v>9</v>
      </c>
      <c r="Q248" s="304">
        <f t="shared" ca="1" si="106"/>
        <v>844.47500000000173</v>
      </c>
      <c r="R248" s="306">
        <f t="shared" ca="1" si="107"/>
        <v>0.42302477100669422</v>
      </c>
      <c r="S248" s="307">
        <f t="shared" ca="1" si="108"/>
        <v>7.1491580453986927</v>
      </c>
      <c r="T248" s="304">
        <f t="shared" ca="1" si="88"/>
        <v>70.13324042536118</v>
      </c>
      <c r="U248" s="311">
        <f t="shared" ca="1" si="89"/>
        <v>0</v>
      </c>
      <c r="V248" s="306">
        <f t="shared" ca="1" si="90"/>
        <v>1.1851543048173192</v>
      </c>
      <c r="W248" s="304">
        <f t="shared" ca="1" si="91"/>
        <v>214.91242322857744</v>
      </c>
      <c r="Y248" s="314" t="str">
        <f t="shared" ca="1" si="109"/>
        <v/>
      </c>
      <c r="Z248" s="315" t="str">
        <f t="shared" ca="1" si="110"/>
        <v/>
      </c>
      <c r="AA248" s="316" t="str">
        <f t="shared" ca="1" si="111"/>
        <v/>
      </c>
      <c r="AC248" s="310" t="e">
        <f t="shared" ca="1" si="112"/>
        <v>#N/A</v>
      </c>
      <c r="AD248" s="323" t="e">
        <f t="shared" ca="1" si="113"/>
        <v>#N/A</v>
      </c>
      <c r="AE248" s="324">
        <f t="shared" ca="1" si="92"/>
        <v>330.64849916902807</v>
      </c>
      <c r="AG248" s="306">
        <f t="shared" ca="1" si="114"/>
        <v>78.479974032983307</v>
      </c>
      <c r="AH248" s="304">
        <f t="shared" ca="1" si="115"/>
        <v>88.236009345025295</v>
      </c>
    </row>
    <row r="249" spans="1:34" x14ac:dyDescent="0.2">
      <c r="A249" s="347">
        <f t="shared" ca="1" si="93"/>
        <v>0.01</v>
      </c>
      <c r="B249" s="304">
        <f t="shared" ca="1" si="94"/>
        <v>2.4499999999999917</v>
      </c>
      <c r="D249" s="306">
        <f t="shared" ca="1" si="95"/>
        <v>9.2029144966559482</v>
      </c>
      <c r="E249" s="307">
        <f t="shared" ca="1" si="96"/>
        <v>77.532677285942668</v>
      </c>
      <c r="F249" s="304">
        <f t="shared" ca="1" si="97"/>
        <v>78.076947189031983</v>
      </c>
      <c r="G249" s="306">
        <f t="shared" ca="1" si="98"/>
        <v>27.129357229543722</v>
      </c>
      <c r="H249" s="307">
        <f t="shared" ca="1" si="99"/>
        <v>257.38019063674489</v>
      </c>
      <c r="I249" s="304">
        <f t="shared" ca="1" si="100"/>
        <v>258.80603655227083</v>
      </c>
      <c r="J249" s="306">
        <f t="shared" ca="1" si="101"/>
        <v>33.634165099435975</v>
      </c>
      <c r="K249" s="307">
        <f t="shared" ca="1" si="102"/>
        <v>333.21842444153123</v>
      </c>
      <c r="L249" s="304">
        <f t="shared" ca="1" si="87"/>
        <v>334.91159348286612</v>
      </c>
      <c r="M249" s="306">
        <f t="shared" ca="1" si="103"/>
        <v>1.4657783407242648</v>
      </c>
      <c r="N249" s="304">
        <f t="shared" ca="1" si="104"/>
        <v>83.98291262518913</v>
      </c>
      <c r="P249" s="310">
        <f t="shared" ca="1" si="105"/>
        <v>9</v>
      </c>
      <c r="Q249" s="304">
        <f t="shared" ca="1" si="106"/>
        <v>842.42500000000177</v>
      </c>
      <c r="R249" s="306">
        <f t="shared" ca="1" si="107"/>
        <v>0.42199785987189015</v>
      </c>
      <c r="S249" s="307">
        <f t="shared" ca="1" si="108"/>
        <v>7.1449380667999742</v>
      </c>
      <c r="T249" s="304">
        <f t="shared" ca="1" si="88"/>
        <v>70.091842435307754</v>
      </c>
      <c r="U249" s="311">
        <f t="shared" ca="1" si="89"/>
        <v>0</v>
      </c>
      <c r="V249" s="306">
        <f t="shared" ca="1" si="90"/>
        <v>1.1848496842536045</v>
      </c>
      <c r="W249" s="304">
        <f t="shared" ca="1" si="91"/>
        <v>216.15932920622677</v>
      </c>
      <c r="Y249" s="314" t="str">
        <f t="shared" ca="1" si="109"/>
        <v/>
      </c>
      <c r="Z249" s="315" t="str">
        <f t="shared" ca="1" si="110"/>
        <v/>
      </c>
      <c r="AA249" s="316" t="str">
        <f t="shared" ca="1" si="111"/>
        <v/>
      </c>
      <c r="AC249" s="310" t="e">
        <f t="shared" ca="1" si="112"/>
        <v>#N/A</v>
      </c>
      <c r="AD249" s="323" t="e">
        <f t="shared" ca="1" si="113"/>
        <v>#N/A</v>
      </c>
      <c r="AE249" s="324">
        <f t="shared" ca="1" si="92"/>
        <v>333.21842444153123</v>
      </c>
      <c r="AG249" s="306">
        <f t="shared" ca="1" si="114"/>
        <v>78.070180022584708</v>
      </c>
      <c r="AH249" s="304">
        <f t="shared" ca="1" si="115"/>
        <v>87.826174405521527</v>
      </c>
    </row>
    <row r="250" spans="1:34" x14ac:dyDescent="0.2">
      <c r="A250" s="347">
        <f t="shared" ca="1" si="93"/>
        <v>0.01</v>
      </c>
      <c r="B250" s="304">
        <f t="shared" ca="1" si="94"/>
        <v>2.4599999999999915</v>
      </c>
      <c r="D250" s="306">
        <f t="shared" ca="1" si="95"/>
        <v>9.1634129270639395</v>
      </c>
      <c r="E250" s="307">
        <f t="shared" ca="1" si="96"/>
        <v>77.124642280523986</v>
      </c>
      <c r="F250" s="304">
        <f t="shared" ca="1" si="97"/>
        <v>77.667101036221709</v>
      </c>
      <c r="G250" s="306">
        <f t="shared" ca="1" si="98"/>
        <v>27.220991358814359</v>
      </c>
      <c r="H250" s="307">
        <f t="shared" ca="1" si="99"/>
        <v>258.15143705955012</v>
      </c>
      <c r="I250" s="304">
        <f t="shared" ca="1" si="100"/>
        <v>259.5826396862231</v>
      </c>
      <c r="J250" s="306">
        <f t="shared" ca="1" si="101"/>
        <v>33.905916842377763</v>
      </c>
      <c r="K250" s="307">
        <f t="shared" ca="1" si="102"/>
        <v>335.79608258001269</v>
      </c>
      <c r="L250" s="304">
        <f t="shared" ca="1" si="87"/>
        <v>337.50351149729528</v>
      </c>
      <c r="M250" s="306">
        <f t="shared" ca="1" si="103"/>
        <v>1.465738725833255</v>
      </c>
      <c r="N250" s="304">
        <f t="shared" ca="1" si="104"/>
        <v>83.980642859128409</v>
      </c>
      <c r="P250" s="310">
        <f t="shared" ca="1" si="105"/>
        <v>9</v>
      </c>
      <c r="Q250" s="304">
        <f t="shared" ca="1" si="106"/>
        <v>840.37500000000182</v>
      </c>
      <c r="R250" s="306">
        <f t="shared" ca="1" si="107"/>
        <v>0.42097094873708601</v>
      </c>
      <c r="S250" s="307">
        <f t="shared" ca="1" si="108"/>
        <v>7.1407283573126037</v>
      </c>
      <c r="T250" s="304">
        <f t="shared" ca="1" si="88"/>
        <v>70.050545185236643</v>
      </c>
      <c r="U250" s="311">
        <f t="shared" ca="1" si="89"/>
        <v>0</v>
      </c>
      <c r="V250" s="306">
        <f t="shared" ca="1" si="90"/>
        <v>1.1845442244316284</v>
      </c>
      <c r="W250" s="304">
        <f t="shared" ca="1" si="91"/>
        <v>217.40247877914101</v>
      </c>
      <c r="Y250" s="314" t="str">
        <f t="shared" ca="1" si="109"/>
        <v/>
      </c>
      <c r="Z250" s="315" t="str">
        <f t="shared" ca="1" si="110"/>
        <v/>
      </c>
      <c r="AA250" s="316" t="str">
        <f t="shared" ca="1" si="111"/>
        <v/>
      </c>
      <c r="AC250" s="310" t="e">
        <f t="shared" ca="1" si="112"/>
        <v>#N/A</v>
      </c>
      <c r="AD250" s="323" t="e">
        <f t="shared" ca="1" si="113"/>
        <v>#N/A</v>
      </c>
      <c r="AE250" s="324">
        <f t="shared" ca="1" si="92"/>
        <v>335.79608258001269</v>
      </c>
      <c r="AG250" s="306">
        <f t="shared" ca="1" si="114"/>
        <v>77.660293026560794</v>
      </c>
      <c r="AH250" s="304">
        <f t="shared" ca="1" si="115"/>
        <v>87.416246573017261</v>
      </c>
    </row>
    <row r="251" spans="1:34" x14ac:dyDescent="0.2">
      <c r="A251" s="347">
        <f t="shared" ca="1" si="93"/>
        <v>0.01</v>
      </c>
      <c r="B251" s="304">
        <f t="shared" ca="1" si="94"/>
        <v>2.4699999999999913</v>
      </c>
      <c r="D251" s="306">
        <f t="shared" ca="1" si="95"/>
        <v>9.1238613222086649</v>
      </c>
      <c r="E251" s="307">
        <f t="shared" ca="1" si="96"/>
        <v>76.716529501194529</v>
      </c>
      <c r="F251" s="304">
        <f t="shared" ca="1" si="97"/>
        <v>77.257172768193797</v>
      </c>
      <c r="G251" s="306">
        <f t="shared" ca="1" si="98"/>
        <v>27.312229972036445</v>
      </c>
      <c r="H251" s="307">
        <f t="shared" ca="1" si="99"/>
        <v>258.91860235456204</v>
      </c>
      <c r="I251" s="304">
        <f t="shared" ca="1" si="100"/>
        <v>260.35514312432014</v>
      </c>
      <c r="J251" s="306">
        <f t="shared" ca="1" si="101"/>
        <v>34.17858294903202</v>
      </c>
      <c r="K251" s="307">
        <f t="shared" ca="1" si="102"/>
        <v>338.38143277708326</v>
      </c>
      <c r="L251" s="304">
        <f t="shared" ca="1" si="87"/>
        <v>340.10317490531543</v>
      </c>
      <c r="M251" s="306">
        <f t="shared" ca="1" si="103"/>
        <v>1.4656992136398028</v>
      </c>
      <c r="N251" s="304">
        <f t="shared" ca="1" si="104"/>
        <v>83.978378977204287</v>
      </c>
      <c r="P251" s="310">
        <f t="shared" ca="1" si="105"/>
        <v>9</v>
      </c>
      <c r="Q251" s="304">
        <f t="shared" ca="1" si="106"/>
        <v>838.32500000000175</v>
      </c>
      <c r="R251" s="306">
        <f t="shared" ca="1" si="107"/>
        <v>0.41994403760228183</v>
      </c>
      <c r="S251" s="307">
        <f t="shared" ca="1" si="108"/>
        <v>7.1365289169365811</v>
      </c>
      <c r="T251" s="304">
        <f t="shared" ca="1" si="88"/>
        <v>70.009348675147862</v>
      </c>
      <c r="U251" s="311">
        <f t="shared" ca="1" si="89"/>
        <v>0</v>
      </c>
      <c r="V251" s="306">
        <f t="shared" ca="1" si="90"/>
        <v>1.1842379308528559</v>
      </c>
      <c r="W251" s="304">
        <f t="shared" ca="1" si="91"/>
        <v>218.64180947980725</v>
      </c>
      <c r="Y251" s="314" t="str">
        <f t="shared" ca="1" si="109"/>
        <v/>
      </c>
      <c r="Z251" s="315" t="str">
        <f t="shared" ca="1" si="110"/>
        <v/>
      </c>
      <c r="AA251" s="316" t="str">
        <f t="shared" ca="1" si="111"/>
        <v/>
      </c>
      <c r="AC251" s="310" t="e">
        <f t="shared" ca="1" si="112"/>
        <v>#N/A</v>
      </c>
      <c r="AD251" s="323" t="e">
        <f t="shared" ca="1" si="113"/>
        <v>#N/A</v>
      </c>
      <c r="AE251" s="324">
        <f t="shared" ca="1" si="92"/>
        <v>338.38143277708326</v>
      </c>
      <c r="AG251" s="306">
        <f t="shared" ca="1" si="114"/>
        <v>77.25032348621221</v>
      </c>
      <c r="AH251" s="304">
        <f t="shared" ca="1" si="115"/>
        <v>87.006236287682171</v>
      </c>
    </row>
    <row r="252" spans="1:34" x14ac:dyDescent="0.2">
      <c r="A252" s="347">
        <f t="shared" ca="1" si="93"/>
        <v>0.01</v>
      </c>
      <c r="B252" s="304">
        <f t="shared" ca="1" si="94"/>
        <v>2.4799999999999911</v>
      </c>
      <c r="D252" s="306">
        <f t="shared" ca="1" si="95"/>
        <v>9.0842609926414593</v>
      </c>
      <c r="E252" s="307">
        <f t="shared" ca="1" si="96"/>
        <v>76.308349254050995</v>
      </c>
      <c r="F252" s="304">
        <f t="shared" ca="1" si="97"/>
        <v>76.847172775975636</v>
      </c>
      <c r="G252" s="306">
        <f t="shared" ca="1" si="98"/>
        <v>27.40307258196286</v>
      </c>
      <c r="H252" s="307">
        <f t="shared" ca="1" si="99"/>
        <v>259.68168584710253</v>
      </c>
      <c r="I252" s="304">
        <f t="shared" ca="1" si="100"/>
        <v>261.12354614497247</v>
      </c>
      <c r="J252" s="306">
        <f t="shared" ca="1" si="101"/>
        <v>34.452159461802019</v>
      </c>
      <c r="K252" s="307">
        <f t="shared" ca="1" si="102"/>
        <v>340.97443421809157</v>
      </c>
      <c r="L252" s="304">
        <f t="shared" ca="1" si="87"/>
        <v>342.71054270612848</v>
      </c>
      <c r="M252" s="306">
        <f t="shared" ca="1" si="103"/>
        <v>1.4656598029558545</v>
      </c>
      <c r="N252" s="304">
        <f t="shared" ca="1" si="104"/>
        <v>83.976120911346328</v>
      </c>
      <c r="P252" s="310">
        <f t="shared" ca="1" si="105"/>
        <v>9</v>
      </c>
      <c r="Q252" s="304">
        <f t="shared" ca="1" si="106"/>
        <v>836.2750000000018</v>
      </c>
      <c r="R252" s="306">
        <f t="shared" ca="1" si="107"/>
        <v>0.41891712646747775</v>
      </c>
      <c r="S252" s="307">
        <f t="shared" ca="1" si="108"/>
        <v>7.1323397456719064</v>
      </c>
      <c r="T252" s="304">
        <f t="shared" ca="1" si="88"/>
        <v>69.96825290504141</v>
      </c>
      <c r="U252" s="311">
        <f t="shared" ca="1" si="89"/>
        <v>0</v>
      </c>
      <c r="V252" s="306">
        <f t="shared" ca="1" si="90"/>
        <v>1.1839308090162577</v>
      </c>
      <c r="W252" s="304">
        <f t="shared" ca="1" si="91"/>
        <v>219.87725942567295</v>
      </c>
      <c r="Y252" s="314" t="str">
        <f t="shared" ca="1" si="109"/>
        <v/>
      </c>
      <c r="Z252" s="315" t="str">
        <f t="shared" ca="1" si="110"/>
        <v/>
      </c>
      <c r="AA252" s="316" t="str">
        <f t="shared" ca="1" si="111"/>
        <v/>
      </c>
      <c r="AC252" s="310" t="e">
        <f t="shared" ca="1" si="112"/>
        <v>#N/A</v>
      </c>
      <c r="AD252" s="323" t="e">
        <f t="shared" ca="1" si="113"/>
        <v>#N/A</v>
      </c>
      <c r="AE252" s="324">
        <f t="shared" ca="1" si="92"/>
        <v>340.97443421809157</v>
      </c>
      <c r="AG252" s="306">
        <f t="shared" ca="1" si="114"/>
        <v>76.840281786355561</v>
      </c>
      <c r="AH252" s="304">
        <f t="shared" ca="1" si="115"/>
        <v>86.596153933215376</v>
      </c>
    </row>
    <row r="253" spans="1:34" x14ac:dyDescent="0.2">
      <c r="A253" s="347">
        <f t="shared" ca="1" si="93"/>
        <v>0.01</v>
      </c>
      <c r="B253" s="304">
        <f t="shared" ca="1" si="94"/>
        <v>2.4899999999999909</v>
      </c>
      <c r="D253" s="306">
        <f t="shared" ca="1" si="95"/>
        <v>9.0446132413623541</v>
      </c>
      <c r="E253" s="307">
        <f t="shared" ca="1" si="96"/>
        <v>75.900111788630795</v>
      </c>
      <c r="F253" s="304">
        <f t="shared" ca="1" si="97"/>
        <v>76.437111393697222</v>
      </c>
      <c r="G253" s="306">
        <f t="shared" ca="1" si="98"/>
        <v>27.493518714376485</v>
      </c>
      <c r="H253" s="307">
        <f t="shared" ca="1" si="99"/>
        <v>260.44068696498886</v>
      </c>
      <c r="I253" s="304">
        <f t="shared" ca="1" si="100"/>
        <v>261.88784812986853</v>
      </c>
      <c r="J253" s="306">
        <f t="shared" ca="1" si="101"/>
        <v>34.726642418283717</v>
      </c>
      <c r="K253" s="307">
        <f t="shared" ca="1" si="102"/>
        <v>343.57504608215203</v>
      </c>
      <c r="L253" s="304">
        <f t="shared" ca="1" si="87"/>
        <v>345.32557389223319</v>
      </c>
      <c r="M253" s="306">
        <f t="shared" ca="1" si="103"/>
        <v>1.4656204926080474</v>
      </c>
      <c r="N253" s="304">
        <f t="shared" ca="1" si="104"/>
        <v>83.973868594325779</v>
      </c>
      <c r="P253" s="310">
        <f t="shared" ca="1" si="105"/>
        <v>9</v>
      </c>
      <c r="Q253" s="304">
        <f t="shared" ca="1" si="106"/>
        <v>834.22500000000184</v>
      </c>
      <c r="R253" s="306">
        <f t="shared" ca="1" si="107"/>
        <v>0.41789021533267362</v>
      </c>
      <c r="S253" s="307">
        <f t="shared" ca="1" si="108"/>
        <v>7.1281608435185797</v>
      </c>
      <c r="T253" s="304">
        <f t="shared" ca="1" si="88"/>
        <v>69.927257874917274</v>
      </c>
      <c r="U253" s="311">
        <f t="shared" ca="1" si="89"/>
        <v>0</v>
      </c>
      <c r="V253" s="306">
        <f t="shared" ca="1" si="90"/>
        <v>1.1836228644181506</v>
      </c>
      <c r="W253" s="304">
        <f t="shared" ca="1" si="91"/>
        <v>221.10876732058892</v>
      </c>
      <c r="Y253" s="314" t="str">
        <f t="shared" ca="1" si="109"/>
        <v/>
      </c>
      <c r="Z253" s="315" t="str">
        <f t="shared" ca="1" si="110"/>
        <v/>
      </c>
      <c r="AA253" s="316" t="str">
        <f t="shared" ca="1" si="111"/>
        <v/>
      </c>
      <c r="AC253" s="310" t="e">
        <f t="shared" ca="1" si="112"/>
        <v>#N/A</v>
      </c>
      <c r="AD253" s="323" t="e">
        <f t="shared" ca="1" si="113"/>
        <v>#N/A</v>
      </c>
      <c r="AE253" s="324">
        <f t="shared" ca="1" si="92"/>
        <v>343.57504608215203</v>
      </c>
      <c r="AG253" s="306">
        <f t="shared" ca="1" si="114"/>
        <v>76.430178254793404</v>
      </c>
      <c r="AH253" s="304">
        <f t="shared" ca="1" si="115"/>
        <v>86.186009836315165</v>
      </c>
    </row>
    <row r="254" spans="1:34" x14ac:dyDescent="0.2">
      <c r="A254" s="347">
        <f t="shared" ca="1" si="93"/>
        <v>0.01</v>
      </c>
      <c r="B254" s="304">
        <f t="shared" ca="1" si="94"/>
        <v>2.4999999999999907</v>
      </c>
      <c r="D254" s="306">
        <f t="shared" ca="1" si="95"/>
        <v>9.0049193637961444</v>
      </c>
      <c r="E254" s="307">
        <f t="shared" ca="1" si="96"/>
        <v>75.491827297393456</v>
      </c>
      <c r="F254" s="304">
        <f t="shared" ca="1" si="97"/>
        <v>76.026998898075348</v>
      </c>
      <c r="G254" s="306">
        <f t="shared" ca="1" si="98"/>
        <v>27.583567908014448</v>
      </c>
      <c r="H254" s="307">
        <f t="shared" ca="1" si="99"/>
        <v>261.19560523796281</v>
      </c>
      <c r="I254" s="304">
        <f t="shared" ca="1" si="100"/>
        <v>262.6480485633993</v>
      </c>
      <c r="J254" s="306">
        <f t="shared" ca="1" si="101"/>
        <v>35.002027851395674</v>
      </c>
      <c r="K254" s="307">
        <f t="shared" ca="1" si="102"/>
        <v>346.18322754316677</v>
      </c>
      <c r="L254" s="304">
        <f t="shared" ca="1" si="87"/>
        <v>347.94822745045542</v>
      </c>
      <c r="M254" s="306">
        <f t="shared" ca="1" si="103"/>
        <v>1.465581281437448</v>
      </c>
      <c r="N254" s="304">
        <f t="shared" ca="1" si="104"/>
        <v>83.971621959740673</v>
      </c>
      <c r="P254" s="310">
        <f t="shared" ca="1" si="105"/>
        <v>9</v>
      </c>
      <c r="Q254" s="304">
        <f t="shared" ca="1" si="106"/>
        <v>832.17500000000189</v>
      </c>
      <c r="R254" s="306">
        <f t="shared" ca="1" si="107"/>
        <v>0.41686330419786954</v>
      </c>
      <c r="S254" s="307">
        <f t="shared" ca="1" si="108"/>
        <v>7.1239922104766009</v>
      </c>
      <c r="T254" s="304">
        <f t="shared" ca="1" si="88"/>
        <v>69.886363584775452</v>
      </c>
      <c r="U254" s="311">
        <f t="shared" ca="1" si="89"/>
        <v>0</v>
      </c>
      <c r="V254" s="306">
        <f t="shared" ca="1" si="90"/>
        <v>1.1833141025520406</v>
      </c>
      <c r="W254" s="304">
        <f t="shared" ca="1" si="91"/>
        <v>222.33627245617168</v>
      </c>
      <c r="Y254" s="314" t="str">
        <f t="shared" ca="1" si="109"/>
        <v/>
      </c>
      <c r="Z254" s="315" t="str">
        <f t="shared" ca="1" si="110"/>
        <v/>
      </c>
      <c r="AA254" s="316" t="str">
        <f t="shared" ca="1" si="111"/>
        <v/>
      </c>
      <c r="AC254" s="310" t="e">
        <f t="shared" ca="1" si="112"/>
        <v>#N/A</v>
      </c>
      <c r="AD254" s="323" t="e">
        <f t="shared" ca="1" si="113"/>
        <v>#N/A</v>
      </c>
      <c r="AE254" s="324">
        <f t="shared" ca="1" si="92"/>
        <v>346.18322754316677</v>
      </c>
      <c r="AG254" s="306">
        <f t="shared" ca="1" si="114"/>
        <v>76.020023161795663</v>
      </c>
      <c r="AH254" s="304">
        <f t="shared" ca="1" si="115"/>
        <v>85.775814266160197</v>
      </c>
    </row>
    <row r="255" spans="1:34" x14ac:dyDescent="0.2">
      <c r="A255" s="347">
        <f t="shared" ca="1" si="93"/>
        <v>0.01</v>
      </c>
      <c r="B255" s="304">
        <f t="shared" ca="1" si="94"/>
        <v>2.5099999999999905</v>
      </c>
      <c r="D255" s="306">
        <f t="shared" ca="1" si="95"/>
        <v>8.9651806477689853</v>
      </c>
      <c r="E255" s="307">
        <f t="shared" ca="1" si="96"/>
        <v>75.083505915212612</v>
      </c>
      <c r="F255" s="304">
        <f t="shared" ca="1" si="97"/>
        <v>75.616845507908479</v>
      </c>
      <c r="G255" s="306">
        <f t="shared" ca="1" si="98"/>
        <v>27.673219714492138</v>
      </c>
      <c r="H255" s="307">
        <f t="shared" ca="1" si="99"/>
        <v>261.94644029711492</v>
      </c>
      <c r="I255" s="304">
        <f t="shared" ca="1" si="100"/>
        <v>263.40414703207796</v>
      </c>
      <c r="J255" s="306">
        <f t="shared" ca="1" si="101"/>
        <v>35.278311789508209</v>
      </c>
      <c r="K255" s="307">
        <f t="shared" ca="1" si="102"/>
        <v>348.79893777084214</v>
      </c>
      <c r="L255" s="304">
        <f t="shared" ca="1" si="87"/>
        <v>350.57846236297172</v>
      </c>
      <c r="M255" s="306">
        <f t="shared" ca="1" si="103"/>
        <v>1.4655421682992993</v>
      </c>
      <c r="N255" s="304">
        <f t="shared" ca="1" si="104"/>
        <v>83.969380942001237</v>
      </c>
      <c r="P255" s="310">
        <f t="shared" ca="1" si="105"/>
        <v>9</v>
      </c>
      <c r="Q255" s="304">
        <f t="shared" ca="1" si="106"/>
        <v>830.12500000000193</v>
      </c>
      <c r="R255" s="306">
        <f t="shared" ca="1" si="107"/>
        <v>0.41583639306306541</v>
      </c>
      <c r="S255" s="307">
        <f t="shared" ca="1" si="108"/>
        <v>7.1198338465459701</v>
      </c>
      <c r="T255" s="304">
        <f t="shared" ca="1" si="88"/>
        <v>69.845570034615974</v>
      </c>
      <c r="U255" s="311">
        <f t="shared" ca="1" si="89"/>
        <v>0</v>
      </c>
      <c r="V255" s="306">
        <f t="shared" ca="1" si="90"/>
        <v>1.1830045289084674</v>
      </c>
      <c r="W255" s="304">
        <f t="shared" ca="1" si="91"/>
        <v>223.55971471308581</v>
      </c>
      <c r="Y255" s="314" t="str">
        <f t="shared" ca="1" si="109"/>
        <v/>
      </c>
      <c r="Z255" s="315" t="str">
        <f t="shared" ca="1" si="110"/>
        <v/>
      </c>
      <c r="AA255" s="316" t="str">
        <f t="shared" ca="1" si="111"/>
        <v/>
      </c>
      <c r="AC255" s="310" t="e">
        <f t="shared" ca="1" si="112"/>
        <v>#N/A</v>
      </c>
      <c r="AD255" s="323" t="e">
        <f t="shared" ca="1" si="113"/>
        <v>#N/A</v>
      </c>
      <c r="AE255" s="324">
        <f t="shared" ca="1" si="92"/>
        <v>348.79893777084214</v>
      </c>
      <c r="AG255" s="306">
        <f t="shared" ca="1" si="114"/>
        <v>75.609826719591496</v>
      </c>
      <c r="AH255" s="304">
        <f t="shared" ca="1" si="115"/>
        <v>85.365577433901137</v>
      </c>
    </row>
    <row r="256" spans="1:34" x14ac:dyDescent="0.2">
      <c r="A256" s="347">
        <f t="shared" ca="1" si="93"/>
        <v>0.01</v>
      </c>
      <c r="B256" s="304">
        <f t="shared" ca="1" si="94"/>
        <v>2.5199999999999902</v>
      </c>
      <c r="D256" s="306">
        <f t="shared" ca="1" si="95"/>
        <v>8.9253983734849918</v>
      </c>
      <c r="E256" s="307">
        <f t="shared" ca="1" si="96"/>
        <v>74.675157718878737</v>
      </c>
      <c r="F256" s="304">
        <f t="shared" ca="1" si="97"/>
        <v>75.206661383582386</v>
      </c>
      <c r="G256" s="306">
        <f t="shared" ca="1" si="98"/>
        <v>27.762473698226987</v>
      </c>
      <c r="H256" s="307">
        <f t="shared" ca="1" si="99"/>
        <v>262.69319187430369</v>
      </c>
      <c r="I256" s="304">
        <f t="shared" ca="1" si="100"/>
        <v>264.1561432239547</v>
      </c>
      <c r="J256" s="306">
        <f t="shared" ca="1" si="101"/>
        <v>35.555490256571801</v>
      </c>
      <c r="K256" s="307">
        <f t="shared" ca="1" si="102"/>
        <v>351.42213593169924</v>
      </c>
      <c r="L256" s="304">
        <f t="shared" ca="1" si="87"/>
        <v>353.21623760832807</v>
      </c>
      <c r="M256" s="306">
        <f t="shared" ca="1" si="103"/>
        <v>1.4655031520627719</v>
      </c>
      <c r="N256" s="304">
        <f t="shared" ca="1" si="104"/>
        <v>83.967145476315736</v>
      </c>
      <c r="P256" s="310">
        <f t="shared" ca="1" si="105"/>
        <v>9</v>
      </c>
      <c r="Q256" s="304">
        <f t="shared" ca="1" si="106"/>
        <v>828.07500000000198</v>
      </c>
      <c r="R256" s="306">
        <f t="shared" ca="1" si="107"/>
        <v>0.41480948192826128</v>
      </c>
      <c r="S256" s="307">
        <f t="shared" ca="1" si="108"/>
        <v>7.1156857517266872</v>
      </c>
      <c r="T256" s="304">
        <f t="shared" ca="1" si="88"/>
        <v>69.804877224438798</v>
      </c>
      <c r="U256" s="311">
        <f t="shared" ca="1" si="89"/>
        <v>0</v>
      </c>
      <c r="V256" s="306">
        <f t="shared" ca="1" si="90"/>
        <v>1.1826941489748504</v>
      </c>
      <c r="W256" s="304">
        <f t="shared" ca="1" si="91"/>
        <v>224.77903456224624</v>
      </c>
      <c r="Y256" s="314" t="str">
        <f t="shared" ca="1" si="109"/>
        <v/>
      </c>
      <c r="Z256" s="315" t="str">
        <f t="shared" ca="1" si="110"/>
        <v/>
      </c>
      <c r="AA256" s="316" t="str">
        <f t="shared" ca="1" si="111"/>
        <v/>
      </c>
      <c r="AC256" s="310" t="e">
        <f t="shared" ca="1" si="112"/>
        <v>#N/A</v>
      </c>
      <c r="AD256" s="323" t="e">
        <f t="shared" ca="1" si="113"/>
        <v>#N/A</v>
      </c>
      <c r="AE256" s="324">
        <f t="shared" ca="1" si="92"/>
        <v>351.42213593169924</v>
      </c>
      <c r="AG256" s="306">
        <f t="shared" ca="1" si="114"/>
        <v>75.199599081872009</v>
      </c>
      <c r="AH256" s="304">
        <f t="shared" ca="1" si="115"/>
        <v>84.955309492163138</v>
      </c>
    </row>
    <row r="257" spans="1:34" x14ac:dyDescent="0.2">
      <c r="A257" s="347">
        <f t="shared" ca="1" si="93"/>
        <v>0.01</v>
      </c>
      <c r="B257" s="304">
        <f t="shared" ca="1" si="94"/>
        <v>2.52999999999999</v>
      </c>
      <c r="D257" s="306">
        <f t="shared" ca="1" si="95"/>
        <v>8.8855738135031395</v>
      </c>
      <c r="E257" s="307">
        <f t="shared" ca="1" si="96"/>
        <v>74.266792726612664</v>
      </c>
      <c r="F257" s="304">
        <f t="shared" ca="1" si="97"/>
        <v>74.796456626586661</v>
      </c>
      <c r="G257" s="306">
        <f t="shared" ca="1" si="98"/>
        <v>27.851329436362018</v>
      </c>
      <c r="H257" s="307">
        <f t="shared" ca="1" si="99"/>
        <v>263.43585980156985</v>
      </c>
      <c r="I257" s="304">
        <f t="shared" ca="1" si="100"/>
        <v>264.9040369280263</v>
      </c>
      <c r="J257" s="306">
        <f t="shared" ca="1" si="101"/>
        <v>35.833559272244749</v>
      </c>
      <c r="K257" s="307">
        <f t="shared" ca="1" si="102"/>
        <v>354.05278119007863</v>
      </c>
      <c r="L257" s="304">
        <f t="shared" ca="1" si="87"/>
        <v>355.8615121624523</v>
      </c>
      <c r="M257" s="306">
        <f t="shared" ca="1" si="103"/>
        <v>1.4654642316107211</v>
      </c>
      <c r="N257" s="304">
        <f t="shared" ca="1" si="104"/>
        <v>83.96491549867649</v>
      </c>
      <c r="P257" s="310">
        <f t="shared" ca="1" si="105"/>
        <v>9</v>
      </c>
      <c r="Q257" s="304">
        <f t="shared" ca="1" si="106"/>
        <v>826.02500000000202</v>
      </c>
      <c r="R257" s="306">
        <f t="shared" ca="1" si="107"/>
        <v>0.41378257079345721</v>
      </c>
      <c r="S257" s="307">
        <f t="shared" ca="1" si="108"/>
        <v>7.1115479260187522</v>
      </c>
      <c r="T257" s="304">
        <f t="shared" ca="1" si="88"/>
        <v>69.764285154243964</v>
      </c>
      <c r="U257" s="311">
        <f t="shared" ca="1" si="89"/>
        <v>0</v>
      </c>
      <c r="V257" s="306">
        <f t="shared" ca="1" si="90"/>
        <v>1.1823829682353328</v>
      </c>
      <c r="W257" s="304">
        <f t="shared" ca="1" si="91"/>
        <v>225.99417306593995</v>
      </c>
      <c r="Y257" s="314" t="str">
        <f t="shared" ca="1" si="109"/>
        <v/>
      </c>
      <c r="Z257" s="315" t="str">
        <f t="shared" ca="1" si="110"/>
        <v/>
      </c>
      <c r="AA257" s="316" t="str">
        <f t="shared" ca="1" si="111"/>
        <v/>
      </c>
      <c r="AC257" s="310" t="e">
        <f t="shared" ca="1" si="112"/>
        <v>#N/A</v>
      </c>
      <c r="AD257" s="323" t="e">
        <f t="shared" ca="1" si="113"/>
        <v>#N/A</v>
      </c>
      <c r="AE257" s="324">
        <f t="shared" ca="1" si="92"/>
        <v>354.05278119007863</v>
      </c>
      <c r="AG257" s="306">
        <f t="shared" ca="1" si="114"/>
        <v>74.78935034330361</v>
      </c>
      <c r="AH257" s="304">
        <f t="shared" ca="1" si="115"/>
        <v>84.545020534558986</v>
      </c>
    </row>
    <row r="258" spans="1:34" x14ac:dyDescent="0.2">
      <c r="A258" s="347">
        <f t="shared" ca="1" si="93"/>
        <v>0.01</v>
      </c>
      <c r="B258" s="304">
        <f t="shared" ca="1" si="94"/>
        <v>2.5399999999999898</v>
      </c>
      <c r="D258" s="306">
        <f t="shared" ca="1" si="95"/>
        <v>8.8457082327145464</v>
      </c>
      <c r="E258" s="307">
        <f t="shared" ca="1" si="96"/>
        <v>73.858420897590193</v>
      </c>
      <c r="F258" s="304">
        <f t="shared" ca="1" si="97"/>
        <v>74.386241279042324</v>
      </c>
      <c r="G258" s="306">
        <f t="shared" ca="1" si="98"/>
        <v>27.939786518689164</v>
      </c>
      <c r="H258" s="307">
        <f t="shared" ca="1" si="99"/>
        <v>264.17444401054576</v>
      </c>
      <c r="I258" s="304">
        <f t="shared" ca="1" si="100"/>
        <v>265.64782803364096</v>
      </c>
      <c r="J258" s="306">
        <f t="shared" ca="1" si="101"/>
        <v>36.112514852020006</v>
      </c>
      <c r="K258" s="307">
        <f t="shared" ca="1" si="102"/>
        <v>356.69083270913922</v>
      </c>
      <c r="L258" s="304">
        <f t="shared" ca="1" si="87"/>
        <v>358.51424499966038</v>
      </c>
      <c r="M258" s="306">
        <f t="shared" ca="1" si="103"/>
        <v>1.465425405839448</v>
      </c>
      <c r="N258" s="304">
        <f t="shared" ca="1" si="104"/>
        <v>83.962690945846191</v>
      </c>
      <c r="P258" s="310">
        <f t="shared" ca="1" si="105"/>
        <v>9</v>
      </c>
      <c r="Q258" s="304">
        <f t="shared" ca="1" si="106"/>
        <v>823.97500000000207</v>
      </c>
      <c r="R258" s="306">
        <f t="shared" ca="1" si="107"/>
        <v>0.41275565965865307</v>
      </c>
      <c r="S258" s="307">
        <f t="shared" ca="1" si="108"/>
        <v>7.107420369422166</v>
      </c>
      <c r="T258" s="304">
        <f t="shared" ca="1" si="88"/>
        <v>69.723793824031446</v>
      </c>
      <c r="U258" s="311">
        <f t="shared" ca="1" si="89"/>
        <v>0</v>
      </c>
      <c r="V258" s="306">
        <f t="shared" ca="1" si="90"/>
        <v>1.1820709921706321</v>
      </c>
      <c r="W258" s="304">
        <f t="shared" ca="1" si="91"/>
        <v>227.20507187886929</v>
      </c>
      <c r="Y258" s="314" t="str">
        <f t="shared" ca="1" si="109"/>
        <v/>
      </c>
      <c r="Z258" s="315" t="str">
        <f t="shared" ca="1" si="110"/>
        <v/>
      </c>
      <c r="AA258" s="316" t="str">
        <f t="shared" ca="1" si="111"/>
        <v/>
      </c>
      <c r="AC258" s="310" t="e">
        <f t="shared" ca="1" si="112"/>
        <v>#N/A</v>
      </c>
      <c r="AD258" s="323" t="e">
        <f t="shared" ca="1" si="113"/>
        <v>#N/A</v>
      </c>
      <c r="AE258" s="324">
        <f t="shared" ca="1" si="92"/>
        <v>356.69083270913922</v>
      </c>
      <c r="AG258" s="306">
        <f t="shared" ca="1" si="114"/>
        <v>74.379090539052527</v>
      </c>
      <c r="AH258" s="304">
        <f t="shared" ca="1" si="115"/>
        <v>84.134720595213381</v>
      </c>
    </row>
    <row r="259" spans="1:34" x14ac:dyDescent="0.2">
      <c r="A259" s="347">
        <f t="shared" ca="1" si="93"/>
        <v>0.01</v>
      </c>
      <c r="B259" s="304">
        <f t="shared" ca="1" si="94"/>
        <v>2.5499999999999896</v>
      </c>
      <c r="D259" s="306">
        <f t="shared" ca="1" si="95"/>
        <v>8.8058028883200254</v>
      </c>
      <c r="E259" s="307">
        <f t="shared" ca="1" si="96"/>
        <v>73.45005213147715</v>
      </c>
      <c r="F259" s="304">
        <f t="shared" ca="1" si="97"/>
        <v>73.976025323240066</v>
      </c>
      <c r="G259" s="306">
        <f t="shared" ca="1" si="98"/>
        <v>28.027844547572364</v>
      </c>
      <c r="H259" s="307">
        <f t="shared" ca="1" si="99"/>
        <v>264.90894453186053</v>
      </c>
      <c r="I259" s="304">
        <f t="shared" ca="1" si="100"/>
        <v>266.38751652989902</v>
      </c>
      <c r="J259" s="306">
        <f t="shared" ca="1" si="101"/>
        <v>36.392353007351311</v>
      </c>
      <c r="K259" s="307">
        <f t="shared" ca="1" si="102"/>
        <v>359.33624965185123</v>
      </c>
      <c r="L259" s="304">
        <f t="shared" ca="1" si="87"/>
        <v>361.17439509365727</v>
      </c>
      <c r="M259" s="306">
        <f t="shared" ca="1" si="103"/>
        <v>1.4653866736584671</v>
      </c>
      <c r="N259" s="304">
        <f t="shared" ca="1" si="104"/>
        <v>83.960471755344656</v>
      </c>
      <c r="P259" s="310">
        <f t="shared" ca="1" si="105"/>
        <v>9</v>
      </c>
      <c r="Q259" s="304">
        <f t="shared" ca="1" si="106"/>
        <v>821.92500000000211</v>
      </c>
      <c r="R259" s="306">
        <f t="shared" ca="1" si="107"/>
        <v>0.41172874852384894</v>
      </c>
      <c r="S259" s="307">
        <f t="shared" ca="1" si="108"/>
        <v>7.1033030819369278</v>
      </c>
      <c r="T259" s="304">
        <f t="shared" ca="1" si="88"/>
        <v>69.683403233801272</v>
      </c>
      <c r="U259" s="311">
        <f t="shared" ca="1" si="89"/>
        <v>0</v>
      </c>
      <c r="V259" s="306">
        <f t="shared" ca="1" si="90"/>
        <v>1.1817582262578874</v>
      </c>
      <c r="W259" s="304">
        <f t="shared" ca="1" si="91"/>
        <v>228.41167324911757</v>
      </c>
      <c r="Y259" s="314" t="str">
        <f t="shared" ca="1" si="109"/>
        <v/>
      </c>
      <c r="Z259" s="315" t="str">
        <f t="shared" ca="1" si="110"/>
        <v/>
      </c>
      <c r="AA259" s="316" t="str">
        <f t="shared" ca="1" si="111"/>
        <v/>
      </c>
      <c r="AC259" s="310" t="e">
        <f t="shared" ca="1" si="112"/>
        <v>#N/A</v>
      </c>
      <c r="AD259" s="323" t="e">
        <f t="shared" ca="1" si="113"/>
        <v>#N/A</v>
      </c>
      <c r="AE259" s="324">
        <f t="shared" ca="1" si="92"/>
        <v>359.33624965185123</v>
      </c>
      <c r="AG259" s="306">
        <f t="shared" ca="1" si="114"/>
        <v>73.968829644319584</v>
      </c>
      <c r="AH259" s="304">
        <f t="shared" ca="1" si="115"/>
        <v>83.724419648297584</v>
      </c>
    </row>
    <row r="260" spans="1:34" x14ac:dyDescent="0.2">
      <c r="A260" s="347">
        <f t="shared" ca="1" si="93"/>
        <v>0.01</v>
      </c>
      <c r="B260" s="304">
        <f t="shared" ca="1" si="94"/>
        <v>2.5599999999999894</v>
      </c>
      <c r="D260" s="306">
        <f t="shared" ca="1" si="95"/>
        <v>8.7658590298078991</v>
      </c>
      <c r="E260" s="307">
        <f t="shared" ca="1" si="96"/>
        <v>73.041696267975198</v>
      </c>
      <c r="F260" s="304">
        <f t="shared" ca="1" si="97"/>
        <v>73.565818681189199</v>
      </c>
      <c r="G260" s="306">
        <f t="shared" ca="1" si="98"/>
        <v>28.115503137870444</v>
      </c>
      <c r="H260" s="307">
        <f t="shared" ca="1" si="99"/>
        <v>265.63936149454025</v>
      </c>
      <c r="I260" s="304">
        <f t="shared" ca="1" si="100"/>
        <v>267.12310250504845</v>
      </c>
      <c r="J260" s="306">
        <f t="shared" ca="1" si="101"/>
        <v>36.673069745778527</v>
      </c>
      <c r="K260" s="307">
        <f t="shared" ca="1" si="102"/>
        <v>361.98899118198324</v>
      </c>
      <c r="L260" s="304">
        <f t="shared" ref="L260:L323" ca="1" si="116">SQRT(pos_x^2+pos_z^2)</f>
        <v>363.84192141853129</v>
      </c>
      <c r="M260" s="306">
        <f t="shared" ca="1" si="103"/>
        <v>1.4653480339902785</v>
      </c>
      <c r="N260" s="304">
        <f t="shared" ca="1" si="104"/>
        <v>83.958257865435655</v>
      </c>
      <c r="P260" s="310">
        <f t="shared" ca="1" si="105"/>
        <v>9</v>
      </c>
      <c r="Q260" s="304">
        <f t="shared" ca="1" si="106"/>
        <v>819.87500000000216</v>
      </c>
      <c r="R260" s="306">
        <f t="shared" ca="1" si="107"/>
        <v>0.41070183738904487</v>
      </c>
      <c r="S260" s="307">
        <f t="shared" ca="1" si="108"/>
        <v>7.0991960635630376</v>
      </c>
      <c r="T260" s="304">
        <f t="shared" ref="T260:T323" ca="1" si="117">m*g</f>
        <v>69.643113383553398</v>
      </c>
      <c r="U260" s="311">
        <f t="shared" ref="U260:U323" ca="1" si="118">IF(pos_xz&lt;L_rampe,Poids*COS(Beta),0)</f>
        <v>0</v>
      </c>
      <c r="V260" s="306">
        <f t="shared" ref="V260:V323" ca="1" si="119">Rho_moyen*(20000-Alt_rampe-pos_z)/(20000+Alt_rampe+pos_z)</f>
        <v>1.1814446759705091</v>
      </c>
      <c r="W260" s="304">
        <f t="shared" ref="W260:W323" ca="1" si="120">1/2*Rho*Sref*Cx*vit_xz^2</f>
        <v>229.61392001903536</v>
      </c>
      <c r="Y260" s="314" t="str">
        <f t="shared" ca="1" si="109"/>
        <v/>
      </c>
      <c r="Z260" s="315" t="str">
        <f t="shared" ca="1" si="110"/>
        <v/>
      </c>
      <c r="AA260" s="316" t="str">
        <f t="shared" ca="1" si="111"/>
        <v/>
      </c>
      <c r="AC260" s="310" t="e">
        <f t="shared" ca="1" si="112"/>
        <v>#N/A</v>
      </c>
      <c r="AD260" s="323" t="e">
        <f t="shared" ca="1" si="113"/>
        <v>#N/A</v>
      </c>
      <c r="AE260" s="324">
        <f t="shared" ref="AE260:AE323" ca="1" si="121">IF(t&lt;T_para, pos_z, NA())</f>
        <v>361.98899118198324</v>
      </c>
      <c r="AG260" s="306">
        <f t="shared" ca="1" si="114"/>
        <v>73.558577573886055</v>
      </c>
      <c r="AH260" s="304">
        <f t="shared" ca="1" si="115"/>
        <v>83.314127607574932</v>
      </c>
    </row>
    <row r="261" spans="1:34" x14ac:dyDescent="0.2">
      <c r="A261" s="347">
        <f t="shared" ref="A261:A324" ca="1" si="122">IF(B260+0.01&lt;=T_ini+ROUNDUP(Temps_fin_propu,0), 0.01, IF(K260&gt;0, 0.1, 0.0001))</f>
        <v>0.01</v>
      </c>
      <c r="B261" s="304">
        <f t="shared" ref="B261:B324" ca="1" si="123">B260+pas</f>
        <v>2.5699999999999892</v>
      </c>
      <c r="D261" s="306">
        <f t="shared" ref="D261:D324" ca="1" si="124">IF(AND(L260&lt;L_rampe,Poussee&lt;Poids*SIN(M260)),0,(-W260+Poussee)/m*COS(M260)-U260/m*SIN(M260))</f>
        <v>8.725877898932195</v>
      </c>
      <c r="E261" s="307">
        <f t="shared" ref="E261:E324" ca="1" si="125">IF(AND(L260&lt;L_rampe,Poussee&lt;Poids*SIN(M260)),0,(-W260+Poussee)/m*SIN(M260)+U260/m*COS(M260)-Poids/m)</f>
        <v>72.633363086378608</v>
      </c>
      <c r="F261" s="304">
        <f t="shared" ref="F261:F324" ca="1" si="126">SQRT(acc_x^2+acc_z^2)</f>
        <v>73.15563121417776</v>
      </c>
      <c r="G261" s="306">
        <f t="shared" ref="G261:G324" ca="1" si="127">G260+acc_x*pas</f>
        <v>28.202761916859767</v>
      </c>
      <c r="H261" s="307">
        <f t="shared" ref="H261:H324" ca="1" si="128">H260+acc_z*pas</f>
        <v>266.36569512540405</v>
      </c>
      <c r="I261" s="304">
        <f t="shared" ref="I261:I324" ca="1" si="129">SQRT(vit_x^2+vit_z^2)</f>
        <v>267.85458614587651</v>
      </c>
      <c r="J261" s="306">
        <f t="shared" ref="J261:J324" ca="1" si="130">J260+0.5*(vit_x+G260)*pas*(K260&gt;=0)</f>
        <v>36.954661071052179</v>
      </c>
      <c r="K261" s="307">
        <f t="shared" ref="K261:K324" ca="1" si="131">K260+0.5*(vit_z+H260)*pas</f>
        <v>364.64901646508298</v>
      </c>
      <c r="L261" s="304">
        <f t="shared" ca="1" si="116"/>
        <v>366.51678294974255</v>
      </c>
      <c r="M261" s="306">
        <f t="shared" ref="M261:M324" ca="1" si="132">IF(AND(L260&gt;L_rampe,G261&gt;0),ATAN2(G261,H261),$M$4)</f>
        <v>1.4653094857701441</v>
      </c>
      <c r="N261" s="304">
        <f t="shared" ref="N261:N324" ca="1" si="133">DEGREES(Beta)</f>
        <v>83.95604921511422</v>
      </c>
      <c r="P261" s="310">
        <f t="shared" ref="P261:P324" ca="1" si="134">MATCH(t-pas/2-T_ini,CdP_t)</f>
        <v>9</v>
      </c>
      <c r="Q261" s="304">
        <f t="shared" ref="Q261:Q324" ca="1" si="135">(INDEX(CdP,2,i_P+1)-INDEX(CdP,2,i_P+0))/(INDEX(CdP,1,i_P+1)-INDEX(CdP,1,i_P+0))*(t-pas/2-T_ini-INDEX(CdP,1,i_P+0))+INDEX(CdP,2,i_P+0)</f>
        <v>817.82500000000221</v>
      </c>
      <c r="R261" s="306">
        <f t="shared" ref="R261:R324" ca="1" si="136">Poussee/(g*ISP)</f>
        <v>0.40967492625424073</v>
      </c>
      <c r="S261" s="307">
        <f t="shared" ref="S261:S324" ca="1" si="137">S260-Débit*pas</f>
        <v>7.0950993143004952</v>
      </c>
      <c r="T261" s="304">
        <f t="shared" ca="1" si="117"/>
        <v>69.602924273287869</v>
      </c>
      <c r="U261" s="311">
        <f t="shared" ca="1" si="118"/>
        <v>0</v>
      </c>
      <c r="V261" s="306">
        <f t="shared" ca="1" si="119"/>
        <v>1.1811303467780303</v>
      </c>
      <c r="W261" s="304">
        <f t="shared" ca="1" si="120"/>
        <v>230.81175562605037</v>
      </c>
      <c r="Y261" s="314" t="str">
        <f t="shared" ref="Y261:Y324" ca="1" si="138">IF(AND(pos_z&lt;=0,K260&gt;0),"Impact balistique","") &amp; IF(AND(H262&lt;0,vit_z&gt;=0),"Apogée","") &amp; IF(AND(Poussee=0,Q260&gt;0),"Fin de propulsion","") &amp; IF(AND(L262&gt;L_rampe,pos_xz&lt;=L_rampe),"Sortie de rampe","")</f>
        <v/>
      </c>
      <c r="Z261" s="315" t="str">
        <f t="shared" ref="Z261:Z324" ca="1" si="139">IF(ABS(t-T_para)&lt;pas/2,"Para","")</f>
        <v/>
      </c>
      <c r="AA261" s="316" t="str">
        <f t="shared" ref="AA261:AA324" ca="1" si="140">IF(ABS(t-T_satellite)&lt;pas/2,"Satellite","")</f>
        <v/>
      </c>
      <c r="AC261" s="310" t="e">
        <f t="shared" ref="AC261:AC324" ca="1" si="141">IF(ABS(t-ROUND(t,0))&lt;0.001,t,NA())</f>
        <v>#N/A</v>
      </c>
      <c r="AD261" s="323" t="e">
        <f t="shared" ref="AD261:AD324" ca="1" si="142">IF(ABS(t-ROUND(t,0))&lt;0.001,pos_x,NA())</f>
        <v>#N/A</v>
      </c>
      <c r="AE261" s="324">
        <f t="shared" ca="1" si="121"/>
        <v>364.64901646508298</v>
      </c>
      <c r="AG261" s="306">
        <f t="shared" ref="AG261:AG324" ca="1" si="143">IF(AND(L260&lt;L_rampe,Poussee&lt;Poids*SIN(M260)),0,(-W260+Poussee)/m-Poids*SIN(M260)/m)</f>
        <v>73.148344181670083</v>
      </c>
      <c r="AH261" s="304">
        <f t="shared" ref="AH261:AH324" ca="1" si="144">IF(AND(L260&lt;L_rampe,Poussee&lt;Poids*SIN(M260)), g*SIN(M260), (-W260+Poussee)/m)</f>
        <v>82.90385432595717</v>
      </c>
    </row>
    <row r="262" spans="1:34" x14ac:dyDescent="0.2">
      <c r="A262" s="347">
        <f t="shared" ca="1" si="122"/>
        <v>0.01</v>
      </c>
      <c r="B262" s="304">
        <f t="shared" ca="1" si="123"/>
        <v>2.579999999999989</v>
      </c>
      <c r="D262" s="306">
        <f t="shared" ca="1" si="124"/>
        <v>8.6858607296912478</v>
      </c>
      <c r="E262" s="307">
        <f t="shared" ca="1" si="125"/>
        <v>72.225062305141392</v>
      </c>
      <c r="F262" s="304">
        <f t="shared" ca="1" si="126"/>
        <v>72.745472722342996</v>
      </c>
      <c r="G262" s="306">
        <f t="shared" ca="1" si="127"/>
        <v>28.289620524156678</v>
      </c>
      <c r="H262" s="307">
        <f t="shared" ca="1" si="128"/>
        <v>267.08794574845547</v>
      </c>
      <c r="I262" s="304">
        <f t="shared" ca="1" si="129"/>
        <v>268.58196773709636</v>
      </c>
      <c r="J262" s="306">
        <f t="shared" ca="1" si="130"/>
        <v>37.237122983257258</v>
      </c>
      <c r="K262" s="307">
        <f t="shared" ca="1" si="131"/>
        <v>367.31628466945227</v>
      </c>
      <c r="L262" s="304">
        <f t="shared" ca="1" si="116"/>
        <v>369.19893866510546</v>
      </c>
      <c r="M262" s="306">
        <f t="shared" ca="1" si="132"/>
        <v>1.4652710279458692</v>
      </c>
      <c r="N262" s="304">
        <f t="shared" ca="1" si="133"/>
        <v>83.953845744094011</v>
      </c>
      <c r="P262" s="310">
        <f t="shared" ca="1" si="134"/>
        <v>9</v>
      </c>
      <c r="Q262" s="304">
        <f t="shared" ca="1" si="135"/>
        <v>815.77500000000225</v>
      </c>
      <c r="R262" s="306">
        <f t="shared" ca="1" si="136"/>
        <v>0.4086480151194366</v>
      </c>
      <c r="S262" s="307">
        <f t="shared" ca="1" si="137"/>
        <v>7.0910128341493008</v>
      </c>
      <c r="T262" s="304">
        <f t="shared" ca="1" si="117"/>
        <v>69.56283590300464</v>
      </c>
      <c r="U262" s="311">
        <f t="shared" ca="1" si="118"/>
        <v>0</v>
      </c>
      <c r="V262" s="306">
        <f t="shared" ca="1" si="119"/>
        <v>1.1808152441459587</v>
      </c>
      <c r="W262" s="304">
        <f t="shared" ca="1" si="120"/>
        <v>232.00512410339996</v>
      </c>
      <c r="Y262" s="314" t="str">
        <f t="shared" ca="1" si="138"/>
        <v/>
      </c>
      <c r="Z262" s="315" t="str">
        <f t="shared" ca="1" si="139"/>
        <v/>
      </c>
      <c r="AA262" s="316" t="str">
        <f t="shared" ca="1" si="140"/>
        <v/>
      </c>
      <c r="AC262" s="310" t="e">
        <f t="shared" ca="1" si="141"/>
        <v>#N/A</v>
      </c>
      <c r="AD262" s="323" t="e">
        <f t="shared" ca="1" si="142"/>
        <v>#N/A</v>
      </c>
      <c r="AE262" s="324">
        <f t="shared" ca="1" si="121"/>
        <v>367.31628466945227</v>
      </c>
      <c r="AG262" s="306">
        <f t="shared" ca="1" si="143"/>
        <v>72.738139260293664</v>
      </c>
      <c r="AH262" s="304">
        <f t="shared" ca="1" si="144"/>
        <v>82.493609595071206</v>
      </c>
    </row>
    <row r="263" spans="1:34" x14ac:dyDescent="0.2">
      <c r="A263" s="347">
        <f t="shared" ca="1" si="122"/>
        <v>0.01</v>
      </c>
      <c r="B263" s="304">
        <f t="shared" ca="1" si="123"/>
        <v>2.5899999999999888</v>
      </c>
      <c r="D263" s="306">
        <f t="shared" ca="1" si="124"/>
        <v>8.645808748306667</v>
      </c>
      <c r="E263" s="307">
        <f t="shared" ca="1" si="125"/>
        <v>71.816803581455531</v>
      </c>
      <c r="F263" s="304">
        <f t="shared" ca="1" si="126"/>
        <v>72.33535294425306</v>
      </c>
      <c r="G263" s="306">
        <f t="shared" ca="1" si="127"/>
        <v>28.376078611639745</v>
      </c>
      <c r="H263" s="307">
        <f t="shared" ca="1" si="128"/>
        <v>267.80611378427</v>
      </c>
      <c r="I263" s="304">
        <f t="shared" ca="1" si="129"/>
        <v>269.30524766073034</v>
      </c>
      <c r="J263" s="306">
        <f t="shared" ca="1" si="130"/>
        <v>37.520451478936238</v>
      </c>
      <c r="K263" s="307">
        <f t="shared" ca="1" si="131"/>
        <v>369.99075496711589</v>
      </c>
      <c r="L263" s="304">
        <f t="shared" ca="1" si="116"/>
        <v>371.88834754576487</v>
      </c>
      <c r="M263" s="306">
        <f t="shared" ca="1" si="132"/>
        <v>1.4652326594775891</v>
      </c>
      <c r="N263" s="304">
        <f t="shared" ca="1" si="133"/>
        <v>83.951647392795181</v>
      </c>
      <c r="P263" s="310">
        <f t="shared" ca="1" si="134"/>
        <v>9</v>
      </c>
      <c r="Q263" s="304">
        <f t="shared" ca="1" si="135"/>
        <v>813.7250000000023</v>
      </c>
      <c r="R263" s="306">
        <f t="shared" ca="1" si="136"/>
        <v>0.40762110398463253</v>
      </c>
      <c r="S263" s="307">
        <f t="shared" ca="1" si="137"/>
        <v>7.0869366231094544</v>
      </c>
      <c r="T263" s="304">
        <f t="shared" ca="1" si="117"/>
        <v>69.522848272703754</v>
      </c>
      <c r="U263" s="311">
        <f t="shared" ca="1" si="118"/>
        <v>0</v>
      </c>
      <c r="V263" s="306">
        <f t="shared" ca="1" si="119"/>
        <v>1.1804993735356317</v>
      </c>
      <c r="W263" s="304">
        <f t="shared" ca="1" si="120"/>
        <v>233.1939700807888</v>
      </c>
      <c r="Y263" s="314" t="str">
        <f t="shared" ca="1" si="138"/>
        <v/>
      </c>
      <c r="Z263" s="315" t="str">
        <f t="shared" ca="1" si="139"/>
        <v/>
      </c>
      <c r="AA263" s="316" t="str">
        <f t="shared" ca="1" si="140"/>
        <v/>
      </c>
      <c r="AC263" s="310" t="e">
        <f t="shared" ca="1" si="141"/>
        <v>#N/A</v>
      </c>
      <c r="AD263" s="323" t="e">
        <f t="shared" ca="1" si="142"/>
        <v>#N/A</v>
      </c>
      <c r="AE263" s="324">
        <f t="shared" ca="1" si="121"/>
        <v>369.99075496711589</v>
      </c>
      <c r="AG263" s="306">
        <f t="shared" ca="1" si="143"/>
        <v>72.327972540660639</v>
      </c>
      <c r="AH263" s="304">
        <f t="shared" ca="1" si="144"/>
        <v>82.083403144836893</v>
      </c>
    </row>
    <row r="264" spans="1:34" x14ac:dyDescent="0.2">
      <c r="A264" s="347">
        <f t="shared" ca="1" si="122"/>
        <v>0.01</v>
      </c>
      <c r="B264" s="304">
        <f t="shared" ca="1" si="123"/>
        <v>2.5999999999999885</v>
      </c>
      <c r="D264" s="306">
        <f t="shared" ca="1" si="124"/>
        <v>8.6057231732025912</v>
      </c>
      <c r="E264" s="307">
        <f t="shared" ca="1" si="125"/>
        <v>71.40859651083926</v>
      </c>
      <c r="F264" s="304">
        <f t="shared" ca="1" si="126"/>
        <v>71.925281556498902</v>
      </c>
      <c r="G264" s="306">
        <f t="shared" ca="1" si="127"/>
        <v>28.462135843371772</v>
      </c>
      <c r="H264" s="307">
        <f t="shared" ca="1" si="128"/>
        <v>268.52019974937838</v>
      </c>
      <c r="I264" s="304">
        <f t="shared" ca="1" si="129"/>
        <v>270.02442639548855</v>
      </c>
      <c r="J264" s="306">
        <f t="shared" ca="1" si="130"/>
        <v>37.804642551211295</v>
      </c>
      <c r="K264" s="307">
        <f t="shared" ca="1" si="131"/>
        <v>372.67238653478415</v>
      </c>
      <c r="L264" s="304">
        <f t="shared" ca="1" si="116"/>
        <v>374.58496857716602</v>
      </c>
      <c r="M264" s="306">
        <f t="shared" ca="1" si="132"/>
        <v>1.4651943793375577</v>
      </c>
      <c r="N264" s="304">
        <f t="shared" ca="1" si="133"/>
        <v>83.949454102332211</v>
      </c>
      <c r="P264" s="310">
        <f t="shared" ca="1" si="134"/>
        <v>9</v>
      </c>
      <c r="Q264" s="304">
        <f t="shared" ca="1" si="135"/>
        <v>811.67500000000234</v>
      </c>
      <c r="R264" s="306">
        <f t="shared" ca="1" si="136"/>
        <v>0.4065941928498284</v>
      </c>
      <c r="S264" s="307">
        <f t="shared" ca="1" si="137"/>
        <v>7.0828706811809559</v>
      </c>
      <c r="T264" s="304">
        <f t="shared" ca="1" si="117"/>
        <v>69.482961382385184</v>
      </c>
      <c r="U264" s="311">
        <f t="shared" ca="1" si="118"/>
        <v>0</v>
      </c>
      <c r="V264" s="306">
        <f t="shared" ca="1" si="119"/>
        <v>1.1801827404040672</v>
      </c>
      <c r="W264" s="304">
        <f t="shared" ca="1" si="120"/>
        <v>234.3782387849692</v>
      </c>
      <c r="Y264" s="314" t="str">
        <f t="shared" ca="1" si="138"/>
        <v/>
      </c>
      <c r="Z264" s="315" t="str">
        <f t="shared" ca="1" si="139"/>
        <v/>
      </c>
      <c r="AA264" s="316" t="str">
        <f t="shared" ca="1" si="140"/>
        <v/>
      </c>
      <c r="AC264" s="310" t="e">
        <f t="shared" ca="1" si="141"/>
        <v>#N/A</v>
      </c>
      <c r="AD264" s="323" t="e">
        <f t="shared" ca="1" si="142"/>
        <v>#N/A</v>
      </c>
      <c r="AE264" s="324">
        <f t="shared" ca="1" si="121"/>
        <v>372.67238653478415</v>
      </c>
      <c r="AG264" s="306">
        <f t="shared" ca="1" si="143"/>
        <v>71.917853691544821</v>
      </c>
      <c r="AH264" s="304">
        <f t="shared" ca="1" si="144"/>
        <v>81.673244643054971</v>
      </c>
    </row>
    <row r="265" spans="1:34" x14ac:dyDescent="0.2">
      <c r="A265" s="347">
        <f t="shared" ca="1" si="122"/>
        <v>0.01</v>
      </c>
      <c r="B265" s="304">
        <f t="shared" ca="1" si="123"/>
        <v>2.6099999999999883</v>
      </c>
      <c r="D265" s="306">
        <f t="shared" ca="1" si="124"/>
        <v>8.5656052149856396</v>
      </c>
      <c r="E265" s="307">
        <f t="shared" ca="1" si="125"/>
        <v>71.000450626736438</v>
      </c>
      <c r="F265" s="304">
        <f t="shared" ca="1" si="126"/>
        <v>71.515268173297287</v>
      </c>
      <c r="G265" s="306">
        <f t="shared" ca="1" si="127"/>
        <v>28.54779189552163</v>
      </c>
      <c r="H265" s="307">
        <f t="shared" ca="1" si="128"/>
        <v>269.23020425564573</v>
      </c>
      <c r="I265" s="304">
        <f t="shared" ca="1" si="129"/>
        <v>270.7395045161432</v>
      </c>
      <c r="J265" s="306">
        <f t="shared" ca="1" si="130"/>
        <v>38.089692189905762</v>
      </c>
      <c r="K265" s="307">
        <f t="shared" ca="1" si="131"/>
        <v>375.36113855480926</v>
      </c>
      <c r="L265" s="304">
        <f t="shared" ca="1" si="116"/>
        <v>377.28876075001824</v>
      </c>
      <c r="M265" s="306">
        <f t="shared" ca="1" si="132"/>
        <v>1.4651561865099447</v>
      </c>
      <c r="N265" s="304">
        <f t="shared" ca="1" si="133"/>
        <v>83.947265814502316</v>
      </c>
      <c r="P265" s="310">
        <f t="shared" ca="1" si="134"/>
        <v>9</v>
      </c>
      <c r="Q265" s="304">
        <f t="shared" ca="1" si="135"/>
        <v>809.62500000000239</v>
      </c>
      <c r="R265" s="306">
        <f t="shared" ca="1" si="136"/>
        <v>0.40556728171502426</v>
      </c>
      <c r="S265" s="307">
        <f t="shared" ca="1" si="137"/>
        <v>7.0788150083638053</v>
      </c>
      <c r="T265" s="304">
        <f t="shared" ca="1" si="117"/>
        <v>69.44317523204893</v>
      </c>
      <c r="U265" s="311">
        <f t="shared" ca="1" si="118"/>
        <v>0</v>
      </c>
      <c r="V265" s="306">
        <f t="shared" ca="1" si="119"/>
        <v>1.1798653502038241</v>
      </c>
      <c r="W265" s="304">
        <f t="shared" ca="1" si="120"/>
        <v>235.55787604024755</v>
      </c>
      <c r="Y265" s="314" t="str">
        <f t="shared" ca="1" si="138"/>
        <v/>
      </c>
      <c r="Z265" s="315" t="str">
        <f t="shared" ca="1" si="139"/>
        <v/>
      </c>
      <c r="AA265" s="316" t="str">
        <f t="shared" ca="1" si="140"/>
        <v/>
      </c>
      <c r="AC265" s="310" t="e">
        <f t="shared" ca="1" si="141"/>
        <v>#N/A</v>
      </c>
      <c r="AD265" s="323" t="e">
        <f t="shared" ca="1" si="142"/>
        <v>#N/A</v>
      </c>
      <c r="AE265" s="324">
        <f t="shared" ca="1" si="121"/>
        <v>375.36113855480926</v>
      </c>
      <c r="AG265" s="306">
        <f t="shared" ca="1" si="143"/>
        <v>71.507792319189107</v>
      </c>
      <c r="AH265" s="304">
        <f t="shared" ca="1" si="144"/>
        <v>81.263143695006022</v>
      </c>
    </row>
    <row r="266" spans="1:34" x14ac:dyDescent="0.2">
      <c r="A266" s="347">
        <f t="shared" ca="1" si="122"/>
        <v>0.01</v>
      </c>
      <c r="B266" s="304">
        <f t="shared" ca="1" si="123"/>
        <v>2.6199999999999881</v>
      </c>
      <c r="D266" s="306">
        <f t="shared" ca="1" si="124"/>
        <v>8.5254560764249252</v>
      </c>
      <c r="E266" s="307">
        <f t="shared" ca="1" si="125"/>
        <v>70.592375400126429</v>
      </c>
      <c r="F266" s="304">
        <f t="shared" ca="1" si="126"/>
        <v>71.105322346104487</v>
      </c>
      <c r="G266" s="306">
        <f t="shared" ca="1" si="127"/>
        <v>28.633046456285879</v>
      </c>
      <c r="H266" s="307">
        <f t="shared" ca="1" si="128"/>
        <v>269.93612800964701</v>
      </c>
      <c r="I266" s="304">
        <f t="shared" ca="1" si="129"/>
        <v>271.45048269289993</v>
      </c>
      <c r="J266" s="306">
        <f t="shared" ca="1" si="130"/>
        <v>38.375596381664799</v>
      </c>
      <c r="K266" s="307">
        <f t="shared" ca="1" si="131"/>
        <v>378.05697021613571</v>
      </c>
      <c r="L266" s="304">
        <f t="shared" ca="1" si="116"/>
        <v>379.99968306125277</v>
      </c>
      <c r="M266" s="306">
        <f t="shared" ca="1" si="132"/>
        <v>1.4651180799906329</v>
      </c>
      <c r="N266" s="304">
        <f t="shared" ca="1" si="133"/>
        <v>83.945082471773816</v>
      </c>
      <c r="P266" s="310">
        <f t="shared" ca="1" si="134"/>
        <v>9</v>
      </c>
      <c r="Q266" s="304">
        <f t="shared" ca="1" si="135"/>
        <v>807.57500000000243</v>
      </c>
      <c r="R266" s="306">
        <f t="shared" ca="1" si="136"/>
        <v>0.40454037058022019</v>
      </c>
      <c r="S266" s="307">
        <f t="shared" ca="1" si="137"/>
        <v>7.0747696046580026</v>
      </c>
      <c r="T266" s="304">
        <f t="shared" ca="1" si="117"/>
        <v>69.403489821695004</v>
      </c>
      <c r="U266" s="311">
        <f t="shared" ca="1" si="118"/>
        <v>0</v>
      </c>
      <c r="V266" s="306">
        <f t="shared" ca="1" si="119"/>
        <v>1.1795472083828553</v>
      </c>
      <c r="W266" s="304">
        <f t="shared" ca="1" si="120"/>
        <v>236.73282826891676</v>
      </c>
      <c r="Y266" s="314" t="str">
        <f t="shared" ca="1" si="138"/>
        <v/>
      </c>
      <c r="Z266" s="315" t="str">
        <f t="shared" ca="1" si="139"/>
        <v/>
      </c>
      <c r="AA266" s="316" t="str">
        <f t="shared" ca="1" si="140"/>
        <v/>
      </c>
      <c r="AC266" s="310" t="e">
        <f t="shared" ca="1" si="141"/>
        <v>#N/A</v>
      </c>
      <c r="AD266" s="323" t="e">
        <f t="shared" ca="1" si="142"/>
        <v>#N/A</v>
      </c>
      <c r="AE266" s="324">
        <f t="shared" ca="1" si="121"/>
        <v>378.05697021613571</v>
      </c>
      <c r="AG266" s="306">
        <f t="shared" ca="1" si="143"/>
        <v>71.09779796691511</v>
      </c>
      <c r="AH266" s="304">
        <f t="shared" ca="1" si="144"/>
        <v>80.853109843059883</v>
      </c>
    </row>
    <row r="267" spans="1:34" x14ac:dyDescent="0.2">
      <c r="A267" s="347">
        <f t="shared" ca="1" si="122"/>
        <v>0.01</v>
      </c>
      <c r="B267" s="304">
        <f t="shared" ca="1" si="123"/>
        <v>2.6299999999999879</v>
      </c>
      <c r="D267" s="306">
        <f t="shared" ca="1" si="124"/>
        <v>8.4852769524328124</v>
      </c>
      <c r="E267" s="307">
        <f t="shared" ca="1" si="125"/>
        <v>70.184380239144218</v>
      </c>
      <c r="F267" s="304">
        <f t="shared" ca="1" si="126"/>
        <v>70.695453563240292</v>
      </c>
      <c r="G267" s="306">
        <f t="shared" ca="1" si="127"/>
        <v>28.717899225810207</v>
      </c>
      <c r="H267" s="307">
        <f t="shared" ca="1" si="128"/>
        <v>270.63797181203847</v>
      </c>
      <c r="I267" s="304">
        <f t="shared" ca="1" si="129"/>
        <v>272.15736169076433</v>
      </c>
      <c r="J267" s="306">
        <f t="shared" ca="1" si="130"/>
        <v>38.662351110075278</v>
      </c>
      <c r="K267" s="307">
        <f t="shared" ca="1" si="131"/>
        <v>380.75984071524414</v>
      </c>
      <c r="L267" s="304">
        <f t="shared" ca="1" si="116"/>
        <v>382.7176945149738</v>
      </c>
      <c r="M267" s="306">
        <f t="shared" ca="1" si="132"/>
        <v>1.4650800587870212</v>
      </c>
      <c r="N267" s="304">
        <f t="shared" ca="1" si="133"/>
        <v>83.942904017274856</v>
      </c>
      <c r="P267" s="310">
        <f t="shared" ca="1" si="134"/>
        <v>9</v>
      </c>
      <c r="Q267" s="304">
        <f t="shared" ca="1" si="135"/>
        <v>805.52500000000248</v>
      </c>
      <c r="R267" s="306">
        <f t="shared" ca="1" si="136"/>
        <v>0.40351345944541606</v>
      </c>
      <c r="S267" s="307">
        <f t="shared" ca="1" si="137"/>
        <v>7.0707344700635488</v>
      </c>
      <c r="T267" s="304">
        <f t="shared" ca="1" si="117"/>
        <v>69.363905151323422</v>
      </c>
      <c r="U267" s="311">
        <f t="shared" ca="1" si="118"/>
        <v>0</v>
      </c>
      <c r="V267" s="306">
        <f t="shared" ca="1" si="119"/>
        <v>1.1792283203843688</v>
      </c>
      <c r="W267" s="304">
        <f t="shared" ca="1" si="120"/>
        <v>237.90304249161377</v>
      </c>
      <c r="Y267" s="314" t="str">
        <f t="shared" ca="1" si="138"/>
        <v/>
      </c>
      <c r="Z267" s="315" t="str">
        <f t="shared" ca="1" si="139"/>
        <v/>
      </c>
      <c r="AA267" s="316" t="str">
        <f t="shared" ca="1" si="140"/>
        <v/>
      </c>
      <c r="AC267" s="310" t="e">
        <f t="shared" ca="1" si="141"/>
        <v>#N/A</v>
      </c>
      <c r="AD267" s="323" t="e">
        <f t="shared" ca="1" si="142"/>
        <v>#N/A</v>
      </c>
      <c r="AE267" s="324">
        <f t="shared" ca="1" si="121"/>
        <v>380.75984071524414</v>
      </c>
      <c r="AG267" s="306">
        <f t="shared" ca="1" si="143"/>
        <v>70.687880114743024</v>
      </c>
      <c r="AH267" s="304">
        <f t="shared" ca="1" si="144"/>
        <v>80.443152566295382</v>
      </c>
    </row>
    <row r="268" spans="1:34" x14ac:dyDescent="0.2">
      <c r="A268" s="347">
        <f t="shared" ca="1" si="122"/>
        <v>0.01</v>
      </c>
      <c r="B268" s="304">
        <f t="shared" ca="1" si="123"/>
        <v>2.6399999999999877</v>
      </c>
      <c r="D268" s="306">
        <f t="shared" ca="1" si="124"/>
        <v>8.4450690300460636</v>
      </c>
      <c r="E268" s="307">
        <f t="shared" ca="1" si="125"/>
        <v>69.776474488711315</v>
      </c>
      <c r="F268" s="304">
        <f t="shared" ca="1" si="126"/>
        <v>70.285671249523006</v>
      </c>
      <c r="G268" s="306">
        <f t="shared" ca="1" si="127"/>
        <v>28.802349916110668</v>
      </c>
      <c r="H268" s="307">
        <f t="shared" ca="1" si="128"/>
        <v>271.33573655692561</v>
      </c>
      <c r="I268" s="304">
        <f t="shared" ca="1" si="129"/>
        <v>272.8601423689056</v>
      </c>
      <c r="J268" s="306">
        <f t="shared" ca="1" si="130"/>
        <v>38.94995235578488</v>
      </c>
      <c r="K268" s="307">
        <f t="shared" ca="1" si="131"/>
        <v>383.46970925708894</v>
      </c>
      <c r="L268" s="304">
        <f t="shared" ca="1" si="116"/>
        <v>385.44275412340318</v>
      </c>
      <c r="M268" s="306">
        <f t="shared" ca="1" si="132"/>
        <v>1.4650421219178327</v>
      </c>
      <c r="N268" s="304">
        <f t="shared" ca="1" si="133"/>
        <v>83.940730394782406</v>
      </c>
      <c r="P268" s="310">
        <f t="shared" ca="1" si="134"/>
        <v>9</v>
      </c>
      <c r="Q268" s="304">
        <f t="shared" ca="1" si="135"/>
        <v>803.47500000000252</v>
      </c>
      <c r="R268" s="306">
        <f t="shared" ca="1" si="136"/>
        <v>0.40248654831061198</v>
      </c>
      <c r="S268" s="307">
        <f t="shared" ca="1" si="137"/>
        <v>7.0667096045804429</v>
      </c>
      <c r="T268" s="304">
        <f t="shared" ca="1" si="117"/>
        <v>69.324421220934155</v>
      </c>
      <c r="U268" s="311">
        <f t="shared" ca="1" si="118"/>
        <v>0</v>
      </c>
      <c r="V268" s="306">
        <f t="shared" ca="1" si="119"/>
        <v>1.1789086916466829</v>
      </c>
      <c r="W268" s="304">
        <f t="shared" ca="1" si="120"/>
        <v>239.06846632760508</v>
      </c>
      <c r="Y268" s="314" t="str">
        <f t="shared" ca="1" si="138"/>
        <v/>
      </c>
      <c r="Z268" s="315" t="str">
        <f t="shared" ca="1" si="139"/>
        <v/>
      </c>
      <c r="AA268" s="316" t="str">
        <f t="shared" ca="1" si="140"/>
        <v/>
      </c>
      <c r="AC268" s="310" t="e">
        <f t="shared" ca="1" si="141"/>
        <v>#N/A</v>
      </c>
      <c r="AD268" s="323" t="e">
        <f t="shared" ca="1" si="142"/>
        <v>#N/A</v>
      </c>
      <c r="AE268" s="324">
        <f t="shared" ca="1" si="121"/>
        <v>383.46970925708894</v>
      </c>
      <c r="AG268" s="306">
        <f t="shared" ca="1" si="143"/>
        <v>70.278048179022349</v>
      </c>
      <c r="AH268" s="304">
        <f t="shared" ca="1" si="144"/>
        <v>80.033281280130836</v>
      </c>
    </row>
    <row r="269" spans="1:34" x14ac:dyDescent="0.2">
      <c r="A269" s="347">
        <f t="shared" ca="1" si="122"/>
        <v>0.01</v>
      </c>
      <c r="B269" s="304">
        <f t="shared" ca="1" si="123"/>
        <v>2.6499999999999875</v>
      </c>
      <c r="D269" s="306">
        <f t="shared" ca="1" si="124"/>
        <v>8.4048334884073341</v>
      </c>
      <c r="E269" s="307">
        <f t="shared" ca="1" si="125"/>
        <v>69.368667430177126</v>
      </c>
      <c r="F269" s="304">
        <f t="shared" ca="1" si="126"/>
        <v>69.875984765914893</v>
      </c>
      <c r="G269" s="306">
        <f t="shared" ca="1" si="127"/>
        <v>28.886398250994741</v>
      </c>
      <c r="H269" s="307">
        <f t="shared" ca="1" si="128"/>
        <v>272.02942323122738</v>
      </c>
      <c r="I269" s="304">
        <f t="shared" ca="1" si="129"/>
        <v>273.55882568001584</v>
      </c>
      <c r="J269" s="306">
        <f t="shared" ca="1" si="130"/>
        <v>39.238396096620406</v>
      </c>
      <c r="K269" s="307">
        <f t="shared" ca="1" si="131"/>
        <v>386.1865350560297</v>
      </c>
      <c r="L269" s="304">
        <f t="shared" ca="1" si="116"/>
        <v>388.17482090781897</v>
      </c>
      <c r="M269" s="306">
        <f t="shared" ca="1" si="132"/>
        <v>1.4650042684129254</v>
      </c>
      <c r="N269" s="304">
        <f t="shared" ca="1" si="133"/>
        <v>83.938561548711448</v>
      </c>
      <c r="P269" s="310">
        <f t="shared" ca="1" si="134"/>
        <v>9</v>
      </c>
      <c r="Q269" s="304">
        <f t="shared" ca="1" si="135"/>
        <v>801.42500000000257</v>
      </c>
      <c r="R269" s="306">
        <f t="shared" ca="1" si="136"/>
        <v>0.40145963717580785</v>
      </c>
      <c r="S269" s="307">
        <f t="shared" ca="1" si="137"/>
        <v>7.062695008208685</v>
      </c>
      <c r="T269" s="304">
        <f t="shared" ca="1" si="117"/>
        <v>69.285038030527204</v>
      </c>
      <c r="U269" s="311">
        <f t="shared" ca="1" si="118"/>
        <v>0</v>
      </c>
      <c r="V269" s="306">
        <f t="shared" ca="1" si="119"/>
        <v>1.1785883276030924</v>
      </c>
      <c r="W269" s="304">
        <f t="shared" ca="1" si="120"/>
        <v>240.22904799499958</v>
      </c>
      <c r="Y269" s="314" t="str">
        <f t="shared" ca="1" si="138"/>
        <v/>
      </c>
      <c r="Z269" s="315" t="str">
        <f t="shared" ca="1" si="139"/>
        <v/>
      </c>
      <c r="AA269" s="316" t="str">
        <f t="shared" ca="1" si="140"/>
        <v/>
      </c>
      <c r="AC269" s="310" t="e">
        <f t="shared" ca="1" si="141"/>
        <v>#N/A</v>
      </c>
      <c r="AD269" s="323" t="e">
        <f t="shared" ca="1" si="142"/>
        <v>#N/A</v>
      </c>
      <c r="AE269" s="324">
        <f t="shared" ca="1" si="121"/>
        <v>386.1865350560297</v>
      </c>
      <c r="AG269" s="306">
        <f t="shared" ca="1" si="143"/>
        <v>69.868311512072992</v>
      </c>
      <c r="AH269" s="304">
        <f t="shared" ca="1" si="144"/>
        <v>79.623505335964992</v>
      </c>
    </row>
    <row r="270" spans="1:34" x14ac:dyDescent="0.2">
      <c r="A270" s="347">
        <f t="shared" ca="1" si="122"/>
        <v>0.01</v>
      </c>
      <c r="B270" s="304">
        <f t="shared" ca="1" si="123"/>
        <v>2.6599999999999873</v>
      </c>
      <c r="D270" s="306">
        <f t="shared" ca="1" si="124"/>
        <v>8.3645714987472832</v>
      </c>
      <c r="E270" s="307">
        <f t="shared" ca="1" si="125"/>
        <v>68.960968280970448</v>
      </c>
      <c r="F270" s="304">
        <f t="shared" ca="1" si="126"/>
        <v>69.466403409178085</v>
      </c>
      <c r="G270" s="306">
        <f t="shared" ca="1" si="127"/>
        <v>28.970043965982214</v>
      </c>
      <c r="H270" s="307">
        <f t="shared" ca="1" si="128"/>
        <v>272.71903291403709</v>
      </c>
      <c r="I270" s="304">
        <f t="shared" ca="1" si="129"/>
        <v>274.25341266966689</v>
      </c>
      <c r="J270" s="306">
        <f t="shared" ca="1" si="130"/>
        <v>39.527678307705294</v>
      </c>
      <c r="K270" s="307">
        <f t="shared" ca="1" si="131"/>
        <v>388.910277336756</v>
      </c>
      <c r="L270" s="304">
        <f t="shared" ca="1" si="116"/>
        <v>390.91385389948755</v>
      </c>
      <c r="M270" s="306">
        <f t="shared" ca="1" si="132"/>
        <v>1.4649664973131062</v>
      </c>
      <c r="N270" s="304">
        <f t="shared" ca="1" si="133"/>
        <v>83.936397424104243</v>
      </c>
      <c r="P270" s="310">
        <f t="shared" ca="1" si="134"/>
        <v>9</v>
      </c>
      <c r="Q270" s="304">
        <f t="shared" ca="1" si="135"/>
        <v>799.37500000000261</v>
      </c>
      <c r="R270" s="306">
        <f t="shared" ca="1" si="136"/>
        <v>0.40043272604100372</v>
      </c>
      <c r="S270" s="307">
        <f t="shared" ca="1" si="137"/>
        <v>7.058690680948275</v>
      </c>
      <c r="T270" s="304">
        <f t="shared" ca="1" si="117"/>
        <v>69.245755580102582</v>
      </c>
      <c r="U270" s="311">
        <f t="shared" ca="1" si="118"/>
        <v>0</v>
      </c>
      <c r="V270" s="306">
        <f t="shared" ca="1" si="119"/>
        <v>1.178267233681725</v>
      </c>
      <c r="W270" s="304">
        <f t="shared" ca="1" si="120"/>
        <v>241.38473631088991</v>
      </c>
      <c r="Y270" s="314" t="str">
        <f t="shared" ca="1" si="138"/>
        <v/>
      </c>
      <c r="Z270" s="315" t="str">
        <f t="shared" ca="1" si="139"/>
        <v/>
      </c>
      <c r="AA270" s="316" t="str">
        <f t="shared" ca="1" si="140"/>
        <v/>
      </c>
      <c r="AC270" s="310" t="e">
        <f t="shared" ca="1" si="141"/>
        <v>#N/A</v>
      </c>
      <c r="AD270" s="323" t="e">
        <f t="shared" ca="1" si="142"/>
        <v>#N/A</v>
      </c>
      <c r="AE270" s="324">
        <f t="shared" ca="1" si="121"/>
        <v>388.910277336756</v>
      </c>
      <c r="AG270" s="306">
        <f t="shared" ca="1" si="143"/>
        <v>69.458679401836477</v>
      </c>
      <c r="AH270" s="304">
        <f t="shared" ca="1" si="144"/>
        <v>79.213834020828131</v>
      </c>
    </row>
    <row r="271" spans="1:34" x14ac:dyDescent="0.2">
      <c r="A271" s="347">
        <f t="shared" ca="1" si="122"/>
        <v>0.01</v>
      </c>
      <c r="B271" s="304">
        <f t="shared" ca="1" si="123"/>
        <v>2.6699999999999871</v>
      </c>
      <c r="D271" s="306">
        <f t="shared" ca="1" si="124"/>
        <v>8.324284224367231</v>
      </c>
      <c r="E271" s="307">
        <f t="shared" ca="1" si="125"/>
        <v>68.553386194261719</v>
      </c>
      <c r="F271" s="304">
        <f t="shared" ca="1" si="126"/>
        <v>69.056936411541187</v>
      </c>
      <c r="G271" s="306">
        <f t="shared" ca="1" si="127"/>
        <v>29.053286808225884</v>
      </c>
      <c r="H271" s="307">
        <f t="shared" ca="1" si="128"/>
        <v>273.40456677597973</v>
      </c>
      <c r="I271" s="304">
        <f t="shared" ca="1" si="129"/>
        <v>274.94390447566241</v>
      </c>
      <c r="J271" s="306">
        <f t="shared" ca="1" si="130"/>
        <v>39.817794961576332</v>
      </c>
      <c r="K271" s="307">
        <f t="shared" ca="1" si="131"/>
        <v>391.6408953352061</v>
      </c>
      <c r="L271" s="304">
        <f t="shared" ca="1" si="116"/>
        <v>393.65981214058922</v>
      </c>
      <c r="M271" s="306">
        <f t="shared" ca="1" si="132"/>
        <v>1.4649288076699507</v>
      </c>
      <c r="N271" s="304">
        <f t="shared" ca="1" si="133"/>
        <v>83.934237966620074</v>
      </c>
      <c r="P271" s="310">
        <f t="shared" ca="1" si="134"/>
        <v>9</v>
      </c>
      <c r="Q271" s="304">
        <f t="shared" ca="1" si="135"/>
        <v>797.32500000000266</v>
      </c>
      <c r="R271" s="306">
        <f t="shared" ca="1" si="136"/>
        <v>0.39940581490619964</v>
      </c>
      <c r="S271" s="307">
        <f t="shared" ca="1" si="137"/>
        <v>7.0546966227992129</v>
      </c>
      <c r="T271" s="304">
        <f t="shared" ca="1" si="117"/>
        <v>69.206573869660289</v>
      </c>
      <c r="U271" s="311">
        <f t="shared" ca="1" si="118"/>
        <v>0</v>
      </c>
      <c r="V271" s="306">
        <f t="shared" ca="1" si="119"/>
        <v>1.1779454153054081</v>
      </c>
      <c r="W271" s="304">
        <f t="shared" ca="1" si="120"/>
        <v>242.53548069142161</v>
      </c>
      <c r="Y271" s="314" t="str">
        <f t="shared" ca="1" si="138"/>
        <v/>
      </c>
      <c r="Z271" s="315" t="str">
        <f t="shared" ca="1" si="139"/>
        <v/>
      </c>
      <c r="AA271" s="316" t="str">
        <f t="shared" ca="1" si="140"/>
        <v/>
      </c>
      <c r="AC271" s="310" t="e">
        <f t="shared" ca="1" si="141"/>
        <v>#N/A</v>
      </c>
      <c r="AD271" s="323" t="e">
        <f t="shared" ca="1" si="142"/>
        <v>#N/A</v>
      </c>
      <c r="AE271" s="324">
        <f t="shared" ca="1" si="121"/>
        <v>391.6408953352061</v>
      </c>
      <c r="AG271" s="306">
        <f t="shared" ca="1" si="143"/>
        <v>69.049161071538009</v>
      </c>
      <c r="AH271" s="304">
        <f t="shared" ca="1" si="144"/>
        <v>78.804276557043892</v>
      </c>
    </row>
    <row r="272" spans="1:34" x14ac:dyDescent="0.2">
      <c r="A272" s="347">
        <f t="shared" ca="1" si="122"/>
        <v>0.01</v>
      </c>
      <c r="B272" s="304">
        <f t="shared" ca="1" si="123"/>
        <v>2.6799999999999868</v>
      </c>
      <c r="D272" s="306">
        <f t="shared" ca="1" si="124"/>
        <v>8.2839728206221466</v>
      </c>
      <c r="E272" s="307">
        <f t="shared" ca="1" si="125"/>
        <v>68.145930258635332</v>
      </c>
      <c r="F272" s="304">
        <f t="shared" ca="1" si="126"/>
        <v>68.647592940376271</v>
      </c>
      <c r="G272" s="306">
        <f t="shared" ca="1" si="127"/>
        <v>29.136126536432105</v>
      </c>
      <c r="H272" s="307">
        <f t="shared" ca="1" si="128"/>
        <v>274.08602607856608</v>
      </c>
      <c r="I272" s="304">
        <f t="shared" ca="1" si="129"/>
        <v>275.63030232738816</v>
      </c>
      <c r="J272" s="306">
        <f t="shared" ca="1" si="130"/>
        <v>40.108742028299623</v>
      </c>
      <c r="K272" s="307">
        <f t="shared" ca="1" si="131"/>
        <v>394.37834829947883</v>
      </c>
      <c r="L272" s="304">
        <f t="shared" ca="1" si="116"/>
        <v>396.41265468513706</v>
      </c>
      <c r="M272" s="306">
        <f t="shared" ca="1" si="132"/>
        <v>1.4648911985456246</v>
      </c>
      <c r="N272" s="304">
        <f t="shared" ca="1" si="133"/>
        <v>83.932083122525</v>
      </c>
      <c r="P272" s="310">
        <f t="shared" ca="1" si="134"/>
        <v>9</v>
      </c>
      <c r="Q272" s="304">
        <f t="shared" ca="1" si="135"/>
        <v>795.27500000000271</v>
      </c>
      <c r="R272" s="306">
        <f t="shared" ca="1" si="136"/>
        <v>0.39837890377139551</v>
      </c>
      <c r="S272" s="307">
        <f t="shared" ca="1" si="137"/>
        <v>7.0507128337614988</v>
      </c>
      <c r="T272" s="304">
        <f t="shared" ca="1" si="117"/>
        <v>69.167492899200312</v>
      </c>
      <c r="U272" s="311">
        <f t="shared" ca="1" si="118"/>
        <v>0</v>
      </c>
      <c r="V272" s="306">
        <f t="shared" ca="1" si="119"/>
        <v>1.1776228778915299</v>
      </c>
      <c r="W272" s="304">
        <f t="shared" ca="1" si="120"/>
        <v>243.68123115179367</v>
      </c>
      <c r="Y272" s="314" t="str">
        <f t="shared" ca="1" si="138"/>
        <v/>
      </c>
      <c r="Z272" s="315" t="str">
        <f t="shared" ca="1" si="139"/>
        <v/>
      </c>
      <c r="AA272" s="316" t="str">
        <f t="shared" ca="1" si="140"/>
        <v/>
      </c>
      <c r="AC272" s="310" t="e">
        <f t="shared" ca="1" si="141"/>
        <v>#N/A</v>
      </c>
      <c r="AD272" s="323" t="e">
        <f t="shared" ca="1" si="142"/>
        <v>#N/A</v>
      </c>
      <c r="AE272" s="324">
        <f t="shared" ca="1" si="121"/>
        <v>394.37834829947883</v>
      </c>
      <c r="AG272" s="306">
        <f t="shared" ca="1" si="143"/>
        <v>68.639765679358533</v>
      </c>
      <c r="AH272" s="304">
        <f t="shared" ca="1" si="144"/>
        <v>78.394842101901205</v>
      </c>
    </row>
    <row r="273" spans="1:34" x14ac:dyDescent="0.2">
      <c r="A273" s="347">
        <f t="shared" ca="1" si="122"/>
        <v>0.01</v>
      </c>
      <c r="B273" s="304">
        <f t="shared" ca="1" si="123"/>
        <v>2.6899999999999866</v>
      </c>
      <c r="D273" s="306">
        <f t="shared" ca="1" si="124"/>
        <v>8.2436384349043195</v>
      </c>
      <c r="E273" s="307">
        <f t="shared" ca="1" si="125"/>
        <v>67.738609497772316</v>
      </c>
      <c r="F273" s="304">
        <f t="shared" ca="1" si="126"/>
        <v>68.238382097886245</v>
      </c>
      <c r="G273" s="306">
        <f t="shared" ca="1" si="127"/>
        <v>29.218562920781149</v>
      </c>
      <c r="H273" s="307">
        <f t="shared" ca="1" si="128"/>
        <v>274.76341217354383</v>
      </c>
      <c r="I273" s="304">
        <f t="shared" ca="1" si="129"/>
        <v>276.31260754515779</v>
      </c>
      <c r="J273" s="306">
        <f t="shared" ca="1" si="130"/>
        <v>40.400515475585692</v>
      </c>
      <c r="K273" s="307">
        <f t="shared" ca="1" si="131"/>
        <v>397.1225954907394</v>
      </c>
      <c r="L273" s="304">
        <f t="shared" ca="1" si="116"/>
        <v>399.17234059988988</v>
      </c>
      <c r="M273" s="306">
        <f t="shared" ca="1" si="132"/>
        <v>1.4648536690127092</v>
      </c>
      <c r="N273" s="304">
        <f t="shared" ca="1" si="133"/>
        <v>83.92993283868185</v>
      </c>
      <c r="P273" s="310">
        <f t="shared" ca="1" si="134"/>
        <v>9</v>
      </c>
      <c r="Q273" s="304">
        <f t="shared" ca="1" si="135"/>
        <v>793.22500000000275</v>
      </c>
      <c r="R273" s="306">
        <f t="shared" ca="1" si="136"/>
        <v>0.39735199263659138</v>
      </c>
      <c r="S273" s="307">
        <f t="shared" ca="1" si="137"/>
        <v>7.0467393138351326</v>
      </c>
      <c r="T273" s="304">
        <f t="shared" ca="1" si="117"/>
        <v>69.128512668722649</v>
      </c>
      <c r="U273" s="311">
        <f t="shared" ca="1" si="118"/>
        <v>0</v>
      </c>
      <c r="V273" s="306">
        <f t="shared" ca="1" si="119"/>
        <v>1.1772996268519069</v>
      </c>
      <c r="W273" s="304">
        <f t="shared" ca="1" si="120"/>
        <v>244.82193830618732</v>
      </c>
      <c r="Y273" s="314" t="str">
        <f t="shared" ca="1" si="138"/>
        <v/>
      </c>
      <c r="Z273" s="315" t="str">
        <f t="shared" ca="1" si="139"/>
        <v/>
      </c>
      <c r="AA273" s="316" t="str">
        <f t="shared" ca="1" si="140"/>
        <v/>
      </c>
      <c r="AC273" s="310" t="e">
        <f t="shared" ca="1" si="141"/>
        <v>#N/A</v>
      </c>
      <c r="AD273" s="323" t="e">
        <f t="shared" ca="1" si="142"/>
        <v>#N/A</v>
      </c>
      <c r="AE273" s="324">
        <f t="shared" ca="1" si="121"/>
        <v>397.1225954907394</v>
      </c>
      <c r="AG273" s="306">
        <f t="shared" ca="1" si="143"/>
        <v>68.230502318117175</v>
      </c>
      <c r="AH273" s="304">
        <f t="shared" ca="1" si="144"/>
        <v>77.985539747336588</v>
      </c>
    </row>
    <row r="274" spans="1:34" x14ac:dyDescent="0.2">
      <c r="A274" s="347">
        <f t="shared" ca="1" si="122"/>
        <v>0.01</v>
      </c>
      <c r="B274" s="304">
        <f t="shared" ca="1" si="123"/>
        <v>2.6999999999999864</v>
      </c>
      <c r="D274" s="306">
        <f t="shared" ca="1" si="124"/>
        <v>8.2032822066275397</v>
      </c>
      <c r="E274" s="307">
        <f t="shared" ca="1" si="125"/>
        <v>67.331432870143416</v>
      </c>
      <c r="F274" s="304">
        <f t="shared" ca="1" si="126"/>
        <v>67.82931292080292</v>
      </c>
      <c r="G274" s="306">
        <f t="shared" ca="1" si="127"/>
        <v>29.300595742847424</v>
      </c>
      <c r="H274" s="307">
        <f t="shared" ca="1" si="128"/>
        <v>275.43672650224528</v>
      </c>
      <c r="I274" s="304">
        <f t="shared" ca="1" si="129"/>
        <v>276.99082153955646</v>
      </c>
      <c r="J274" s="306">
        <f t="shared" ca="1" si="130"/>
        <v>40.693111268903834</v>
      </c>
      <c r="K274" s="307">
        <f t="shared" ca="1" si="131"/>
        <v>399.87359618411836</v>
      </c>
      <c r="L274" s="304">
        <f t="shared" ca="1" si="116"/>
        <v>401.93882896525776</v>
      </c>
      <c r="M274" s="306">
        <f t="shared" ca="1" si="132"/>
        <v>1.4648162181540316</v>
      </c>
      <c r="N274" s="304">
        <f t="shared" ca="1" si="133"/>
        <v>83.927787062540489</v>
      </c>
      <c r="P274" s="310">
        <f t="shared" ca="1" si="134"/>
        <v>9</v>
      </c>
      <c r="Q274" s="304">
        <f t="shared" ca="1" si="135"/>
        <v>791.1750000000028</v>
      </c>
      <c r="R274" s="306">
        <f t="shared" ca="1" si="136"/>
        <v>0.3963250815017873</v>
      </c>
      <c r="S274" s="307">
        <f t="shared" ca="1" si="137"/>
        <v>7.0427760630201144</v>
      </c>
      <c r="T274" s="304">
        <f t="shared" ca="1" si="117"/>
        <v>69.089633178227331</v>
      </c>
      <c r="U274" s="311">
        <f t="shared" ca="1" si="118"/>
        <v>0</v>
      </c>
      <c r="V274" s="306">
        <f t="shared" ca="1" si="119"/>
        <v>1.176975667592649</v>
      </c>
      <c r="W274" s="304">
        <f t="shared" ca="1" si="120"/>
        <v>245.95755336762736</v>
      </c>
      <c r="Y274" s="314" t="str">
        <f t="shared" ca="1" si="138"/>
        <v/>
      </c>
      <c r="Z274" s="315" t="str">
        <f t="shared" ca="1" si="139"/>
        <v/>
      </c>
      <c r="AA274" s="316" t="str">
        <f t="shared" ca="1" si="140"/>
        <v/>
      </c>
      <c r="AC274" s="310" t="e">
        <f t="shared" ca="1" si="141"/>
        <v>#N/A</v>
      </c>
      <c r="AD274" s="323" t="e">
        <f t="shared" ca="1" si="142"/>
        <v>#N/A</v>
      </c>
      <c r="AE274" s="324">
        <f t="shared" ca="1" si="121"/>
        <v>399.87359618411836</v>
      </c>
      <c r="AG274" s="306">
        <f t="shared" ca="1" si="143"/>
        <v>67.821380014964106</v>
      </c>
      <c r="AH274" s="304">
        <f t="shared" ca="1" si="144"/>
        <v>77.5763785196268</v>
      </c>
    </row>
    <row r="275" spans="1:34" x14ac:dyDescent="0.2">
      <c r="A275" s="347">
        <f t="shared" ca="1" si="122"/>
        <v>0.01</v>
      </c>
      <c r="B275" s="304">
        <f t="shared" ca="1" si="123"/>
        <v>2.7099999999999862</v>
      </c>
      <c r="D275" s="306">
        <f t="shared" ca="1" si="124"/>
        <v>8.1629052672117464</v>
      </c>
      <c r="E275" s="307">
        <f t="shared" ca="1" si="125"/>
        <v>66.924409268712111</v>
      </c>
      <c r="F275" s="304">
        <f t="shared" ca="1" si="126"/>
        <v>67.420394380095061</v>
      </c>
      <c r="G275" s="306">
        <f t="shared" ca="1" si="127"/>
        <v>29.382224795519541</v>
      </c>
      <c r="H275" s="307">
        <f t="shared" ca="1" si="128"/>
        <v>276.10597059493239</v>
      </c>
      <c r="I275" s="304">
        <f t="shared" ca="1" si="129"/>
        <v>277.66494581078132</v>
      </c>
      <c r="J275" s="306">
        <f t="shared" ca="1" si="130"/>
        <v>40.986525371595668</v>
      </c>
      <c r="K275" s="307">
        <f t="shared" ca="1" si="131"/>
        <v>402.63130966960426</v>
      </c>
      <c r="L275" s="304">
        <f t="shared" ca="1" si="116"/>
        <v>404.71207887620204</v>
      </c>
      <c r="M275" s="306">
        <f t="shared" ca="1" si="132"/>
        <v>1.4647788450624966</v>
      </c>
      <c r="N275" s="304">
        <f t="shared" ca="1" si="133"/>
        <v>83.925645742128182</v>
      </c>
      <c r="P275" s="310">
        <f t="shared" ca="1" si="134"/>
        <v>9</v>
      </c>
      <c r="Q275" s="304">
        <f t="shared" ca="1" si="135"/>
        <v>789.12500000000284</v>
      </c>
      <c r="R275" s="306">
        <f t="shared" ca="1" si="136"/>
        <v>0.39529817036698317</v>
      </c>
      <c r="S275" s="307">
        <f t="shared" ca="1" si="137"/>
        <v>7.038823081316445</v>
      </c>
      <c r="T275" s="304">
        <f t="shared" ca="1" si="117"/>
        <v>69.050854427714327</v>
      </c>
      <c r="U275" s="311">
        <f t="shared" ca="1" si="118"/>
        <v>0</v>
      </c>
      <c r="V275" s="306">
        <f t="shared" ca="1" si="119"/>
        <v>1.1766510055140285</v>
      </c>
      <c r="W275" s="304">
        <f t="shared" ca="1" si="120"/>
        <v>247.08802814777488</v>
      </c>
      <c r="Y275" s="314" t="str">
        <f t="shared" ca="1" si="138"/>
        <v/>
      </c>
      <c r="Z275" s="315" t="str">
        <f t="shared" ca="1" si="139"/>
        <v/>
      </c>
      <c r="AA275" s="316" t="str">
        <f t="shared" ca="1" si="140"/>
        <v/>
      </c>
      <c r="AC275" s="310" t="e">
        <f t="shared" ca="1" si="141"/>
        <v>#N/A</v>
      </c>
      <c r="AD275" s="323" t="e">
        <f t="shared" ca="1" si="142"/>
        <v>#N/A</v>
      </c>
      <c r="AE275" s="324">
        <f t="shared" ca="1" si="121"/>
        <v>402.63130966960426</v>
      </c>
      <c r="AG275" s="306">
        <f t="shared" ca="1" si="143"/>
        <v>67.412407731083334</v>
      </c>
      <c r="AH275" s="304">
        <f t="shared" ca="1" si="144"/>
        <v>77.167367379091573</v>
      </c>
    </row>
    <row r="276" spans="1:34" x14ac:dyDescent="0.2">
      <c r="A276" s="347">
        <f t="shared" ca="1" si="122"/>
        <v>0.01</v>
      </c>
      <c r="B276" s="304">
        <f t="shared" ca="1" si="123"/>
        <v>2.719999999999986</v>
      </c>
      <c r="D276" s="306">
        <f t="shared" ca="1" si="124"/>
        <v>8.1225087400682927</v>
      </c>
      <c r="E276" s="307">
        <f t="shared" ca="1" si="125"/>
        <v>66.517547520647923</v>
      </c>
      <c r="F276" s="304">
        <f t="shared" ca="1" si="126"/>
        <v>67.011635380686997</v>
      </c>
      <c r="G276" s="306">
        <f t="shared" ca="1" si="127"/>
        <v>29.463449882920223</v>
      </c>
      <c r="H276" s="307">
        <f t="shared" ca="1" si="128"/>
        <v>276.77114607013885</v>
      </c>
      <c r="I276" s="304">
        <f t="shared" ca="1" si="129"/>
        <v>278.33498194797846</v>
      </c>
      <c r="J276" s="306">
        <f t="shared" ca="1" si="130"/>
        <v>41.280753744987869</v>
      </c>
      <c r="K276" s="307">
        <f t="shared" ca="1" si="131"/>
        <v>405.39569525292961</v>
      </c>
      <c r="L276" s="304">
        <f t="shared" ca="1" si="116"/>
        <v>407.49204944312783</v>
      </c>
      <c r="M276" s="306">
        <f t="shared" ca="1" si="132"/>
        <v>1.4647415488409221</v>
      </c>
      <c r="N276" s="304">
        <f t="shared" ca="1" si="133"/>
        <v>83.923508826040177</v>
      </c>
      <c r="P276" s="310">
        <f t="shared" ca="1" si="134"/>
        <v>9</v>
      </c>
      <c r="Q276" s="304">
        <f t="shared" ca="1" si="135"/>
        <v>787.07500000000289</v>
      </c>
      <c r="R276" s="306">
        <f t="shared" ca="1" si="136"/>
        <v>0.39427125923217904</v>
      </c>
      <c r="S276" s="307">
        <f t="shared" ca="1" si="137"/>
        <v>7.0348803687241235</v>
      </c>
      <c r="T276" s="304">
        <f t="shared" ca="1" si="117"/>
        <v>69.012176417183653</v>
      </c>
      <c r="U276" s="311">
        <f t="shared" ca="1" si="118"/>
        <v>0</v>
      </c>
      <c r="V276" s="306">
        <f t="shared" ca="1" si="119"/>
        <v>1.1763256460103473</v>
      </c>
      <c r="W276" s="304">
        <f t="shared" ca="1" si="120"/>
        <v>248.213315056651</v>
      </c>
      <c r="Y276" s="314" t="str">
        <f t="shared" ca="1" si="138"/>
        <v/>
      </c>
      <c r="Z276" s="315" t="str">
        <f t="shared" ca="1" si="139"/>
        <v/>
      </c>
      <c r="AA276" s="316" t="str">
        <f t="shared" ca="1" si="140"/>
        <v/>
      </c>
      <c r="AC276" s="310" t="e">
        <f t="shared" ca="1" si="141"/>
        <v>#N/A</v>
      </c>
      <c r="AD276" s="323" t="e">
        <f t="shared" ca="1" si="142"/>
        <v>#N/A</v>
      </c>
      <c r="AE276" s="324">
        <f t="shared" ca="1" si="121"/>
        <v>405.39569525292961</v>
      </c>
      <c r="AG276" s="306">
        <f t="shared" ca="1" si="143"/>
        <v>67.003594361405732</v>
      </c>
      <c r="AH276" s="304">
        <f t="shared" ca="1" si="144"/>
        <v>76.758515219806412</v>
      </c>
    </row>
    <row r="277" spans="1:34" x14ac:dyDescent="0.2">
      <c r="A277" s="347">
        <f t="shared" ca="1" si="122"/>
        <v>0.01</v>
      </c>
      <c r="B277" s="304">
        <f t="shared" ca="1" si="123"/>
        <v>2.7299999999999858</v>
      </c>
      <c r="D277" s="306">
        <f t="shared" ca="1" si="124"/>
        <v>8.0820937405858029</v>
      </c>
      <c r="E277" s="307">
        <f t="shared" ca="1" si="125"/>
        <v>66.110856387049822</v>
      </c>
      <c r="F277" s="304">
        <f t="shared" ca="1" si="126"/>
        <v>66.603044761187476</v>
      </c>
      <c r="G277" s="306">
        <f t="shared" ca="1" si="127"/>
        <v>29.54427082032608</v>
      </c>
      <c r="H277" s="307">
        <f t="shared" ca="1" si="128"/>
        <v>277.43225463400933</v>
      </c>
      <c r="I277" s="304">
        <f t="shared" ca="1" si="129"/>
        <v>279.0009316285782</v>
      </c>
      <c r="J277" s="306">
        <f t="shared" ca="1" si="130"/>
        <v>41.575792348504102</v>
      </c>
      <c r="K277" s="307">
        <f t="shared" ca="1" si="131"/>
        <v>408.16671225645035</v>
      </c>
      <c r="L277" s="304">
        <f t="shared" ca="1" si="116"/>
        <v>410.27869979276994</v>
      </c>
      <c r="M277" s="306">
        <f t="shared" ca="1" si="132"/>
        <v>1.4647043286018797</v>
      </c>
      <c r="N277" s="304">
        <f t="shared" ca="1" si="133"/>
        <v>83.921376263430574</v>
      </c>
      <c r="P277" s="310">
        <f t="shared" ca="1" si="134"/>
        <v>9</v>
      </c>
      <c r="Q277" s="304">
        <f t="shared" ca="1" si="135"/>
        <v>785.02500000000293</v>
      </c>
      <c r="R277" s="306">
        <f t="shared" ca="1" si="136"/>
        <v>0.39324434809737496</v>
      </c>
      <c r="S277" s="307">
        <f t="shared" ca="1" si="137"/>
        <v>7.0309479252431499</v>
      </c>
      <c r="T277" s="304">
        <f t="shared" ca="1" si="117"/>
        <v>68.973599146635308</v>
      </c>
      <c r="U277" s="311">
        <f t="shared" ca="1" si="118"/>
        <v>0</v>
      </c>
      <c r="V277" s="306">
        <f t="shared" ca="1" si="119"/>
        <v>1.1759995944698094</v>
      </c>
      <c r="W277" s="304">
        <f t="shared" ca="1" si="120"/>
        <v>249.3333671022956</v>
      </c>
      <c r="Y277" s="314" t="str">
        <f t="shared" ca="1" si="138"/>
        <v/>
      </c>
      <c r="Z277" s="315" t="str">
        <f t="shared" ca="1" si="139"/>
        <v/>
      </c>
      <c r="AA277" s="316" t="str">
        <f t="shared" ca="1" si="140"/>
        <v/>
      </c>
      <c r="AC277" s="310" t="e">
        <f t="shared" ca="1" si="141"/>
        <v>#N/A</v>
      </c>
      <c r="AD277" s="323" t="e">
        <f t="shared" ca="1" si="142"/>
        <v>#N/A</v>
      </c>
      <c r="AE277" s="324">
        <f t="shared" ca="1" si="121"/>
        <v>408.16671225645035</v>
      </c>
      <c r="AG277" s="306">
        <f t="shared" ca="1" si="143"/>
        <v>66.594948734332377</v>
      </c>
      <c r="AH277" s="304">
        <f t="shared" ca="1" si="144"/>
        <v>76.349830869325842</v>
      </c>
    </row>
    <row r="278" spans="1:34" x14ac:dyDescent="0.2">
      <c r="A278" s="347">
        <f t="shared" ca="1" si="122"/>
        <v>0.01</v>
      </c>
      <c r="B278" s="304">
        <f t="shared" ca="1" si="123"/>
        <v>2.7399999999999856</v>
      </c>
      <c r="D278" s="306">
        <f t="shared" ca="1" si="124"/>
        <v>8.0416613761164815</v>
      </c>
      <c r="E278" s="307">
        <f t="shared" ca="1" si="125"/>
        <v>65.704344562679637</v>
      </c>
      <c r="F278" s="304">
        <f t="shared" ca="1" si="126"/>
        <v>66.194631293628731</v>
      </c>
      <c r="G278" s="306">
        <f t="shared" ca="1" si="127"/>
        <v>29.624687434087246</v>
      </c>
      <c r="H278" s="307">
        <f t="shared" ca="1" si="128"/>
        <v>278.08929807963614</v>
      </c>
      <c r="I278" s="304">
        <f t="shared" ca="1" si="129"/>
        <v>279.66279661762678</v>
      </c>
      <c r="J278" s="306">
        <f t="shared" ca="1" si="130"/>
        <v>41.871637139776169</v>
      </c>
      <c r="K278" s="307">
        <f t="shared" ca="1" si="131"/>
        <v>410.94432002001861</v>
      </c>
      <c r="L278" s="304">
        <f t="shared" ca="1" si="116"/>
        <v>413.07198906907325</v>
      </c>
      <c r="M278" s="306">
        <f t="shared" ca="1" si="132"/>
        <v>1.4646671834675351</v>
      </c>
      <c r="N278" s="304">
        <f t="shared" ca="1" si="133"/>
        <v>83.91924800400318</v>
      </c>
      <c r="P278" s="310">
        <f t="shared" ca="1" si="134"/>
        <v>9</v>
      </c>
      <c r="Q278" s="304">
        <f t="shared" ca="1" si="135"/>
        <v>782.97500000000298</v>
      </c>
      <c r="R278" s="306">
        <f t="shared" ca="1" si="136"/>
        <v>0.39221743696257083</v>
      </c>
      <c r="S278" s="307">
        <f t="shared" ca="1" si="137"/>
        <v>7.0270257508735243</v>
      </c>
      <c r="T278" s="304">
        <f t="shared" ca="1" si="117"/>
        <v>68.935122616069279</v>
      </c>
      <c r="U278" s="311">
        <f t="shared" ca="1" si="118"/>
        <v>0</v>
      </c>
      <c r="V278" s="306">
        <f t="shared" ca="1" si="119"/>
        <v>1.1756728562743903</v>
      </c>
      <c r="W278" s="304">
        <f t="shared" ca="1" si="120"/>
        <v>250.4481378903582</v>
      </c>
      <c r="Y278" s="314" t="str">
        <f t="shared" ca="1" si="138"/>
        <v/>
      </c>
      <c r="Z278" s="315" t="str">
        <f t="shared" ca="1" si="139"/>
        <v/>
      </c>
      <c r="AA278" s="316" t="str">
        <f t="shared" ca="1" si="140"/>
        <v/>
      </c>
      <c r="AC278" s="310" t="e">
        <f t="shared" ca="1" si="141"/>
        <v>#N/A</v>
      </c>
      <c r="AD278" s="323" t="e">
        <f t="shared" ca="1" si="142"/>
        <v>#N/A</v>
      </c>
      <c r="AE278" s="324">
        <f t="shared" ca="1" si="121"/>
        <v>410.94432002001861</v>
      </c>
      <c r="AG278" s="306">
        <f t="shared" ca="1" si="143"/>
        <v>66.186479611467632</v>
      </c>
      <c r="AH278" s="304">
        <f t="shared" ca="1" si="144"/>
        <v>75.941323088416283</v>
      </c>
    </row>
    <row r="279" spans="1:34" x14ac:dyDescent="0.2">
      <c r="A279" s="347">
        <f t="shared" ca="1" si="122"/>
        <v>0.01</v>
      </c>
      <c r="B279" s="304">
        <f t="shared" ca="1" si="123"/>
        <v>2.7499999999999853</v>
      </c>
      <c r="D279" s="306">
        <f t="shared" ca="1" si="124"/>
        <v>8.0012127459631799</v>
      </c>
      <c r="E279" s="307">
        <f t="shared" ca="1" si="125"/>
        <v>65.298020675705473</v>
      </c>
      <c r="F279" s="304">
        <f t="shared" ca="1" si="126"/>
        <v>65.786403683215752</v>
      </c>
      <c r="G279" s="306">
        <f t="shared" ca="1" si="127"/>
        <v>29.704699561546878</v>
      </c>
      <c r="H279" s="307">
        <f t="shared" ca="1" si="128"/>
        <v>278.74227828639317</v>
      </c>
      <c r="I279" s="304">
        <f t="shared" ca="1" si="129"/>
        <v>280.32057876711588</v>
      </c>
      <c r="J279" s="306">
        <f t="shared" ca="1" si="130"/>
        <v>42.168284074754339</v>
      </c>
      <c r="K279" s="307">
        <f t="shared" ca="1" si="131"/>
        <v>413.72847790184875</v>
      </c>
      <c r="L279" s="304">
        <f t="shared" ca="1" si="116"/>
        <v>415.8718764340644</v>
      </c>
      <c r="M279" s="306">
        <f t="shared" ca="1" si="132"/>
        <v>1.4646301125694949</v>
      </c>
      <c r="N279" s="304">
        <f t="shared" ca="1" si="133"/>
        <v>83.917123998002722</v>
      </c>
      <c r="P279" s="310">
        <f t="shared" ca="1" si="134"/>
        <v>9</v>
      </c>
      <c r="Q279" s="304">
        <f t="shared" ca="1" si="135"/>
        <v>780.92500000000302</v>
      </c>
      <c r="R279" s="306">
        <f t="shared" ca="1" si="136"/>
        <v>0.3911905258277667</v>
      </c>
      <c r="S279" s="307">
        <f t="shared" ca="1" si="137"/>
        <v>7.0231138456152467</v>
      </c>
      <c r="T279" s="304">
        <f t="shared" ca="1" si="117"/>
        <v>68.896746825485579</v>
      </c>
      <c r="U279" s="311">
        <f t="shared" ca="1" si="118"/>
        <v>0</v>
      </c>
      <c r="V279" s="306">
        <f t="shared" ca="1" si="119"/>
        <v>1.1753454367997105</v>
      </c>
      <c r="W279" s="304">
        <f t="shared" ca="1" si="120"/>
        <v>251.55758162362434</v>
      </c>
      <c r="Y279" s="314" t="str">
        <f t="shared" ca="1" si="138"/>
        <v/>
      </c>
      <c r="Z279" s="315" t="str">
        <f t="shared" ca="1" si="139"/>
        <v/>
      </c>
      <c r="AA279" s="316" t="str">
        <f t="shared" ca="1" si="140"/>
        <v/>
      </c>
      <c r="AC279" s="310" t="e">
        <f t="shared" ca="1" si="141"/>
        <v>#N/A</v>
      </c>
      <c r="AD279" s="323" t="e">
        <f t="shared" ca="1" si="142"/>
        <v>#N/A</v>
      </c>
      <c r="AE279" s="324">
        <f t="shared" ca="1" si="121"/>
        <v>413.72847790184875</v>
      </c>
      <c r="AG279" s="306">
        <f t="shared" ca="1" si="143"/>
        <v>65.778195687362441</v>
      </c>
      <c r="AH279" s="304">
        <f t="shared" ca="1" si="144"/>
        <v>75.533000570799288</v>
      </c>
    </row>
    <row r="280" spans="1:34" x14ac:dyDescent="0.2">
      <c r="A280" s="347">
        <f t="shared" ca="1" si="122"/>
        <v>0.01</v>
      </c>
      <c r="B280" s="304">
        <f t="shared" ca="1" si="123"/>
        <v>2.7599999999999851</v>
      </c>
      <c r="D280" s="306">
        <f t="shared" ca="1" si="124"/>
        <v>7.9607489413668411</v>
      </c>
      <c r="E280" s="307">
        <f t="shared" ca="1" si="125"/>
        <v>64.891893287455034</v>
      </c>
      <c r="F280" s="304">
        <f t="shared" ca="1" si="126"/>
        <v>65.378370568085629</v>
      </c>
      <c r="G280" s="306">
        <f t="shared" ca="1" si="127"/>
        <v>29.784307050960546</v>
      </c>
      <c r="H280" s="307">
        <f t="shared" ca="1" si="128"/>
        <v>279.39119721926772</v>
      </c>
      <c r="I280" s="304">
        <f t="shared" ca="1" si="129"/>
        <v>280.97428001530966</v>
      </c>
      <c r="J280" s="306">
        <f t="shared" ca="1" si="130"/>
        <v>42.465729107816877</v>
      </c>
      <c r="K280" s="307">
        <f t="shared" ca="1" si="131"/>
        <v>416.51914527937703</v>
      </c>
      <c r="L280" s="304">
        <f t="shared" ca="1" si="116"/>
        <v>418.6783210687189</v>
      </c>
      <c r="M280" s="306">
        <f t="shared" ca="1" si="132"/>
        <v>1.4645931150486537</v>
      </c>
      <c r="N280" s="304">
        <f t="shared" ca="1" si="133"/>
        <v>83.915004196206084</v>
      </c>
      <c r="P280" s="310">
        <f t="shared" ca="1" si="134"/>
        <v>9</v>
      </c>
      <c r="Q280" s="304">
        <f t="shared" ca="1" si="135"/>
        <v>778.87500000000307</v>
      </c>
      <c r="R280" s="306">
        <f t="shared" ca="1" si="136"/>
        <v>0.39016361469296262</v>
      </c>
      <c r="S280" s="307">
        <f t="shared" ca="1" si="137"/>
        <v>7.0192122094683169</v>
      </c>
      <c r="T280" s="304">
        <f t="shared" ca="1" si="117"/>
        <v>68.858471774884194</v>
      </c>
      <c r="U280" s="311">
        <f t="shared" ca="1" si="118"/>
        <v>0</v>
      </c>
      <c r="V280" s="306">
        <f t="shared" ca="1" si="119"/>
        <v>1.175017341414909</v>
      </c>
      <c r="W280" s="304">
        <f t="shared" ca="1" si="120"/>
        <v>252.66165310147622</v>
      </c>
      <c r="Y280" s="314" t="str">
        <f t="shared" ca="1" si="138"/>
        <v/>
      </c>
      <c r="Z280" s="315" t="str">
        <f t="shared" ca="1" si="139"/>
        <v/>
      </c>
      <c r="AA280" s="316" t="str">
        <f t="shared" ca="1" si="140"/>
        <v/>
      </c>
      <c r="AC280" s="310" t="e">
        <f t="shared" ca="1" si="141"/>
        <v>#N/A</v>
      </c>
      <c r="AD280" s="323" t="e">
        <f t="shared" ca="1" si="142"/>
        <v>#N/A</v>
      </c>
      <c r="AE280" s="324">
        <f t="shared" ca="1" si="121"/>
        <v>416.51914527937703</v>
      </c>
      <c r="AG280" s="306">
        <f t="shared" ca="1" si="143"/>
        <v>65.370105589267439</v>
      </c>
      <c r="AH280" s="304">
        <f t="shared" ca="1" si="144"/>
        <v>75.124871942904463</v>
      </c>
    </row>
    <row r="281" spans="1:34" x14ac:dyDescent="0.2">
      <c r="A281" s="347">
        <f t="shared" ca="1" si="122"/>
        <v>0.01</v>
      </c>
      <c r="B281" s="304">
        <f t="shared" ca="1" si="123"/>
        <v>2.7699999999999849</v>
      </c>
      <c r="D281" s="306">
        <f t="shared" ca="1" si="124"/>
        <v>7.9202710454947569</v>
      </c>
      <c r="E281" s="307">
        <f t="shared" ca="1" si="125"/>
        <v>64.485970892178855</v>
      </c>
      <c r="F281" s="304">
        <f t="shared" ca="1" si="126"/>
        <v>64.970540519077119</v>
      </c>
      <c r="G281" s="306">
        <f t="shared" ca="1" si="127"/>
        <v>29.863509761415493</v>
      </c>
      <c r="H281" s="307">
        <f t="shared" ca="1" si="128"/>
        <v>280.03605692818951</v>
      </c>
      <c r="I281" s="304">
        <f t="shared" ca="1" si="129"/>
        <v>281.6239023860694</v>
      </c>
      <c r="J281" s="306">
        <f t="shared" ca="1" si="130"/>
        <v>42.76396819187876</v>
      </c>
      <c r="K281" s="307">
        <f t="shared" ca="1" si="131"/>
        <v>419.3162815501143</v>
      </c>
      <c r="L281" s="304">
        <f t="shared" ca="1" si="116"/>
        <v>421.49128217381997</v>
      </c>
      <c r="M281" s="306">
        <f t="shared" ca="1" si="132"/>
        <v>1.4645561900550463</v>
      </c>
      <c r="N281" s="304">
        <f t="shared" ca="1" si="133"/>
        <v>83.912888549913831</v>
      </c>
      <c r="P281" s="310">
        <f t="shared" ca="1" si="134"/>
        <v>9</v>
      </c>
      <c r="Q281" s="304">
        <f t="shared" ca="1" si="135"/>
        <v>776.82500000000312</v>
      </c>
      <c r="R281" s="306">
        <f t="shared" ca="1" si="136"/>
        <v>0.38913670355815849</v>
      </c>
      <c r="S281" s="307">
        <f t="shared" ca="1" si="137"/>
        <v>7.0153208424327351</v>
      </c>
      <c r="T281" s="304">
        <f t="shared" ca="1" si="117"/>
        <v>68.820297464265138</v>
      </c>
      <c r="U281" s="311">
        <f t="shared" ca="1" si="118"/>
        <v>0</v>
      </c>
      <c r="V281" s="306">
        <f t="shared" ca="1" si="119"/>
        <v>1.1746885754825191</v>
      </c>
      <c r="W281" s="304">
        <f t="shared" ca="1" si="120"/>
        <v>253.76030771929047</v>
      </c>
      <c r="Y281" s="314" t="str">
        <f t="shared" ca="1" si="138"/>
        <v/>
      </c>
      <c r="Z281" s="315" t="str">
        <f t="shared" ca="1" si="139"/>
        <v/>
      </c>
      <c r="AA281" s="316" t="str">
        <f t="shared" ca="1" si="140"/>
        <v/>
      </c>
      <c r="AC281" s="310" t="e">
        <f t="shared" ca="1" si="141"/>
        <v>#N/A</v>
      </c>
      <c r="AD281" s="323" t="e">
        <f t="shared" ca="1" si="142"/>
        <v>#N/A</v>
      </c>
      <c r="AE281" s="324">
        <f t="shared" ca="1" si="121"/>
        <v>419.3162815501143</v>
      </c>
      <c r="AG281" s="306">
        <f t="shared" ca="1" si="143"/>
        <v>64.962217876896062</v>
      </c>
      <c r="AH281" s="304">
        <f t="shared" ca="1" si="144"/>
        <v>74.716945763632438</v>
      </c>
    </row>
    <row r="282" spans="1:34" x14ac:dyDescent="0.2">
      <c r="A282" s="347">
        <f t="shared" ca="1" si="122"/>
        <v>0.01</v>
      </c>
      <c r="B282" s="304">
        <f t="shared" ca="1" si="123"/>
        <v>2.7799999999999847</v>
      </c>
      <c r="D282" s="306">
        <f t="shared" ca="1" si="124"/>
        <v>7.8797801334292181</v>
      </c>
      <c r="E282" s="307">
        <f t="shared" ca="1" si="125"/>
        <v>64.080261916823332</v>
      </c>
      <c r="F282" s="304">
        <f t="shared" ca="1" si="126"/>
        <v>64.562922039510141</v>
      </c>
      <c r="G282" s="306">
        <f t="shared" ca="1" si="127"/>
        <v>29.942307562749786</v>
      </c>
      <c r="H282" s="307">
        <f t="shared" ca="1" si="128"/>
        <v>280.67685954735776</v>
      </c>
      <c r="I282" s="304">
        <f t="shared" ca="1" si="129"/>
        <v>282.26944798817584</v>
      </c>
      <c r="J282" s="306">
        <f t="shared" ca="1" si="130"/>
        <v>43.062997278499587</v>
      </c>
      <c r="K282" s="307">
        <f t="shared" ca="1" si="131"/>
        <v>422.11984613249206</v>
      </c>
      <c r="L282" s="304">
        <f t="shared" ca="1" si="116"/>
        <v>424.31071897081137</v>
      </c>
      <c r="M282" s="306">
        <f t="shared" ca="1" si="132"/>
        <v>1.4645193367477012</v>
      </c>
      <c r="N282" s="304">
        <f t="shared" ca="1" si="133"/>
        <v>83.910777010941842</v>
      </c>
      <c r="P282" s="310">
        <f t="shared" ca="1" si="134"/>
        <v>9</v>
      </c>
      <c r="Q282" s="304">
        <f t="shared" ca="1" si="135"/>
        <v>774.77500000000316</v>
      </c>
      <c r="R282" s="306">
        <f t="shared" ca="1" si="136"/>
        <v>0.38810979242335442</v>
      </c>
      <c r="S282" s="307">
        <f t="shared" ca="1" si="137"/>
        <v>7.0114397445085013</v>
      </c>
      <c r="T282" s="304">
        <f t="shared" ca="1" si="117"/>
        <v>68.782223893628398</v>
      </c>
      <c r="U282" s="311">
        <f t="shared" ca="1" si="118"/>
        <v>0</v>
      </c>
      <c r="V282" s="306">
        <f t="shared" ca="1" si="119"/>
        <v>1.1743591443583434</v>
      </c>
      <c r="W282" s="304">
        <f t="shared" ca="1" si="120"/>
        <v>254.85350146777103</v>
      </c>
      <c r="Y282" s="314" t="str">
        <f t="shared" ca="1" si="138"/>
        <v/>
      </c>
      <c r="Z282" s="315" t="str">
        <f t="shared" ca="1" si="139"/>
        <v/>
      </c>
      <c r="AA282" s="316" t="str">
        <f t="shared" ca="1" si="140"/>
        <v/>
      </c>
      <c r="AC282" s="310" t="e">
        <f t="shared" ca="1" si="141"/>
        <v>#N/A</v>
      </c>
      <c r="AD282" s="323" t="e">
        <f t="shared" ca="1" si="142"/>
        <v>#N/A</v>
      </c>
      <c r="AE282" s="324">
        <f t="shared" ca="1" si="121"/>
        <v>422.11984613249206</v>
      </c>
      <c r="AG282" s="306">
        <f t="shared" ca="1" si="143"/>
        <v>64.554541042197371</v>
      </c>
      <c r="AH282" s="304">
        <f t="shared" ca="1" si="144"/>
        <v>74.309230524127614</v>
      </c>
    </row>
    <row r="283" spans="1:34" x14ac:dyDescent="0.2">
      <c r="A283" s="347">
        <f t="shared" ca="1" si="122"/>
        <v>0.01</v>
      </c>
      <c r="B283" s="304">
        <f t="shared" ca="1" si="123"/>
        <v>2.7899999999999845</v>
      </c>
      <c r="D283" s="306">
        <f t="shared" ca="1" si="124"/>
        <v>7.8392772721569202</v>
      </c>
      <c r="E283" s="307">
        <f t="shared" ca="1" si="125"/>
        <v>63.674774720813559</v>
      </c>
      <c r="F283" s="304">
        <f t="shared" ca="1" si="126"/>
        <v>64.155523564975397</v>
      </c>
      <c r="G283" s="306">
        <f t="shared" ca="1" si="127"/>
        <v>30.020700335471354</v>
      </c>
      <c r="H283" s="307">
        <f t="shared" ca="1" si="128"/>
        <v>281.31360729456588</v>
      </c>
      <c r="I283" s="304">
        <f t="shared" ca="1" si="129"/>
        <v>282.91091901464921</v>
      </c>
      <c r="J283" s="306">
        <f t="shared" ca="1" si="130"/>
        <v>43.362812317990695</v>
      </c>
      <c r="K283" s="307">
        <f t="shared" ca="1" si="131"/>
        <v>424.9297984667017</v>
      </c>
      <c r="L283" s="304">
        <f t="shared" ca="1" si="116"/>
        <v>427.13659070264282</v>
      </c>
      <c r="M283" s="306">
        <f t="shared" ca="1" si="132"/>
        <v>1.4644825542944977</v>
      </c>
      <c r="N283" s="304">
        <f t="shared" ca="1" si="133"/>
        <v>83.908669531613157</v>
      </c>
      <c r="P283" s="310">
        <f t="shared" ca="1" si="134"/>
        <v>9</v>
      </c>
      <c r="Q283" s="304">
        <f t="shared" ca="1" si="135"/>
        <v>772.72500000000321</v>
      </c>
      <c r="R283" s="306">
        <f t="shared" ca="1" si="136"/>
        <v>0.38708288128855028</v>
      </c>
      <c r="S283" s="307">
        <f t="shared" ca="1" si="137"/>
        <v>7.0075689156956154</v>
      </c>
      <c r="T283" s="304">
        <f t="shared" ca="1" si="117"/>
        <v>68.744251062973987</v>
      </c>
      <c r="U283" s="311">
        <f t="shared" ca="1" si="118"/>
        <v>0</v>
      </c>
      <c r="V283" s="306">
        <f t="shared" ca="1" si="119"/>
        <v>1.1740290533913329</v>
      </c>
      <c r="W283" s="304">
        <f t="shared" ca="1" si="120"/>
        <v>255.94119093222076</v>
      </c>
      <c r="Y283" s="314" t="str">
        <f t="shared" ca="1" si="138"/>
        <v/>
      </c>
      <c r="Z283" s="315" t="str">
        <f t="shared" ca="1" si="139"/>
        <v/>
      </c>
      <c r="AA283" s="316" t="str">
        <f t="shared" ca="1" si="140"/>
        <v/>
      </c>
      <c r="AC283" s="310" t="e">
        <f t="shared" ca="1" si="141"/>
        <v>#N/A</v>
      </c>
      <c r="AD283" s="323" t="e">
        <f t="shared" ca="1" si="142"/>
        <v>#N/A</v>
      </c>
      <c r="AE283" s="324">
        <f t="shared" ca="1" si="121"/>
        <v>424.9297984667017</v>
      </c>
      <c r="AG283" s="306">
        <f t="shared" ca="1" si="143"/>
        <v>64.147083509138824</v>
      </c>
      <c r="AH283" s="304">
        <f t="shared" ca="1" si="144"/>
        <v>73.901734647560716</v>
      </c>
    </row>
    <row r="284" spans="1:34" x14ac:dyDescent="0.2">
      <c r="A284" s="347">
        <f t="shared" ca="1" si="122"/>
        <v>0.01</v>
      </c>
      <c r="B284" s="304">
        <f t="shared" ca="1" si="123"/>
        <v>2.7999999999999843</v>
      </c>
      <c r="D284" s="306">
        <f t="shared" ca="1" si="124"/>
        <v>7.798763520558885</v>
      </c>
      <c r="E284" s="307">
        <f t="shared" ca="1" si="125"/>
        <v>63.269517595845727</v>
      </c>
      <c r="F284" s="304">
        <f t="shared" ca="1" si="126"/>
        <v>63.748353463133711</v>
      </c>
      <c r="G284" s="306">
        <f t="shared" ca="1" si="127"/>
        <v>30.098687970676941</v>
      </c>
      <c r="H284" s="307">
        <f t="shared" ca="1" si="128"/>
        <v>281.94630247052436</v>
      </c>
      <c r="I284" s="304">
        <f t="shared" ca="1" si="129"/>
        <v>283.5483177420677</v>
      </c>
      <c r="J284" s="306">
        <f t="shared" ca="1" si="130"/>
        <v>43.663409259521437</v>
      </c>
      <c r="K284" s="307">
        <f t="shared" ca="1" si="131"/>
        <v>427.74609801552714</v>
      </c>
      <c r="L284" s="304">
        <f t="shared" ca="1" si="116"/>
        <v>429.96885663460955</v>
      </c>
      <c r="M284" s="306">
        <f t="shared" ca="1" si="132"/>
        <v>1.4644458418720248</v>
      </c>
      <c r="N284" s="304">
        <f t="shared" ca="1" si="133"/>
        <v>83.906566064749754</v>
      </c>
      <c r="P284" s="310">
        <f t="shared" ca="1" si="134"/>
        <v>9</v>
      </c>
      <c r="Q284" s="304">
        <f t="shared" ca="1" si="135"/>
        <v>770.67500000000325</v>
      </c>
      <c r="R284" s="306">
        <f t="shared" ca="1" si="136"/>
        <v>0.38605597015374615</v>
      </c>
      <c r="S284" s="307">
        <f t="shared" ca="1" si="137"/>
        <v>7.0037083559940783</v>
      </c>
      <c r="T284" s="304">
        <f t="shared" ca="1" si="117"/>
        <v>68.706378972301906</v>
      </c>
      <c r="U284" s="311">
        <f t="shared" ca="1" si="118"/>
        <v>0</v>
      </c>
      <c r="V284" s="306">
        <f t="shared" ca="1" si="119"/>
        <v>1.1736983079234646</v>
      </c>
      <c r="W284" s="304">
        <f t="shared" ca="1" si="120"/>
        <v>257.02333329175065</v>
      </c>
      <c r="Y284" s="314" t="str">
        <f t="shared" ca="1" si="138"/>
        <v/>
      </c>
      <c r="Z284" s="315" t="str">
        <f t="shared" ca="1" si="139"/>
        <v/>
      </c>
      <c r="AA284" s="316" t="str">
        <f t="shared" ca="1" si="140"/>
        <v/>
      </c>
      <c r="AC284" s="310" t="e">
        <f t="shared" ca="1" si="141"/>
        <v>#N/A</v>
      </c>
      <c r="AD284" s="323" t="e">
        <f t="shared" ca="1" si="142"/>
        <v>#N/A</v>
      </c>
      <c r="AE284" s="324">
        <f t="shared" ca="1" si="121"/>
        <v>427.74609801552714</v>
      </c>
      <c r="AG284" s="306">
        <f t="shared" ca="1" si="143"/>
        <v>63.739853633498448</v>
      </c>
      <c r="AH284" s="304">
        <f t="shared" ca="1" si="144"/>
        <v>73.494466488920949</v>
      </c>
    </row>
    <row r="285" spans="1:34" x14ac:dyDescent="0.2">
      <c r="A285" s="347">
        <f t="shared" ca="1" si="122"/>
        <v>0.01</v>
      </c>
      <c r="B285" s="304">
        <f t="shared" ca="1" si="123"/>
        <v>2.8099999999999841</v>
      </c>
      <c r="D285" s="306">
        <f t="shared" ca="1" si="124"/>
        <v>7.7582399294011246</v>
      </c>
      <c r="E285" s="307">
        <f t="shared" ca="1" si="125"/>
        <v>62.864498765689277</v>
      </c>
      <c r="F285" s="304">
        <f t="shared" ca="1" si="126"/>
        <v>63.341420033525473</v>
      </c>
      <c r="G285" s="306">
        <f t="shared" ca="1" si="127"/>
        <v>30.176270369970954</v>
      </c>
      <c r="H285" s="307">
        <f t="shared" ca="1" si="128"/>
        <v>282.57494745818127</v>
      </c>
      <c r="I285" s="304">
        <f t="shared" ca="1" si="129"/>
        <v>284.18164652988321</v>
      </c>
      <c r="J285" s="306">
        <f t="shared" ca="1" si="130"/>
        <v>43.964784051224676</v>
      </c>
      <c r="K285" s="307">
        <f t="shared" ca="1" si="131"/>
        <v>430.56870426517065</v>
      </c>
      <c r="L285" s="304">
        <f t="shared" ca="1" si="116"/>
        <v>432.80747605518411</v>
      </c>
      <c r="M285" s="306">
        <f t="shared" ca="1" si="132"/>
        <v>1.4644091986654448</v>
      </c>
      <c r="N285" s="304">
        <f t="shared" ca="1" si="133"/>
        <v>83.904466563664897</v>
      </c>
      <c r="P285" s="310">
        <f t="shared" ca="1" si="134"/>
        <v>9</v>
      </c>
      <c r="Q285" s="304">
        <f t="shared" ca="1" si="135"/>
        <v>768.6250000000033</v>
      </c>
      <c r="R285" s="306">
        <f t="shared" ca="1" si="136"/>
        <v>0.38502905901894208</v>
      </c>
      <c r="S285" s="307">
        <f t="shared" ca="1" si="137"/>
        <v>6.9998580654038891</v>
      </c>
      <c r="T285" s="304">
        <f t="shared" ca="1" si="117"/>
        <v>68.668607621612153</v>
      </c>
      <c r="U285" s="311">
        <f t="shared" ca="1" si="118"/>
        <v>0</v>
      </c>
      <c r="V285" s="306">
        <f t="shared" ca="1" si="119"/>
        <v>1.1733669132896216</v>
      </c>
      <c r="W285" s="304">
        <f t="shared" ca="1" si="120"/>
        <v>258.09988631842742</v>
      </c>
      <c r="Y285" s="314" t="str">
        <f t="shared" ca="1" si="138"/>
        <v/>
      </c>
      <c r="Z285" s="315" t="str">
        <f t="shared" ca="1" si="139"/>
        <v/>
      </c>
      <c r="AA285" s="316" t="str">
        <f t="shared" ca="1" si="140"/>
        <v/>
      </c>
      <c r="AC285" s="310" t="e">
        <f t="shared" ca="1" si="141"/>
        <v>#N/A</v>
      </c>
      <c r="AD285" s="323" t="e">
        <f t="shared" ca="1" si="142"/>
        <v>#N/A</v>
      </c>
      <c r="AE285" s="324">
        <f t="shared" ca="1" si="121"/>
        <v>430.56870426517065</v>
      </c>
      <c r="AG285" s="306">
        <f t="shared" ca="1" si="143"/>
        <v>63.332859702667029</v>
      </c>
      <c r="AH285" s="304">
        <f t="shared" ca="1" si="144"/>
        <v>73.087434334817956</v>
      </c>
    </row>
    <row r="286" spans="1:34" x14ac:dyDescent="0.2">
      <c r="A286" s="347">
        <f t="shared" ca="1" si="122"/>
        <v>0.01</v>
      </c>
      <c r="B286" s="304">
        <f t="shared" ca="1" si="123"/>
        <v>2.8199999999999839</v>
      </c>
      <c r="D286" s="306">
        <f t="shared" ca="1" si="124"/>
        <v>7.7177075413256953</v>
      </c>
      <c r="E286" s="307">
        <f t="shared" ca="1" si="125"/>
        <v>62.459726385998678</v>
      </c>
      <c r="F286" s="304">
        <f t="shared" ca="1" si="126"/>
        <v>62.934731507389898</v>
      </c>
      <c r="G286" s="306">
        <f t="shared" ca="1" si="127"/>
        <v>30.253447445384211</v>
      </c>
      <c r="H286" s="307">
        <f t="shared" ca="1" si="128"/>
        <v>283.19954472204125</v>
      </c>
      <c r="I286" s="304">
        <f t="shared" ca="1" si="129"/>
        <v>284.81090781973586</v>
      </c>
      <c r="J286" s="306">
        <f t="shared" ca="1" si="130"/>
        <v>44.266932640301455</v>
      </c>
      <c r="K286" s="307">
        <f t="shared" ca="1" si="131"/>
        <v>433.39757672607175</v>
      </c>
      <c r="L286" s="304">
        <f t="shared" ca="1" si="116"/>
        <v>435.65240827684204</v>
      </c>
      <c r="M286" s="306">
        <f t="shared" ca="1" si="132"/>
        <v>1.4643726238683565</v>
      </c>
      <c r="N286" s="304">
        <f t="shared" ca="1" si="133"/>
        <v>83.90237098215519</v>
      </c>
      <c r="P286" s="310">
        <f t="shared" ca="1" si="134"/>
        <v>9</v>
      </c>
      <c r="Q286" s="304">
        <f t="shared" ca="1" si="135"/>
        <v>766.57500000000334</v>
      </c>
      <c r="R286" s="306">
        <f t="shared" ca="1" si="136"/>
        <v>0.38400214788413795</v>
      </c>
      <c r="S286" s="307">
        <f t="shared" ca="1" si="137"/>
        <v>6.9960180439250479</v>
      </c>
      <c r="T286" s="304">
        <f t="shared" ca="1" si="117"/>
        <v>68.630937010904717</v>
      </c>
      <c r="U286" s="311">
        <f t="shared" ca="1" si="118"/>
        <v>0</v>
      </c>
      <c r="V286" s="306">
        <f t="shared" ca="1" si="119"/>
        <v>1.173034874817475</v>
      </c>
      <c r="W286" s="304">
        <f t="shared" ca="1" si="120"/>
        <v>259.17080837636166</v>
      </c>
      <c r="Y286" s="314" t="str">
        <f t="shared" ca="1" si="138"/>
        <v/>
      </c>
      <c r="Z286" s="315" t="str">
        <f t="shared" ca="1" si="139"/>
        <v/>
      </c>
      <c r="AA286" s="316" t="str">
        <f t="shared" ca="1" si="140"/>
        <v/>
      </c>
      <c r="AC286" s="310" t="e">
        <f t="shared" ca="1" si="141"/>
        <v>#N/A</v>
      </c>
      <c r="AD286" s="323" t="e">
        <f t="shared" ca="1" si="142"/>
        <v>#N/A</v>
      </c>
      <c r="AE286" s="324">
        <f t="shared" ca="1" si="121"/>
        <v>433.39757672607175</v>
      </c>
      <c r="AG286" s="306">
        <f t="shared" ca="1" si="143"/>
        <v>62.926109935459628</v>
      </c>
      <c r="AH286" s="304">
        <f t="shared" ca="1" si="144"/>
        <v>72.680646403293281</v>
      </c>
    </row>
    <row r="287" spans="1:34" x14ac:dyDescent="0.2">
      <c r="A287" s="347">
        <f t="shared" ca="1" si="122"/>
        <v>0.01</v>
      </c>
      <c r="B287" s="304">
        <f t="shared" ca="1" si="123"/>
        <v>2.8299999999999836</v>
      </c>
      <c r="D287" s="306">
        <f t="shared" ca="1" si="124"/>
        <v>7.6771673908426825</v>
      </c>
      <c r="E287" s="307">
        <f t="shared" ca="1" si="125"/>
        <v>62.055208544134445</v>
      </c>
      <c r="F287" s="304">
        <f t="shared" ca="1" si="126"/>
        <v>62.528296047493846</v>
      </c>
      <c r="G287" s="306">
        <f t="shared" ca="1" si="127"/>
        <v>30.330219119292639</v>
      </c>
      <c r="H287" s="307">
        <f t="shared" ca="1" si="128"/>
        <v>283.82009680748257</v>
      </c>
      <c r="I287" s="304">
        <f t="shared" ca="1" si="129"/>
        <v>285.4361041347662</v>
      </c>
      <c r="J287" s="306">
        <f t="shared" ca="1" si="130"/>
        <v>44.569850973124836</v>
      </c>
      <c r="K287" s="307">
        <f t="shared" ca="1" si="131"/>
        <v>436.23267493371935</v>
      </c>
      <c r="L287" s="304">
        <f t="shared" ca="1" si="116"/>
        <v>438.50361263687967</v>
      </c>
      <c r="M287" s="306">
        <f t="shared" ca="1" si="132"/>
        <v>1.4643361166826643</v>
      </c>
      <c r="N287" s="304">
        <f t="shared" ca="1" si="133"/>
        <v>83.900279274493116</v>
      </c>
      <c r="P287" s="310">
        <f t="shared" ca="1" si="134"/>
        <v>9</v>
      </c>
      <c r="Q287" s="304">
        <f t="shared" ca="1" si="135"/>
        <v>764.52500000000339</v>
      </c>
      <c r="R287" s="306">
        <f t="shared" ca="1" si="136"/>
        <v>0.38297523674933381</v>
      </c>
      <c r="S287" s="307">
        <f t="shared" ca="1" si="137"/>
        <v>6.9921882915575546</v>
      </c>
      <c r="T287" s="304">
        <f t="shared" ca="1" si="117"/>
        <v>68.593367140179609</v>
      </c>
      <c r="U287" s="311">
        <f t="shared" ca="1" si="118"/>
        <v>0</v>
      </c>
      <c r="V287" s="306">
        <f t="shared" ca="1" si="119"/>
        <v>1.1727021978273657</v>
      </c>
      <c r="W287" s="304">
        <f t="shared" ca="1" si="120"/>
        <v>260.23605842073545</v>
      </c>
      <c r="Y287" s="314" t="str">
        <f t="shared" ca="1" si="138"/>
        <v/>
      </c>
      <c r="Z287" s="315" t="str">
        <f t="shared" ca="1" si="139"/>
        <v/>
      </c>
      <c r="AA287" s="316" t="str">
        <f t="shared" ca="1" si="140"/>
        <v/>
      </c>
      <c r="AC287" s="310" t="e">
        <f t="shared" ca="1" si="141"/>
        <v>#N/A</v>
      </c>
      <c r="AD287" s="323" t="e">
        <f t="shared" ca="1" si="142"/>
        <v>#N/A</v>
      </c>
      <c r="AE287" s="324">
        <f t="shared" ca="1" si="121"/>
        <v>436.23267493371935</v>
      </c>
      <c r="AG287" s="306">
        <f t="shared" ca="1" si="143"/>
        <v>62.519612481936683</v>
      </c>
      <c r="AH287" s="304">
        <f t="shared" ca="1" si="144"/>
        <v>72.274110843641324</v>
      </c>
    </row>
    <row r="288" spans="1:34" x14ac:dyDescent="0.2">
      <c r="A288" s="347">
        <f t="shared" ca="1" si="122"/>
        <v>0.01</v>
      </c>
      <c r="B288" s="304">
        <f t="shared" ca="1" si="123"/>
        <v>2.8399999999999834</v>
      </c>
      <c r="D288" s="306">
        <f t="shared" ca="1" si="124"/>
        <v>7.6419985491923326</v>
      </c>
      <c r="E288" s="307">
        <f t="shared" ca="1" si="125"/>
        <v>61.701279213105579</v>
      </c>
      <c r="F288" s="304">
        <f t="shared" ca="1" si="126"/>
        <v>62.172727126606503</v>
      </c>
      <c r="G288" s="306">
        <f t="shared" ca="1" si="127"/>
        <v>30.406639104784563</v>
      </c>
      <c r="H288" s="307">
        <f t="shared" ca="1" si="128"/>
        <v>284.43710959961362</v>
      </c>
      <c r="I288" s="304">
        <f t="shared" ca="1" si="129"/>
        <v>286.05774420391282</v>
      </c>
      <c r="J288" s="306">
        <f t="shared" ca="1" si="130"/>
        <v>44.87353526424522</v>
      </c>
      <c r="K288" s="307">
        <f t="shared" ca="1" si="131"/>
        <v>439.07396096575485</v>
      </c>
      <c r="L288" s="304">
        <f t="shared" ca="1" si="116"/>
        <v>441.36105102882453</v>
      </c>
      <c r="M288" s="306">
        <f t="shared" ca="1" si="132"/>
        <v>1.4642996763829206</v>
      </c>
      <c r="N288" s="304">
        <f t="shared" ca="1" si="133"/>
        <v>83.898191399113614</v>
      </c>
      <c r="P288" s="310">
        <f t="shared" ca="1" si="134"/>
        <v>10</v>
      </c>
      <c r="Q288" s="304">
        <f t="shared" ca="1" si="135"/>
        <v>762.8285714285737</v>
      </c>
      <c r="R288" s="306">
        <f t="shared" ca="1" si="136"/>
        <v>0.38212544094962603</v>
      </c>
      <c r="S288" s="307">
        <f t="shared" ca="1" si="137"/>
        <v>6.9883670371480582</v>
      </c>
      <c r="T288" s="304">
        <f t="shared" ca="1" si="117"/>
        <v>68.555880634422451</v>
      </c>
      <c r="U288" s="311">
        <f t="shared" ca="1" si="118"/>
        <v>0</v>
      </c>
      <c r="V288" s="306">
        <f t="shared" ca="1" si="119"/>
        <v>1.1723688873370433</v>
      </c>
      <c r="W288" s="304">
        <f t="shared" ca="1" si="120"/>
        <v>261.29652055955665</v>
      </c>
      <c r="Y288" s="314" t="str">
        <f t="shared" ca="1" si="138"/>
        <v/>
      </c>
      <c r="Z288" s="315" t="str">
        <f t="shared" ca="1" si="139"/>
        <v/>
      </c>
      <c r="AA288" s="316" t="str">
        <f t="shared" ca="1" si="140"/>
        <v/>
      </c>
      <c r="AC288" s="310" t="e">
        <f t="shared" ca="1" si="141"/>
        <v>#N/A</v>
      </c>
      <c r="AD288" s="323" t="e">
        <f t="shared" ca="1" si="142"/>
        <v>#N/A</v>
      </c>
      <c r="AE288" s="324">
        <f t="shared" ca="1" si="121"/>
        <v>439.07396096575485</v>
      </c>
      <c r="AG288" s="306">
        <f t="shared" ca="1" si="143"/>
        <v>62.163987921926847</v>
      </c>
      <c r="AH288" s="304">
        <f t="shared" ca="1" si="144"/>
        <v>71.918448234932072</v>
      </c>
    </row>
    <row r="289" spans="1:34" x14ac:dyDescent="0.2">
      <c r="A289" s="347">
        <f t="shared" ca="1" si="122"/>
        <v>0.01</v>
      </c>
      <c r="B289" s="304">
        <f t="shared" ca="1" si="123"/>
        <v>2.8499999999999832</v>
      </c>
      <c r="D289" s="306">
        <f t="shared" ca="1" si="124"/>
        <v>7.6122041689432347</v>
      </c>
      <c r="E289" s="307">
        <f t="shared" ca="1" si="125"/>
        <v>61.397914299073094</v>
      </c>
      <c r="F289" s="304">
        <f t="shared" ca="1" si="126"/>
        <v>61.868000877561904</v>
      </c>
      <c r="G289" s="306">
        <f t="shared" ca="1" si="127"/>
        <v>30.482761146473997</v>
      </c>
      <c r="H289" s="307">
        <f t="shared" ca="1" si="128"/>
        <v>285.05108874260435</v>
      </c>
      <c r="I289" s="304">
        <f t="shared" ca="1" si="129"/>
        <v>286.6763365198758</v>
      </c>
      <c r="J289" s="306">
        <f t="shared" ca="1" si="130"/>
        <v>45.177982265501512</v>
      </c>
      <c r="K289" s="307">
        <f t="shared" ca="1" si="131"/>
        <v>441.92140195746595</v>
      </c>
      <c r="L289" s="304">
        <f t="shared" ca="1" si="116"/>
        <v>444.22469043225652</v>
      </c>
      <c r="M289" s="306">
        <f t="shared" ca="1" si="132"/>
        <v>1.4642633023151581</v>
      </c>
      <c r="N289" s="304">
        <f t="shared" ca="1" si="133"/>
        <v>83.896107318547109</v>
      </c>
      <c r="P289" s="310">
        <f t="shared" ca="1" si="134"/>
        <v>10</v>
      </c>
      <c r="Q289" s="304">
        <f t="shared" ca="1" si="135"/>
        <v>761.48571428571654</v>
      </c>
      <c r="R289" s="306">
        <f t="shared" ca="1" si="136"/>
        <v>0.38145276048501564</v>
      </c>
      <c r="S289" s="307">
        <f t="shared" ca="1" si="137"/>
        <v>6.9845525095432084</v>
      </c>
      <c r="T289" s="304">
        <f t="shared" ca="1" si="117"/>
        <v>68.518460118618876</v>
      </c>
      <c r="U289" s="311">
        <f t="shared" ca="1" si="118"/>
        <v>0</v>
      </c>
      <c r="V289" s="306">
        <f t="shared" ca="1" si="119"/>
        <v>1.1720349477670866</v>
      </c>
      <c r="W289" s="304">
        <f t="shared" ca="1" si="120"/>
        <v>262.35308571000365</v>
      </c>
      <c r="Y289" s="314" t="str">
        <f t="shared" ca="1" si="138"/>
        <v/>
      </c>
      <c r="Z289" s="315" t="str">
        <f t="shared" ca="1" si="139"/>
        <v/>
      </c>
      <c r="AA289" s="316" t="str">
        <f t="shared" ca="1" si="140"/>
        <v/>
      </c>
      <c r="AC289" s="310" t="e">
        <f t="shared" ca="1" si="141"/>
        <v>#N/A</v>
      </c>
      <c r="AD289" s="323" t="e">
        <f t="shared" ca="1" si="142"/>
        <v>#N/A</v>
      </c>
      <c r="AE289" s="324">
        <f t="shared" ca="1" si="121"/>
        <v>441.92140195746595</v>
      </c>
      <c r="AG289" s="306">
        <f t="shared" ca="1" si="143"/>
        <v>61.859212631615549</v>
      </c>
      <c r="AH289" s="304">
        <f t="shared" ca="1" si="144"/>
        <v>71.613634952666771</v>
      </c>
    </row>
    <row r="290" spans="1:34" x14ac:dyDescent="0.2">
      <c r="A290" s="347">
        <f t="shared" ca="1" si="122"/>
        <v>0.01</v>
      </c>
      <c r="B290" s="304">
        <f t="shared" ca="1" si="123"/>
        <v>2.859999999999983</v>
      </c>
      <c r="D290" s="306">
        <f t="shared" ca="1" si="124"/>
        <v>7.5823996248350669</v>
      </c>
      <c r="E290" s="307">
        <f t="shared" ca="1" si="125"/>
        <v>61.094707679040482</v>
      </c>
      <c r="F290" s="304">
        <f t="shared" ca="1" si="126"/>
        <v>61.563431438298721</v>
      </c>
      <c r="G290" s="306">
        <f t="shared" ca="1" si="127"/>
        <v>30.558585142722347</v>
      </c>
      <c r="H290" s="307">
        <f t="shared" ca="1" si="128"/>
        <v>285.66203581939476</v>
      </c>
      <c r="I290" s="304">
        <f t="shared" ca="1" si="129"/>
        <v>287.29188264621433</v>
      </c>
      <c r="J290" s="306">
        <f t="shared" ca="1" si="130"/>
        <v>45.483188996947497</v>
      </c>
      <c r="K290" s="307">
        <f t="shared" ca="1" si="131"/>
        <v>444.77496758027593</v>
      </c>
      <c r="L290" s="304">
        <f t="shared" ca="1" si="116"/>
        <v>447.0945003770093</v>
      </c>
      <c r="M290" s="306">
        <f t="shared" ca="1" si="132"/>
        <v>1.4642269938317172</v>
      </c>
      <c r="N290" s="304">
        <f t="shared" ca="1" si="133"/>
        <v>83.894026995685422</v>
      </c>
      <c r="P290" s="310">
        <f t="shared" ca="1" si="134"/>
        <v>10</v>
      </c>
      <c r="Q290" s="304">
        <f t="shared" ca="1" si="135"/>
        <v>760.14285714285938</v>
      </c>
      <c r="R290" s="306">
        <f t="shared" ca="1" si="136"/>
        <v>0.38078008002040525</v>
      </c>
      <c r="S290" s="307">
        <f t="shared" ca="1" si="137"/>
        <v>6.9807447087430043</v>
      </c>
      <c r="T290" s="304">
        <f t="shared" ca="1" si="117"/>
        <v>68.48110559276887</v>
      </c>
      <c r="U290" s="311">
        <f t="shared" ca="1" si="118"/>
        <v>0</v>
      </c>
      <c r="V290" s="306">
        <f t="shared" ca="1" si="119"/>
        <v>1.1717003832372996</v>
      </c>
      <c r="W290" s="304">
        <f t="shared" ca="1" si="120"/>
        <v>263.40572240292511</v>
      </c>
      <c r="Y290" s="314" t="str">
        <f t="shared" ca="1" si="138"/>
        <v/>
      </c>
      <c r="Z290" s="315" t="str">
        <f t="shared" ca="1" si="139"/>
        <v/>
      </c>
      <c r="AA290" s="316" t="str">
        <f t="shared" ca="1" si="140"/>
        <v/>
      </c>
      <c r="AC290" s="310" t="e">
        <f t="shared" ca="1" si="141"/>
        <v>#N/A</v>
      </c>
      <c r="AD290" s="323" t="e">
        <f t="shared" ca="1" si="142"/>
        <v>#N/A</v>
      </c>
      <c r="AE290" s="324">
        <f t="shared" ca="1" si="121"/>
        <v>444.77496758027593</v>
      </c>
      <c r="AG290" s="306">
        <f t="shared" ca="1" si="143"/>
        <v>61.55459369692047</v>
      </c>
      <c r="AH290" s="304">
        <f t="shared" ca="1" si="144"/>
        <v>71.308978082152322</v>
      </c>
    </row>
    <row r="291" spans="1:34" x14ac:dyDescent="0.2">
      <c r="A291" s="347">
        <f t="shared" ca="1" si="122"/>
        <v>0.01</v>
      </c>
      <c r="B291" s="304">
        <f t="shared" ca="1" si="123"/>
        <v>2.8699999999999828</v>
      </c>
      <c r="D291" s="306">
        <f t="shared" ca="1" si="124"/>
        <v>7.5525856406739615</v>
      </c>
      <c r="E291" s="307">
        <f t="shared" ca="1" si="125"/>
        <v>60.791664957288248</v>
      </c>
      <c r="F291" s="304">
        <f t="shared" ca="1" si="126"/>
        <v>61.259024462840593</v>
      </c>
      <c r="G291" s="306">
        <f t="shared" ca="1" si="127"/>
        <v>30.634110999129085</v>
      </c>
      <c r="H291" s="307">
        <f t="shared" ca="1" si="128"/>
        <v>286.26995246896763</v>
      </c>
      <c r="I291" s="304">
        <f t="shared" ca="1" si="129"/>
        <v>287.90438420297102</v>
      </c>
      <c r="J291" s="306">
        <f t="shared" ca="1" si="130"/>
        <v>45.789152477656756</v>
      </c>
      <c r="K291" s="307">
        <f t="shared" ca="1" si="131"/>
        <v>447.63462752171773</v>
      </c>
      <c r="L291" s="304">
        <f t="shared" ca="1" si="116"/>
        <v>449.97045040883415</v>
      </c>
      <c r="M291" s="306">
        <f t="shared" ca="1" si="132"/>
        <v>1.4641907502911586</v>
      </c>
      <c r="N291" s="304">
        <f t="shared" ca="1" si="133"/>
        <v>83.891950393776796</v>
      </c>
      <c r="P291" s="310">
        <f t="shared" ca="1" si="134"/>
        <v>10</v>
      </c>
      <c r="Q291" s="304">
        <f t="shared" ca="1" si="135"/>
        <v>758.80000000000234</v>
      </c>
      <c r="R291" s="306">
        <f t="shared" ca="1" si="136"/>
        <v>0.38010739955579492</v>
      </c>
      <c r="S291" s="307">
        <f t="shared" ca="1" si="137"/>
        <v>6.9769436347474461</v>
      </c>
      <c r="T291" s="304">
        <f t="shared" ca="1" si="117"/>
        <v>68.443817056872447</v>
      </c>
      <c r="U291" s="311">
        <f t="shared" ca="1" si="118"/>
        <v>0</v>
      </c>
      <c r="V291" s="306">
        <f t="shared" ca="1" si="119"/>
        <v>1.1713651978624418</v>
      </c>
      <c r="W291" s="304">
        <f t="shared" ca="1" si="120"/>
        <v>264.45439953791532</v>
      </c>
      <c r="Y291" s="314" t="str">
        <f t="shared" ca="1" si="138"/>
        <v/>
      </c>
      <c r="Z291" s="315" t="str">
        <f t="shared" ca="1" si="139"/>
        <v/>
      </c>
      <c r="AA291" s="316" t="str">
        <f t="shared" ca="1" si="140"/>
        <v/>
      </c>
      <c r="AC291" s="310" t="e">
        <f t="shared" ca="1" si="141"/>
        <v>#N/A</v>
      </c>
      <c r="AD291" s="323" t="e">
        <f t="shared" ca="1" si="142"/>
        <v>#N/A</v>
      </c>
      <c r="AE291" s="324">
        <f t="shared" ca="1" si="121"/>
        <v>447.63462752171773</v>
      </c>
      <c r="AG291" s="306">
        <f t="shared" ca="1" si="143"/>
        <v>61.250136766193215</v>
      </c>
      <c r="AH291" s="304">
        <f t="shared" ca="1" si="144"/>
        <v>71.004483271135058</v>
      </c>
    </row>
    <row r="292" spans="1:34" x14ac:dyDescent="0.2">
      <c r="A292" s="347">
        <f t="shared" ca="1" si="122"/>
        <v>0.01</v>
      </c>
      <c r="B292" s="304">
        <f t="shared" ca="1" si="123"/>
        <v>2.8799999999999826</v>
      </c>
      <c r="D292" s="306">
        <f t="shared" ca="1" si="124"/>
        <v>7.5227629353802445</v>
      </c>
      <c r="E292" s="307">
        <f t="shared" ca="1" si="125"/>
        <v>60.488791696871516</v>
      </c>
      <c r="F292" s="304">
        <f t="shared" ca="1" si="126"/>
        <v>60.95478556380494</v>
      </c>
      <c r="G292" s="306">
        <f t="shared" ca="1" si="127"/>
        <v>30.709338628482886</v>
      </c>
      <c r="H292" s="307">
        <f t="shared" ca="1" si="128"/>
        <v>286.87484038593635</v>
      </c>
      <c r="I292" s="304">
        <f t="shared" ca="1" si="129"/>
        <v>288.51384286625711</v>
      </c>
      <c r="J292" s="306">
        <f t="shared" ca="1" si="130"/>
        <v>46.095869725794813</v>
      </c>
      <c r="K292" s="307">
        <f t="shared" ca="1" si="131"/>
        <v>450.50035148599227</v>
      </c>
      <c r="L292" s="304">
        <f t="shared" ca="1" si="116"/>
        <v>452.852510089963</v>
      </c>
      <c r="M292" s="306">
        <f t="shared" ca="1" si="132"/>
        <v>1.4641545710581767</v>
      </c>
      <c r="N292" s="304">
        <f t="shared" ca="1" si="133"/>
        <v>83.889877476420921</v>
      </c>
      <c r="P292" s="310">
        <f t="shared" ca="1" si="134"/>
        <v>10</v>
      </c>
      <c r="Q292" s="304">
        <f t="shared" ca="1" si="135"/>
        <v>757.45714285714519</v>
      </c>
      <c r="R292" s="306">
        <f t="shared" ca="1" si="136"/>
        <v>0.37943471909118454</v>
      </c>
      <c r="S292" s="307">
        <f t="shared" ca="1" si="137"/>
        <v>6.9731492875565344</v>
      </c>
      <c r="T292" s="304">
        <f t="shared" ca="1" si="117"/>
        <v>68.406594510929608</v>
      </c>
      <c r="U292" s="311">
        <f t="shared" ca="1" si="118"/>
        <v>0</v>
      </c>
      <c r="V292" s="306">
        <f t="shared" ca="1" si="119"/>
        <v>1.1710293957521445</v>
      </c>
      <c r="W292" s="304">
        <f t="shared" ca="1" si="120"/>
        <v>265.49908638292942</v>
      </c>
      <c r="Y292" s="314" t="str">
        <f t="shared" ca="1" si="138"/>
        <v/>
      </c>
      <c r="Z292" s="315" t="str">
        <f t="shared" ca="1" si="139"/>
        <v/>
      </c>
      <c r="AA292" s="316" t="str">
        <f t="shared" ca="1" si="140"/>
        <v/>
      </c>
      <c r="AC292" s="310" t="e">
        <f t="shared" ca="1" si="141"/>
        <v>#N/A</v>
      </c>
      <c r="AD292" s="323" t="e">
        <f t="shared" ca="1" si="142"/>
        <v>#N/A</v>
      </c>
      <c r="AE292" s="324">
        <f t="shared" ca="1" si="121"/>
        <v>450.50035148599227</v>
      </c>
      <c r="AG292" s="306">
        <f t="shared" ca="1" si="143"/>
        <v>60.94584744628628</v>
      </c>
      <c r="AH292" s="304">
        <f t="shared" ca="1" si="144"/>
        <v>70.700156125867665</v>
      </c>
    </row>
    <row r="293" spans="1:34" x14ac:dyDescent="0.2">
      <c r="A293" s="347">
        <f t="shared" ca="1" si="122"/>
        <v>0.01</v>
      </c>
      <c r="B293" s="304">
        <f t="shared" ca="1" si="123"/>
        <v>2.8899999999999824</v>
      </c>
      <c r="D293" s="306">
        <f t="shared" ca="1" si="124"/>
        <v>7.4929322229820139</v>
      </c>
      <c r="E293" s="307">
        <f t="shared" ca="1" si="125"/>
        <v>60.186093419508381</v>
      </c>
      <c r="F293" s="304">
        <f t="shared" ca="1" si="126"/>
        <v>60.650720312293011</v>
      </c>
      <c r="G293" s="306">
        <f t="shared" ca="1" si="127"/>
        <v>30.784267950712707</v>
      </c>
      <c r="H293" s="307">
        <f t="shared" ca="1" si="128"/>
        <v>287.47670132013144</v>
      </c>
      <c r="I293" s="304">
        <f t="shared" ca="1" si="129"/>
        <v>289.12026036783612</v>
      </c>
      <c r="J293" s="306">
        <f t="shared" ca="1" si="130"/>
        <v>46.403337758690789</v>
      </c>
      <c r="K293" s="307">
        <f t="shared" ca="1" si="131"/>
        <v>453.37210919452264</v>
      </c>
      <c r="L293" s="304">
        <f t="shared" ca="1" si="116"/>
        <v>455.74064899966658</v>
      </c>
      <c r="M293" s="306">
        <f t="shared" ca="1" si="132"/>
        <v>1.464118455503516</v>
      </c>
      <c r="N293" s="304">
        <f t="shared" ca="1" si="133"/>
        <v>83.887808207564092</v>
      </c>
      <c r="P293" s="310">
        <f t="shared" ca="1" si="134"/>
        <v>10</v>
      </c>
      <c r="Q293" s="304">
        <f t="shared" ca="1" si="135"/>
        <v>756.11428571428803</v>
      </c>
      <c r="R293" s="306">
        <f t="shared" ca="1" si="136"/>
        <v>0.37876203862657415</v>
      </c>
      <c r="S293" s="307">
        <f t="shared" ca="1" si="137"/>
        <v>6.9693616671702685</v>
      </c>
      <c r="T293" s="304">
        <f t="shared" ca="1" si="117"/>
        <v>68.369437954940338</v>
      </c>
      <c r="U293" s="311">
        <f t="shared" ca="1" si="118"/>
        <v>0</v>
      </c>
      <c r="V293" s="306">
        <f t="shared" ca="1" si="119"/>
        <v>1.1706929810108304</v>
      </c>
      <c r="W293" s="304">
        <f t="shared" ca="1" si="120"/>
        <v>266.5397525738644</v>
      </c>
      <c r="Y293" s="314" t="str">
        <f t="shared" ca="1" si="138"/>
        <v/>
      </c>
      <c r="Z293" s="315" t="str">
        <f t="shared" ca="1" si="139"/>
        <v/>
      </c>
      <c r="AA293" s="316" t="str">
        <f t="shared" ca="1" si="140"/>
        <v/>
      </c>
      <c r="AC293" s="310" t="e">
        <f t="shared" ca="1" si="141"/>
        <v>#N/A</v>
      </c>
      <c r="AD293" s="323" t="e">
        <f t="shared" ca="1" si="142"/>
        <v>#N/A</v>
      </c>
      <c r="AE293" s="324">
        <f t="shared" ca="1" si="121"/>
        <v>453.37210919452264</v>
      </c>
      <c r="AG293" s="306">
        <f t="shared" ca="1" si="143"/>
        <v>60.641731302441357</v>
      </c>
      <c r="AH293" s="304">
        <f t="shared" ca="1" si="144"/>
        <v>70.396002210997381</v>
      </c>
    </row>
    <row r="294" spans="1:34" x14ac:dyDescent="0.2">
      <c r="A294" s="347">
        <f t="shared" ca="1" si="122"/>
        <v>0.01</v>
      </c>
      <c r="B294" s="304">
        <f t="shared" ca="1" si="123"/>
        <v>2.8999999999999821</v>
      </c>
      <c r="D294" s="306">
        <f t="shared" ca="1" si="124"/>
        <v>7.4630942126087998</v>
      </c>
      <c r="E294" s="307">
        <f t="shared" ca="1" si="125"/>
        <v>59.883575605473169</v>
      </c>
      <c r="F294" s="304">
        <f t="shared" ca="1" si="126"/>
        <v>60.346834237784975</v>
      </c>
      <c r="G294" s="306">
        <f t="shared" ca="1" si="127"/>
        <v>30.858898892838795</v>
      </c>
      <c r="H294" s="307">
        <f t="shared" ca="1" si="128"/>
        <v>288.07553707618615</v>
      </c>
      <c r="I294" s="304">
        <f t="shared" ca="1" si="129"/>
        <v>289.72363849470679</v>
      </c>
      <c r="J294" s="306">
        <f t="shared" ca="1" si="130"/>
        <v>46.711553592908544</v>
      </c>
      <c r="K294" s="307">
        <f t="shared" ca="1" si="131"/>
        <v>456.2498703865042</v>
      </c>
      <c r="L294" s="304">
        <f t="shared" ca="1" si="116"/>
        <v>458.63483673480914</v>
      </c>
      <c r="M294" s="306">
        <f t="shared" ca="1" si="132"/>
        <v>1.4640824030038881</v>
      </c>
      <c r="N294" s="304">
        <f t="shared" ca="1" si="133"/>
        <v>83.885742551494516</v>
      </c>
      <c r="P294" s="310">
        <f t="shared" ca="1" si="134"/>
        <v>10</v>
      </c>
      <c r="Q294" s="304">
        <f t="shared" ca="1" si="135"/>
        <v>754.77142857143099</v>
      </c>
      <c r="R294" s="306">
        <f t="shared" ca="1" si="136"/>
        <v>0.37808935816196387</v>
      </c>
      <c r="S294" s="307">
        <f t="shared" ca="1" si="137"/>
        <v>6.9655807735886492</v>
      </c>
      <c r="T294" s="304">
        <f t="shared" ca="1" si="117"/>
        <v>68.332347388904651</v>
      </c>
      <c r="U294" s="311">
        <f t="shared" ca="1" si="118"/>
        <v>0</v>
      </c>
      <c r="V294" s="306">
        <f t="shared" ca="1" si="119"/>
        <v>1.1703559577376332</v>
      </c>
      <c r="W294" s="304">
        <f t="shared" ca="1" si="120"/>
        <v>267.57636811410867</v>
      </c>
      <c r="Y294" s="314" t="str">
        <f t="shared" ca="1" si="138"/>
        <v/>
      </c>
      <c r="Z294" s="315" t="str">
        <f t="shared" ca="1" si="139"/>
        <v/>
      </c>
      <c r="AA294" s="316" t="str">
        <f t="shared" ca="1" si="140"/>
        <v/>
      </c>
      <c r="AC294" s="310" t="e">
        <f t="shared" ca="1" si="141"/>
        <v>#N/A</v>
      </c>
      <c r="AD294" s="323" t="e">
        <f t="shared" ca="1" si="142"/>
        <v>#N/A</v>
      </c>
      <c r="AE294" s="324">
        <f t="shared" ca="1" si="121"/>
        <v>456.2498703865042</v>
      </c>
      <c r="AG294" s="306">
        <f t="shared" ca="1" si="143"/>
        <v>60.337793858182287</v>
      </c>
      <c r="AH294" s="304">
        <f t="shared" ca="1" si="144"/>
        <v>70.09202704945892</v>
      </c>
    </row>
    <row r="295" spans="1:34" x14ac:dyDescent="0.2">
      <c r="A295" s="347">
        <f t="shared" ca="1" si="122"/>
        <v>0.01</v>
      </c>
      <c r="B295" s="304">
        <f t="shared" ca="1" si="123"/>
        <v>2.9099999999999819</v>
      </c>
      <c r="D295" s="306">
        <f t="shared" ca="1" si="124"/>
        <v>7.433249608485764</v>
      </c>
      <c r="E295" s="307">
        <f t="shared" ca="1" si="125"/>
        <v>59.581243693494542</v>
      </c>
      <c r="F295" s="304">
        <f t="shared" ca="1" si="126"/>
        <v>60.043132828039852</v>
      </c>
      <c r="G295" s="306">
        <f t="shared" ca="1" si="127"/>
        <v>30.933231388923652</v>
      </c>
      <c r="H295" s="307">
        <f t="shared" ca="1" si="128"/>
        <v>288.67134951312107</v>
      </c>
      <c r="I295" s="304">
        <f t="shared" ca="1" si="129"/>
        <v>290.32397908868501</v>
      </c>
      <c r="J295" s="306">
        <f t="shared" ca="1" si="130"/>
        <v>47.020514244317354</v>
      </c>
      <c r="K295" s="307">
        <f t="shared" ca="1" si="131"/>
        <v>459.13360481945074</v>
      </c>
      <c r="L295" s="304">
        <f t="shared" ca="1" si="116"/>
        <v>461.53504291039872</v>
      </c>
      <c r="M295" s="306">
        <f t="shared" ca="1" si="132"/>
        <v>1.4640464129418895</v>
      </c>
      <c r="N295" s="304">
        <f t="shared" ca="1" si="133"/>
        <v>83.883680472837582</v>
      </c>
      <c r="P295" s="310">
        <f t="shared" ca="1" si="134"/>
        <v>10</v>
      </c>
      <c r="Q295" s="304">
        <f t="shared" ca="1" si="135"/>
        <v>753.42857142857383</v>
      </c>
      <c r="R295" s="306">
        <f t="shared" ca="1" si="136"/>
        <v>0.37741667769735349</v>
      </c>
      <c r="S295" s="307">
        <f t="shared" ca="1" si="137"/>
        <v>6.9618066068116757</v>
      </c>
      <c r="T295" s="304">
        <f t="shared" ca="1" si="117"/>
        <v>68.295322812822548</v>
      </c>
      <c r="U295" s="311">
        <f t="shared" ca="1" si="118"/>
        <v>0</v>
      </c>
      <c r="V295" s="306">
        <f t="shared" ca="1" si="119"/>
        <v>1.1700183300263181</v>
      </c>
      <c r="W295" s="304">
        <f t="shared" ca="1" si="120"/>
        <v>268.60890337405993</v>
      </c>
      <c r="Y295" s="314" t="str">
        <f t="shared" ca="1" si="138"/>
        <v/>
      </c>
      <c r="Z295" s="315" t="str">
        <f t="shared" ca="1" si="139"/>
        <v/>
      </c>
      <c r="AA295" s="316" t="str">
        <f t="shared" ca="1" si="140"/>
        <v/>
      </c>
      <c r="AC295" s="310" t="e">
        <f t="shared" ca="1" si="141"/>
        <v>#N/A</v>
      </c>
      <c r="AD295" s="323" t="e">
        <f t="shared" ca="1" si="142"/>
        <v>#N/A</v>
      </c>
      <c r="AE295" s="324">
        <f t="shared" ca="1" si="121"/>
        <v>459.13360481945074</v>
      </c>
      <c r="AG295" s="306">
        <f t="shared" ca="1" si="143"/>
        <v>60.034040595213071</v>
      </c>
      <c r="AH295" s="304">
        <f t="shared" ca="1" si="144"/>
        <v>69.788236122372368</v>
      </c>
    </row>
    <row r="296" spans="1:34" x14ac:dyDescent="0.2">
      <c r="A296" s="347">
        <f t="shared" ca="1" si="122"/>
        <v>0.01</v>
      </c>
      <c r="B296" s="304">
        <f t="shared" ca="1" si="123"/>
        <v>2.9199999999999817</v>
      </c>
      <c r="D296" s="306">
        <f t="shared" ca="1" si="124"/>
        <v>7.4033991099281771</v>
      </c>
      <c r="E296" s="307">
        <f t="shared" ca="1" si="125"/>
        <v>59.279103080658473</v>
      </c>
      <c r="F296" s="304">
        <f t="shared" ca="1" si="126"/>
        <v>59.739621529000487</v>
      </c>
      <c r="G296" s="306">
        <f t="shared" ca="1" si="127"/>
        <v>31.007265380022933</v>
      </c>
      <c r="H296" s="307">
        <f t="shared" ca="1" si="128"/>
        <v>289.26414054392768</v>
      </c>
      <c r="I296" s="304">
        <f t="shared" ca="1" si="129"/>
        <v>290.92128404598435</v>
      </c>
      <c r="J296" s="306">
        <f t="shared" ca="1" si="130"/>
        <v>47.330216728162085</v>
      </c>
      <c r="K296" s="307">
        <f t="shared" ca="1" si="131"/>
        <v>462.023282269736</v>
      </c>
      <c r="L296" s="304">
        <f t="shared" ca="1" si="116"/>
        <v>464.44123716013303</v>
      </c>
      <c r="M296" s="306">
        <f t="shared" ca="1" si="132"/>
        <v>1.4640104847059214</v>
      </c>
      <c r="N296" s="304">
        <f t="shared" ca="1" si="133"/>
        <v>83.881621936551255</v>
      </c>
      <c r="P296" s="310">
        <f t="shared" ca="1" si="134"/>
        <v>10</v>
      </c>
      <c r="Q296" s="304">
        <f t="shared" ca="1" si="135"/>
        <v>752.08571428571679</v>
      </c>
      <c r="R296" s="306">
        <f t="shared" ca="1" si="136"/>
        <v>0.37674399723274316</v>
      </c>
      <c r="S296" s="307">
        <f t="shared" ca="1" si="137"/>
        <v>6.958039166839348</v>
      </c>
      <c r="T296" s="304">
        <f t="shared" ca="1" si="117"/>
        <v>68.258364226694013</v>
      </c>
      <c r="U296" s="311">
        <f t="shared" ca="1" si="118"/>
        <v>0</v>
      </c>
      <c r="V296" s="306">
        <f t="shared" ca="1" si="119"/>
        <v>1.1696801019652008</v>
      </c>
      <c r="W296" s="304">
        <f t="shared" ca="1" si="120"/>
        <v>269.63732909060911</v>
      </c>
      <c r="Y296" s="314" t="str">
        <f t="shared" ca="1" si="138"/>
        <v/>
      </c>
      <c r="Z296" s="315" t="str">
        <f t="shared" ca="1" si="139"/>
        <v/>
      </c>
      <c r="AA296" s="316" t="str">
        <f t="shared" ca="1" si="140"/>
        <v/>
      </c>
      <c r="AC296" s="310" t="e">
        <f t="shared" ca="1" si="141"/>
        <v>#N/A</v>
      </c>
      <c r="AD296" s="323" t="e">
        <f t="shared" ca="1" si="142"/>
        <v>#N/A</v>
      </c>
      <c r="AE296" s="324">
        <f t="shared" ca="1" si="121"/>
        <v>462.023282269736</v>
      </c>
      <c r="AG296" s="306">
        <f t="shared" ca="1" si="143"/>
        <v>59.730476953320675</v>
      </c>
      <c r="AH296" s="304">
        <f t="shared" ca="1" si="144"/>
        <v>69.484634868945932</v>
      </c>
    </row>
    <row r="297" spans="1:34" x14ac:dyDescent="0.2">
      <c r="A297" s="347">
        <f t="shared" ca="1" si="122"/>
        <v>0.01</v>
      </c>
      <c r="B297" s="304">
        <f t="shared" ca="1" si="123"/>
        <v>2.9299999999999815</v>
      </c>
      <c r="D297" s="306">
        <f t="shared" ca="1" si="124"/>
        <v>7.3735434113362697</v>
      </c>
      <c r="E297" s="307">
        <f t="shared" ca="1" si="125"/>
        <v>58.977159122316294</v>
      </c>
      <c r="F297" s="304">
        <f t="shared" ca="1" si="126"/>
        <v>59.436305744703517</v>
      </c>
      <c r="G297" s="306">
        <f t="shared" ca="1" si="127"/>
        <v>31.081000814136296</v>
      </c>
      <c r="H297" s="307">
        <f t="shared" ca="1" si="128"/>
        <v>289.85391213515084</v>
      </c>
      <c r="I297" s="304">
        <f t="shared" ca="1" si="129"/>
        <v>291.51555531679622</v>
      </c>
      <c r="J297" s="306">
        <f t="shared" ca="1" si="130"/>
        <v>47.640658059132882</v>
      </c>
      <c r="K297" s="307">
        <f t="shared" ca="1" si="131"/>
        <v>464.91887253313138</v>
      </c>
      <c r="L297" s="304">
        <f t="shared" ca="1" si="116"/>
        <v>467.3533891369413</v>
      </c>
      <c r="M297" s="306">
        <f t="shared" ca="1" si="132"/>
        <v>1.4639746176901112</v>
      </c>
      <c r="N297" s="304">
        <f t="shared" ca="1" si="133"/>
        <v>83.8795669079216</v>
      </c>
      <c r="P297" s="310">
        <f t="shared" ca="1" si="134"/>
        <v>10</v>
      </c>
      <c r="Q297" s="304">
        <f t="shared" ca="1" si="135"/>
        <v>750.74285714285963</v>
      </c>
      <c r="R297" s="306">
        <f t="shared" ca="1" si="136"/>
        <v>0.37607131676813277</v>
      </c>
      <c r="S297" s="307">
        <f t="shared" ca="1" si="137"/>
        <v>6.9542784536716669</v>
      </c>
      <c r="T297" s="304">
        <f t="shared" ca="1" si="117"/>
        <v>68.221471630519062</v>
      </c>
      <c r="U297" s="311">
        <f t="shared" ca="1" si="118"/>
        <v>0</v>
      </c>
      <c r="V297" s="306">
        <f t="shared" ca="1" si="119"/>
        <v>1.1693412776370722</v>
      </c>
      <c r="W297" s="304">
        <f t="shared" ca="1" si="120"/>
        <v>270.66161636659592</v>
      </c>
      <c r="Y297" s="314" t="str">
        <f t="shared" ca="1" si="138"/>
        <v/>
      </c>
      <c r="Z297" s="315" t="str">
        <f t="shared" ca="1" si="139"/>
        <v/>
      </c>
      <c r="AA297" s="316" t="str">
        <f t="shared" ca="1" si="140"/>
        <v/>
      </c>
      <c r="AC297" s="310" t="e">
        <f t="shared" ca="1" si="141"/>
        <v>#N/A</v>
      </c>
      <c r="AD297" s="323" t="e">
        <f t="shared" ca="1" si="142"/>
        <v>#N/A</v>
      </c>
      <c r="AE297" s="324">
        <f t="shared" ca="1" si="121"/>
        <v>464.91887253313138</v>
      </c>
      <c r="AG297" s="306">
        <f t="shared" ca="1" si="143"/>
        <v>59.427108330282877</v>
      </c>
      <c r="AH297" s="304">
        <f t="shared" ca="1" si="144"/>
        <v>69.181228686383719</v>
      </c>
    </row>
    <row r="298" spans="1:34" x14ac:dyDescent="0.2">
      <c r="A298" s="347">
        <f t="shared" ca="1" si="122"/>
        <v>0.01</v>
      </c>
      <c r="B298" s="304">
        <f t="shared" ca="1" si="123"/>
        <v>2.9399999999999813</v>
      </c>
      <c r="D298" s="306">
        <f t="shared" ca="1" si="124"/>
        <v>7.3436832021903724</v>
      </c>
      <c r="E298" s="307">
        <f t="shared" ca="1" si="125"/>
        <v>58.675417131997222</v>
      </c>
      <c r="F298" s="304">
        <f t="shared" ca="1" si="126"/>
        <v>59.133190837194014</v>
      </c>
      <c r="G298" s="306">
        <f t="shared" ca="1" si="127"/>
        <v>31.1544376461582</v>
      </c>
      <c r="H298" s="307">
        <f t="shared" ca="1" si="128"/>
        <v>290.4406663064708</v>
      </c>
      <c r="I298" s="304">
        <f t="shared" ca="1" si="129"/>
        <v>292.10679490486882</v>
      </c>
      <c r="J298" s="306">
        <f t="shared" ca="1" si="130"/>
        <v>47.951835251434353</v>
      </c>
      <c r="K298" s="307">
        <f t="shared" ca="1" si="131"/>
        <v>467.8203454253395</v>
      </c>
      <c r="L298" s="304">
        <f t="shared" ca="1" si="116"/>
        <v>470.27146851352217</v>
      </c>
      <c r="M298" s="306">
        <f t="shared" ca="1" si="132"/>
        <v>1.4639388112942346</v>
      </c>
      <c r="N298" s="304">
        <f t="shared" ca="1" si="133"/>
        <v>83.877515352558291</v>
      </c>
      <c r="P298" s="310">
        <f t="shared" ca="1" si="134"/>
        <v>10</v>
      </c>
      <c r="Q298" s="304">
        <f t="shared" ca="1" si="135"/>
        <v>749.40000000000248</v>
      </c>
      <c r="R298" s="306">
        <f t="shared" ca="1" si="136"/>
        <v>0.37539863630352238</v>
      </c>
      <c r="S298" s="307">
        <f t="shared" ca="1" si="137"/>
        <v>6.9505244673086315</v>
      </c>
      <c r="T298" s="304">
        <f t="shared" ca="1" si="117"/>
        <v>68.18464502429768</v>
      </c>
      <c r="U298" s="311">
        <f t="shared" ca="1" si="118"/>
        <v>0</v>
      </c>
      <c r="V298" s="306">
        <f t="shared" ca="1" si="119"/>
        <v>1.1690018611191177</v>
      </c>
      <c r="W298" s="304">
        <f t="shared" ca="1" si="120"/>
        <v>271.68173667023063</v>
      </c>
      <c r="Y298" s="314" t="str">
        <f t="shared" ca="1" si="138"/>
        <v/>
      </c>
      <c r="Z298" s="315" t="str">
        <f t="shared" ca="1" si="139"/>
        <v/>
      </c>
      <c r="AA298" s="316" t="str">
        <f t="shared" ca="1" si="140"/>
        <v/>
      </c>
      <c r="AC298" s="310" t="e">
        <f t="shared" ca="1" si="141"/>
        <v>#N/A</v>
      </c>
      <c r="AD298" s="323" t="e">
        <f t="shared" ca="1" si="142"/>
        <v>#N/A</v>
      </c>
      <c r="AE298" s="324">
        <f t="shared" ca="1" si="121"/>
        <v>467.8203454253395</v>
      </c>
      <c r="AG298" s="306">
        <f t="shared" ca="1" si="143"/>
        <v>59.123940081780688</v>
      </c>
      <c r="AH298" s="304">
        <f t="shared" ca="1" si="144"/>
        <v>68.878022929798092</v>
      </c>
    </row>
    <row r="299" spans="1:34" x14ac:dyDescent="0.2">
      <c r="A299" s="347">
        <f t="shared" ca="1" si="122"/>
        <v>0.01</v>
      </c>
      <c r="B299" s="304">
        <f t="shared" ca="1" si="123"/>
        <v>2.9499999999999811</v>
      </c>
      <c r="D299" s="306">
        <f t="shared" ca="1" si="124"/>
        <v>7.3138191670464332</v>
      </c>
      <c r="E299" s="307">
        <f t="shared" ca="1" si="125"/>
        <v>58.373882381325956</v>
      </c>
      <c r="F299" s="304">
        <f t="shared" ca="1" si="126"/>
        <v>58.830282126445155</v>
      </c>
      <c r="G299" s="306">
        <f t="shared" ca="1" si="127"/>
        <v>31.227575837828663</v>
      </c>
      <c r="H299" s="307">
        <f t="shared" ca="1" si="128"/>
        <v>291.02440513028404</v>
      </c>
      <c r="I299" s="304">
        <f t="shared" ca="1" si="129"/>
        <v>292.69500486708517</v>
      </c>
      <c r="J299" s="306">
        <f t="shared" ca="1" si="130"/>
        <v>48.263745318854291</v>
      </c>
      <c r="K299" s="307">
        <f t="shared" ca="1" si="131"/>
        <v>470.72767078252326</v>
      </c>
      <c r="L299" s="304">
        <f t="shared" ca="1" si="116"/>
        <v>473.19544498287684</v>
      </c>
      <c r="M299" s="306">
        <f t="shared" ca="1" si="132"/>
        <v>1.4639030649236391</v>
      </c>
      <c r="N299" s="304">
        <f t="shared" ca="1" si="133"/>
        <v>83.875467236390264</v>
      </c>
      <c r="P299" s="310">
        <f t="shared" ca="1" si="134"/>
        <v>10</v>
      </c>
      <c r="Q299" s="304">
        <f t="shared" ca="1" si="135"/>
        <v>748.05714285714544</v>
      </c>
      <c r="R299" s="306">
        <f t="shared" ca="1" si="136"/>
        <v>0.37472595583891205</v>
      </c>
      <c r="S299" s="307">
        <f t="shared" ca="1" si="137"/>
        <v>6.9467772077502428</v>
      </c>
      <c r="T299" s="304">
        <f t="shared" ca="1" si="117"/>
        <v>68.147884408029881</v>
      </c>
      <c r="U299" s="311">
        <f t="shared" ca="1" si="118"/>
        <v>0</v>
      </c>
      <c r="V299" s="306">
        <f t="shared" ca="1" si="119"/>
        <v>1.1686618564828433</v>
      </c>
      <c r="W299" s="304">
        <f t="shared" ca="1" si="120"/>
        <v>272.69766183448684</v>
      </c>
      <c r="Y299" s="314" t="str">
        <f t="shared" ca="1" si="138"/>
        <v/>
      </c>
      <c r="Z299" s="315" t="str">
        <f t="shared" ca="1" si="139"/>
        <v/>
      </c>
      <c r="AA299" s="316" t="str">
        <f t="shared" ca="1" si="140"/>
        <v/>
      </c>
      <c r="AC299" s="310" t="e">
        <f t="shared" ca="1" si="141"/>
        <v>#N/A</v>
      </c>
      <c r="AD299" s="323" t="e">
        <f t="shared" ca="1" si="142"/>
        <v>#N/A</v>
      </c>
      <c r="AE299" s="324">
        <f t="shared" ca="1" si="121"/>
        <v>470.72767078252326</v>
      </c>
      <c r="AG299" s="306">
        <f t="shared" ca="1" si="143"/>
        <v>58.820977521315804</v>
      </c>
      <c r="AH299" s="304">
        <f t="shared" ca="1" si="144"/>
        <v>68.575022912127039</v>
      </c>
    </row>
    <row r="300" spans="1:34" x14ac:dyDescent="0.2">
      <c r="A300" s="347">
        <f t="shared" ca="1" si="122"/>
        <v>0.01</v>
      </c>
      <c r="B300" s="304">
        <f t="shared" ca="1" si="123"/>
        <v>2.9599999999999809</v>
      </c>
      <c r="D300" s="306">
        <f t="shared" ca="1" si="124"/>
        <v>7.2839519855319592</v>
      </c>
      <c r="E300" s="307">
        <f t="shared" ca="1" si="125"/>
        <v>58.072560099944823</v>
      </c>
      <c r="F300" s="304">
        <f t="shared" ca="1" si="126"/>
        <v>58.527584890282618</v>
      </c>
      <c r="G300" s="306">
        <f t="shared" ca="1" si="127"/>
        <v>31.300415357683981</v>
      </c>
      <c r="H300" s="307">
        <f t="shared" ca="1" si="128"/>
        <v>291.60513073128351</v>
      </c>
      <c r="I300" s="304">
        <f t="shared" ca="1" si="129"/>
        <v>293.2801873130411</v>
      </c>
      <c r="J300" s="306">
        <f t="shared" ca="1" si="130"/>
        <v>48.576385274831857</v>
      </c>
      <c r="K300" s="307">
        <f t="shared" ca="1" si="131"/>
        <v>473.64081846183109</v>
      </c>
      <c r="L300" s="304">
        <f t="shared" ca="1" si="116"/>
        <v>476.12528825883857</v>
      </c>
      <c r="M300" s="306">
        <f t="shared" ca="1" si="132"/>
        <v>1.4638673779891693</v>
      </c>
      <c r="N300" s="304">
        <f t="shared" ca="1" si="133"/>
        <v>83.873422525661383</v>
      </c>
      <c r="P300" s="310">
        <f t="shared" ca="1" si="134"/>
        <v>10</v>
      </c>
      <c r="Q300" s="304">
        <f t="shared" ca="1" si="135"/>
        <v>746.71428571428828</v>
      </c>
      <c r="R300" s="306">
        <f t="shared" ca="1" si="136"/>
        <v>0.37405327537430166</v>
      </c>
      <c r="S300" s="307">
        <f t="shared" ca="1" si="137"/>
        <v>6.9430366749964998</v>
      </c>
      <c r="T300" s="304">
        <f t="shared" ca="1" si="117"/>
        <v>68.111189781715666</v>
      </c>
      <c r="U300" s="311">
        <f t="shared" ca="1" si="118"/>
        <v>0</v>
      </c>
      <c r="V300" s="306">
        <f t="shared" ca="1" si="119"/>
        <v>1.1683212677939974</v>
      </c>
      <c r="W300" s="304">
        <f t="shared" ca="1" si="120"/>
        <v>273.70936405646421</v>
      </c>
      <c r="Y300" s="314" t="str">
        <f t="shared" ca="1" si="138"/>
        <v/>
      </c>
      <c r="Z300" s="315" t="str">
        <f t="shared" ca="1" si="139"/>
        <v/>
      </c>
      <c r="AA300" s="316" t="str">
        <f t="shared" ca="1" si="140"/>
        <v/>
      </c>
      <c r="AC300" s="310" t="e">
        <f t="shared" ca="1" si="141"/>
        <v>#N/A</v>
      </c>
      <c r="AD300" s="323" t="e">
        <f t="shared" ca="1" si="142"/>
        <v>#N/A</v>
      </c>
      <c r="AE300" s="324">
        <f t="shared" ca="1" si="121"/>
        <v>473.64081846183109</v>
      </c>
      <c r="AG300" s="306">
        <f t="shared" ca="1" si="143"/>
        <v>58.518225920132636</v>
      </c>
      <c r="AH300" s="304">
        <f t="shared" ca="1" si="144"/>
        <v>68.272233904056165</v>
      </c>
    </row>
    <row r="301" spans="1:34" x14ac:dyDescent="0.2">
      <c r="A301" s="347">
        <f t="shared" ca="1" si="122"/>
        <v>0.01</v>
      </c>
      <c r="B301" s="304">
        <f t="shared" ca="1" si="123"/>
        <v>2.9699999999999807</v>
      </c>
      <c r="D301" s="306">
        <f t="shared" ca="1" si="124"/>
        <v>7.2540823323421186</v>
      </c>
      <c r="E301" s="307">
        <f t="shared" ca="1" si="125"/>
        <v>57.771455475440646</v>
      </c>
      <c r="F301" s="304">
        <f t="shared" ca="1" si="126"/>
        <v>58.225104364313673</v>
      </c>
      <c r="G301" s="306">
        <f t="shared" ca="1" si="127"/>
        <v>31.372956181007403</v>
      </c>
      <c r="H301" s="307">
        <f t="shared" ca="1" si="128"/>
        <v>292.18284528603789</v>
      </c>
      <c r="I301" s="304">
        <f t="shared" ca="1" si="129"/>
        <v>293.86234440462113</v>
      </c>
      <c r="J301" s="306">
        <f t="shared" ca="1" si="130"/>
        <v>48.889752132525317</v>
      </c>
      <c r="K301" s="307">
        <f t="shared" ca="1" si="131"/>
        <v>476.5597583419177</v>
      </c>
      <c r="L301" s="304">
        <f t="shared" ca="1" si="116"/>
        <v>479.06096807659748</v>
      </c>
      <c r="M301" s="306">
        <f t="shared" ca="1" si="132"/>
        <v>1.4638317499070925</v>
      </c>
      <c r="N301" s="304">
        <f t="shared" ca="1" si="133"/>
        <v>83.871381186926243</v>
      </c>
      <c r="P301" s="310">
        <f t="shared" ca="1" si="134"/>
        <v>10</v>
      </c>
      <c r="Q301" s="304">
        <f t="shared" ca="1" si="135"/>
        <v>745.37142857143112</v>
      </c>
      <c r="R301" s="306">
        <f t="shared" ca="1" si="136"/>
        <v>0.37338059490969128</v>
      </c>
      <c r="S301" s="307">
        <f t="shared" ca="1" si="137"/>
        <v>6.9393028690474026</v>
      </c>
      <c r="T301" s="304">
        <f t="shared" ca="1" si="117"/>
        <v>68.07456114535502</v>
      </c>
      <c r="U301" s="311">
        <f t="shared" ca="1" si="118"/>
        <v>0</v>
      </c>
      <c r="V301" s="306">
        <f t="shared" ca="1" si="119"/>
        <v>1.1679800991124965</v>
      </c>
      <c r="W301" s="304">
        <f t="shared" ca="1" si="120"/>
        <v>274.71681589671897</v>
      </c>
      <c r="Y301" s="314" t="str">
        <f t="shared" ca="1" si="138"/>
        <v/>
      </c>
      <c r="Z301" s="315" t="str">
        <f t="shared" ca="1" si="139"/>
        <v/>
      </c>
      <c r="AA301" s="316" t="str">
        <f t="shared" ca="1" si="140"/>
        <v/>
      </c>
      <c r="AC301" s="310" t="e">
        <f t="shared" ca="1" si="141"/>
        <v>#N/A</v>
      </c>
      <c r="AD301" s="323" t="e">
        <f t="shared" ca="1" si="142"/>
        <v>#N/A</v>
      </c>
      <c r="AE301" s="324">
        <f t="shared" ca="1" si="121"/>
        <v>476.5597583419177</v>
      </c>
      <c r="AG301" s="306">
        <f t="shared" ca="1" si="143"/>
        <v>58.215690507145084</v>
      </c>
      <c r="AH301" s="304">
        <f t="shared" ca="1" si="144"/>
        <v>67.96966113394538</v>
      </c>
    </row>
    <row r="302" spans="1:34" x14ac:dyDescent="0.2">
      <c r="A302" s="347">
        <f t="shared" ca="1" si="122"/>
        <v>0.01</v>
      </c>
      <c r="B302" s="304">
        <f t="shared" ca="1" si="123"/>
        <v>2.9799999999999804</v>
      </c>
      <c r="D302" s="306">
        <f t="shared" ca="1" si="124"/>
        <v>7.2242108772364384</v>
      </c>
      <c r="E302" s="307">
        <f t="shared" ca="1" si="125"/>
        <v>57.47057365327656</v>
      </c>
      <c r="F302" s="304">
        <f t="shared" ca="1" si="126"/>
        <v>57.922845741861366</v>
      </c>
      <c r="G302" s="306">
        <f t="shared" ca="1" si="127"/>
        <v>31.445198289779768</v>
      </c>
      <c r="H302" s="307">
        <f t="shared" ca="1" si="128"/>
        <v>292.75755102257068</v>
      </c>
      <c r="I302" s="304">
        <f t="shared" ca="1" si="129"/>
        <v>294.44147835557516</v>
      </c>
      <c r="J302" s="306">
        <f t="shared" ca="1" si="130"/>
        <v>49.203842904879252</v>
      </c>
      <c r="K302" s="307">
        <f t="shared" ca="1" si="131"/>
        <v>479.48446032346072</v>
      </c>
      <c r="L302" s="304">
        <f t="shared" ca="1" si="116"/>
        <v>482.00245419322135</v>
      </c>
      <c r="M302" s="306">
        <f t="shared" ca="1" si="132"/>
        <v>1.4637961800990267</v>
      </c>
      <c r="N302" s="304">
        <f t="shared" ca="1" si="133"/>
        <v>83.86934318704597</v>
      </c>
      <c r="P302" s="310">
        <f t="shared" ca="1" si="134"/>
        <v>10</v>
      </c>
      <c r="Q302" s="304">
        <f t="shared" ca="1" si="135"/>
        <v>744.02857142857408</v>
      </c>
      <c r="R302" s="306">
        <f t="shared" ca="1" si="136"/>
        <v>0.372707914445081</v>
      </c>
      <c r="S302" s="307">
        <f t="shared" ca="1" si="137"/>
        <v>6.935575789902952</v>
      </c>
      <c r="T302" s="304">
        <f t="shared" ca="1" si="117"/>
        <v>68.037998498947957</v>
      </c>
      <c r="U302" s="311">
        <f t="shared" ca="1" si="118"/>
        <v>0</v>
      </c>
      <c r="V302" s="306">
        <f t="shared" ca="1" si="119"/>
        <v>1.1676383544923512</v>
      </c>
      <c r="W302" s="304">
        <f t="shared" ca="1" si="120"/>
        <v>275.71999027856793</v>
      </c>
      <c r="Y302" s="314" t="str">
        <f t="shared" ca="1" si="138"/>
        <v/>
      </c>
      <c r="Z302" s="315" t="str">
        <f t="shared" ca="1" si="139"/>
        <v/>
      </c>
      <c r="AA302" s="316" t="str">
        <f t="shared" ca="1" si="140"/>
        <v/>
      </c>
      <c r="AC302" s="310" t="e">
        <f t="shared" ca="1" si="141"/>
        <v>#N/A</v>
      </c>
      <c r="AD302" s="323" t="e">
        <f t="shared" ca="1" si="142"/>
        <v>#N/A</v>
      </c>
      <c r="AE302" s="324">
        <f t="shared" ca="1" si="121"/>
        <v>479.48446032346072</v>
      </c>
      <c r="AG302" s="306">
        <f t="shared" ca="1" si="143"/>
        <v>57.913376468868265</v>
      </c>
      <c r="AH302" s="304">
        <f t="shared" ca="1" si="144"/>
        <v>67.667309787760544</v>
      </c>
    </row>
    <row r="303" spans="1:34" x14ac:dyDescent="0.2">
      <c r="A303" s="347">
        <f t="shared" ca="1" si="122"/>
        <v>0.01</v>
      </c>
      <c r="B303" s="304">
        <f t="shared" ca="1" si="123"/>
        <v>2.9899999999999802</v>
      </c>
      <c r="D303" s="306">
        <f t="shared" ca="1" si="124"/>
        <v>7.1943382850356139</v>
      </c>
      <c r="E303" s="307">
        <f t="shared" ca="1" si="125"/>
        <v>57.169919736728033</v>
      </c>
      <c r="F303" s="304">
        <f t="shared" ca="1" si="126"/>
        <v>57.620814173902943</v>
      </c>
      <c r="G303" s="306">
        <f t="shared" ca="1" si="127"/>
        <v>31.517141672630125</v>
      </c>
      <c r="H303" s="307">
        <f t="shared" ca="1" si="128"/>
        <v>293.32925021993793</v>
      </c>
      <c r="I303" s="304">
        <f t="shared" ca="1" si="129"/>
        <v>295.01759143109348</v>
      </c>
      <c r="J303" s="306">
        <f t="shared" ca="1" si="130"/>
        <v>49.518654604691299</v>
      </c>
      <c r="K303" s="307">
        <f t="shared" ca="1" si="131"/>
        <v>482.41489432967325</v>
      </c>
      <c r="L303" s="304">
        <f t="shared" ca="1" si="116"/>
        <v>484.94971638817208</v>
      </c>
      <c r="M303" s="306">
        <f t="shared" ca="1" si="132"/>
        <v>1.4637606679918684</v>
      </c>
      <c r="N303" s="304">
        <f t="shared" ca="1" si="133"/>
        <v>83.867308493184197</v>
      </c>
      <c r="P303" s="310">
        <f t="shared" ca="1" si="134"/>
        <v>10</v>
      </c>
      <c r="Q303" s="304">
        <f t="shared" ca="1" si="135"/>
        <v>742.68571428571693</v>
      </c>
      <c r="R303" s="306">
        <f t="shared" ca="1" si="136"/>
        <v>0.37203523398047061</v>
      </c>
      <c r="S303" s="307">
        <f t="shared" ca="1" si="137"/>
        <v>6.9318554375631471</v>
      </c>
      <c r="T303" s="304">
        <f t="shared" ca="1" si="117"/>
        <v>68.001501842494477</v>
      </c>
      <c r="U303" s="311">
        <f t="shared" ca="1" si="118"/>
        <v>0</v>
      </c>
      <c r="V303" s="306">
        <f t="shared" ca="1" si="119"/>
        <v>1.1672960379815907</v>
      </c>
      <c r="W303" s="304">
        <f t="shared" ca="1" si="120"/>
        <v>276.71886048736076</v>
      </c>
      <c r="Y303" s="314" t="str">
        <f t="shared" ca="1" si="138"/>
        <v/>
      </c>
      <c r="Z303" s="315" t="str">
        <f t="shared" ca="1" si="139"/>
        <v/>
      </c>
      <c r="AA303" s="316" t="str">
        <f t="shared" ca="1" si="140"/>
        <v/>
      </c>
      <c r="AC303" s="310" t="e">
        <f t="shared" ca="1" si="141"/>
        <v>#N/A</v>
      </c>
      <c r="AD303" s="323" t="e">
        <f t="shared" ca="1" si="142"/>
        <v>#N/A</v>
      </c>
      <c r="AE303" s="324">
        <f t="shared" ca="1" si="121"/>
        <v>482.41489432967325</v>
      </c>
      <c r="AG303" s="306">
        <f t="shared" ca="1" si="143"/>
        <v>57.611288949354432</v>
      </c>
      <c r="AH303" s="304">
        <f t="shared" ca="1" si="144"/>
        <v>67.365185009009366</v>
      </c>
    </row>
    <row r="304" spans="1:34" x14ac:dyDescent="0.2">
      <c r="A304" s="347">
        <f t="shared" ca="1" si="122"/>
        <v>0.01</v>
      </c>
      <c r="B304" s="304">
        <f t="shared" ca="1" si="123"/>
        <v>2.99999999999998</v>
      </c>
      <c r="D304" s="306">
        <f t="shared" ca="1" si="124"/>
        <v>7.1644652156188444</v>
      </c>
      <c r="E304" s="307">
        <f t="shared" ca="1" si="125"/>
        <v>56.869498786823982</v>
      </c>
      <c r="F304" s="304">
        <f t="shared" ca="1" si="126"/>
        <v>57.319014769013492</v>
      </c>
      <c r="G304" s="306">
        <f t="shared" ca="1" si="127"/>
        <v>31.588786324786312</v>
      </c>
      <c r="H304" s="307">
        <f t="shared" ca="1" si="128"/>
        <v>293.89794520780617</v>
      </c>
      <c r="I304" s="304">
        <f t="shared" ca="1" si="129"/>
        <v>295.59068594738176</v>
      </c>
      <c r="J304" s="306">
        <f t="shared" ca="1" si="130"/>
        <v>49.834184244678383</v>
      </c>
      <c r="K304" s="307">
        <f t="shared" ca="1" si="131"/>
        <v>485.35103030681199</v>
      </c>
      <c r="L304" s="304">
        <f t="shared" ca="1" si="116"/>
        <v>487.90272446381817</v>
      </c>
      <c r="M304" s="306">
        <f t="shared" ca="1" si="132"/>
        <v>1.4637252130177232</v>
      </c>
      <c r="N304" s="304">
        <f t="shared" ca="1" si="133"/>
        <v>83.865277072802925</v>
      </c>
      <c r="P304" s="310">
        <f t="shared" ca="1" si="134"/>
        <v>10</v>
      </c>
      <c r="Q304" s="304">
        <f t="shared" ca="1" si="135"/>
        <v>741.34285714285988</v>
      </c>
      <c r="R304" s="306">
        <f t="shared" ca="1" si="136"/>
        <v>0.37136255351586028</v>
      </c>
      <c r="S304" s="307">
        <f t="shared" ca="1" si="137"/>
        <v>6.928141812027989</v>
      </c>
      <c r="T304" s="304">
        <f t="shared" ca="1" si="117"/>
        <v>67.965071175994581</v>
      </c>
      <c r="U304" s="311">
        <f t="shared" ca="1" si="118"/>
        <v>0</v>
      </c>
      <c r="V304" s="306">
        <f t="shared" ca="1" si="119"/>
        <v>1.1669531536221922</v>
      </c>
      <c r="W304" s="304">
        <f t="shared" ca="1" si="120"/>
        <v>277.71340016972556</v>
      </c>
      <c r="Y304" s="314" t="str">
        <f t="shared" ca="1" si="138"/>
        <v/>
      </c>
      <c r="Z304" s="315" t="str">
        <f t="shared" ca="1" si="139"/>
        <v/>
      </c>
      <c r="AA304" s="316" t="str">
        <f t="shared" ca="1" si="140"/>
        <v/>
      </c>
      <c r="AC304" s="310">
        <f t="shared" ca="1" si="141"/>
        <v>2.99999999999998</v>
      </c>
      <c r="AD304" s="323">
        <f t="shared" ca="1" si="142"/>
        <v>49.834184244678383</v>
      </c>
      <c r="AE304" s="324">
        <f t="shared" ca="1" si="121"/>
        <v>485.35103030681199</v>
      </c>
      <c r="AG304" s="306">
        <f t="shared" ca="1" si="143"/>
        <v>57.309433050134004</v>
      </c>
      <c r="AH304" s="304">
        <f t="shared" ca="1" si="144"/>
        <v>67.063291898682351</v>
      </c>
    </row>
    <row r="305" spans="1:34" x14ac:dyDescent="0.2">
      <c r="A305" s="347">
        <f t="shared" ca="1" si="122"/>
        <v>0.01</v>
      </c>
      <c r="B305" s="304">
        <f t="shared" ca="1" si="123"/>
        <v>3.0099999999999798</v>
      </c>
      <c r="D305" s="306">
        <f t="shared" ca="1" si="124"/>
        <v>7.1345923239214049</v>
      </c>
      <c r="E305" s="307">
        <f t="shared" ca="1" si="125"/>
        <v>56.569315822291941</v>
      </c>
      <c r="F305" s="304">
        <f t="shared" ca="1" si="126"/>
        <v>57.017452593313635</v>
      </c>
      <c r="G305" s="306">
        <f t="shared" ca="1" si="127"/>
        <v>31.660132248025526</v>
      </c>
      <c r="H305" s="307">
        <f t="shared" ca="1" si="128"/>
        <v>294.4636383660291</v>
      </c>
      <c r="I305" s="304">
        <f t="shared" ca="1" si="129"/>
        <v>296.160764271235</v>
      </c>
      <c r="J305" s="306">
        <f t="shared" ca="1" si="130"/>
        <v>50.150428837542442</v>
      </c>
      <c r="K305" s="307">
        <f t="shared" ca="1" si="131"/>
        <v>488.29283822468119</v>
      </c>
      <c r="L305" s="304">
        <f t="shared" ca="1" si="116"/>
        <v>490.86144824594248</v>
      </c>
      <c r="M305" s="306">
        <f t="shared" ca="1" si="132"/>
        <v>1.4636898146138353</v>
      </c>
      <c r="N305" s="304">
        <f t="shared" ca="1" si="133"/>
        <v>83.86324889365865</v>
      </c>
      <c r="P305" s="310">
        <f t="shared" ca="1" si="134"/>
        <v>10</v>
      </c>
      <c r="Q305" s="304">
        <f t="shared" ca="1" si="135"/>
        <v>740.00000000000273</v>
      </c>
      <c r="R305" s="306">
        <f t="shared" ca="1" si="136"/>
        <v>0.3706898730512499</v>
      </c>
      <c r="S305" s="307">
        <f t="shared" ca="1" si="137"/>
        <v>6.9244349132974765</v>
      </c>
      <c r="T305" s="304">
        <f t="shared" ca="1" si="117"/>
        <v>67.928706499448253</v>
      </c>
      <c r="U305" s="311">
        <f t="shared" ca="1" si="118"/>
        <v>0</v>
      </c>
      <c r="V305" s="306">
        <f t="shared" ca="1" si="119"/>
        <v>1.1666097054500062</v>
      </c>
      <c r="W305" s="304">
        <f t="shared" ca="1" si="120"/>
        <v>278.70358333278381</v>
      </c>
      <c r="Y305" s="314" t="str">
        <f t="shared" ca="1" si="138"/>
        <v/>
      </c>
      <c r="Z305" s="315" t="str">
        <f t="shared" ca="1" si="139"/>
        <v/>
      </c>
      <c r="AA305" s="316" t="str">
        <f t="shared" ca="1" si="140"/>
        <v/>
      </c>
      <c r="AC305" s="310" t="e">
        <f t="shared" ca="1" si="141"/>
        <v>#N/A</v>
      </c>
      <c r="AD305" s="323" t="e">
        <f t="shared" ca="1" si="142"/>
        <v>#N/A</v>
      </c>
      <c r="AE305" s="324">
        <f t="shared" ca="1" si="121"/>
        <v>488.29283822468119</v>
      </c>
      <c r="AG305" s="306">
        <f t="shared" ca="1" si="143"/>
        <v>57.007813830160757</v>
      </c>
      <c r="AH305" s="304">
        <f t="shared" ca="1" si="144"/>
        <v>66.761635515197909</v>
      </c>
    </row>
    <row r="306" spans="1:34" x14ac:dyDescent="0.2">
      <c r="A306" s="347">
        <f t="shared" ca="1" si="122"/>
        <v>0.01</v>
      </c>
      <c r="B306" s="304">
        <f t="shared" ca="1" si="123"/>
        <v>3.0199999999999796</v>
      </c>
      <c r="D306" s="306">
        <f t="shared" ca="1" si="124"/>
        <v>7.1047202599326722</v>
      </c>
      <c r="E306" s="307">
        <f t="shared" ca="1" si="125"/>
        <v>56.269375819508284</v>
      </c>
      <c r="F306" s="304">
        <f t="shared" ca="1" si="126"/>
        <v>56.716132670422454</v>
      </c>
      <c r="G306" s="306">
        <f t="shared" ca="1" si="127"/>
        <v>31.731179450624854</v>
      </c>
      <c r="H306" s="307">
        <f t="shared" ca="1" si="128"/>
        <v>295.02633212422421</v>
      </c>
      <c r="I306" s="304">
        <f t="shared" ca="1" si="129"/>
        <v>296.72782881961172</v>
      </c>
      <c r="J306" s="306">
        <f t="shared" ca="1" si="130"/>
        <v>50.467385396035695</v>
      </c>
      <c r="K306" s="307">
        <f t="shared" ca="1" si="131"/>
        <v>491.24028807713245</v>
      </c>
      <c r="L306" s="304">
        <f t="shared" ca="1" si="116"/>
        <v>493.82585758424608</v>
      </c>
      <c r="M306" s="306">
        <f t="shared" ca="1" si="132"/>
        <v>1.4636544722225211</v>
      </c>
      <c r="N306" s="304">
        <f t="shared" ca="1" si="133"/>
        <v>83.861223923798448</v>
      </c>
      <c r="P306" s="310">
        <f t="shared" ca="1" si="134"/>
        <v>10</v>
      </c>
      <c r="Q306" s="304">
        <f t="shared" ca="1" si="135"/>
        <v>738.65714285714557</v>
      </c>
      <c r="R306" s="306">
        <f t="shared" ca="1" si="136"/>
        <v>0.37001719258663951</v>
      </c>
      <c r="S306" s="307">
        <f t="shared" ca="1" si="137"/>
        <v>6.9207347413716098</v>
      </c>
      <c r="T306" s="304">
        <f t="shared" ca="1" si="117"/>
        <v>67.892407812855495</v>
      </c>
      <c r="U306" s="311">
        <f t="shared" ca="1" si="118"/>
        <v>0</v>
      </c>
      <c r="V306" s="306">
        <f t="shared" ca="1" si="119"/>
        <v>1.1662656974946872</v>
      </c>
      <c r="W306" s="304">
        <f t="shared" ca="1" si="120"/>
        <v>279.68938434333984</v>
      </c>
      <c r="Y306" s="314" t="str">
        <f t="shared" ca="1" si="138"/>
        <v/>
      </c>
      <c r="Z306" s="315" t="str">
        <f t="shared" ca="1" si="139"/>
        <v/>
      </c>
      <c r="AA306" s="316" t="str">
        <f t="shared" ca="1" si="140"/>
        <v/>
      </c>
      <c r="AC306" s="310" t="e">
        <f t="shared" ca="1" si="141"/>
        <v>#N/A</v>
      </c>
      <c r="AD306" s="323" t="e">
        <f t="shared" ca="1" si="142"/>
        <v>#N/A</v>
      </c>
      <c r="AE306" s="324">
        <f t="shared" ca="1" si="121"/>
        <v>491.24028807713245</v>
      </c>
      <c r="AG306" s="306">
        <f t="shared" ca="1" si="143"/>
        <v>56.70643630576194</v>
      </c>
      <c r="AH306" s="304">
        <f t="shared" ca="1" si="144"/>
        <v>66.460220874352459</v>
      </c>
    </row>
    <row r="307" spans="1:34" x14ac:dyDescent="0.2">
      <c r="A307" s="347">
        <f t="shared" ca="1" si="122"/>
        <v>0.01</v>
      </c>
      <c r="B307" s="304">
        <f t="shared" ca="1" si="123"/>
        <v>3.0299999999999794</v>
      </c>
      <c r="D307" s="306">
        <f t="shared" ca="1" si="124"/>
        <v>7.0748496686943456</v>
      </c>
      <c r="E307" s="307">
        <f t="shared" ca="1" si="125"/>
        <v>55.969683712452579</v>
      </c>
      <c r="F307" s="304">
        <f t="shared" ca="1" si="126"/>
        <v>56.415059981414572</v>
      </c>
      <c r="G307" s="306">
        <f t="shared" ca="1" si="127"/>
        <v>31.801927947311796</v>
      </c>
      <c r="H307" s="307">
        <f t="shared" ca="1" si="128"/>
        <v>295.58602896134875</v>
      </c>
      <c r="I307" s="304">
        <f t="shared" ca="1" si="129"/>
        <v>297.29188205920678</v>
      </c>
      <c r="J307" s="306">
        <f t="shared" ca="1" si="130"/>
        <v>50.785050933025381</v>
      </c>
      <c r="K307" s="307">
        <f t="shared" ca="1" si="131"/>
        <v>494.19334988256031</v>
      </c>
      <c r="L307" s="304">
        <f t="shared" ca="1" si="116"/>
        <v>496.7959223528477</v>
      </c>
      <c r="M307" s="306">
        <f t="shared" ca="1" si="132"/>
        <v>1.4636191852911002</v>
      </c>
      <c r="N307" s="304">
        <f t="shared" ca="1" si="133"/>
        <v>83.85920213155606</v>
      </c>
      <c r="P307" s="310">
        <f t="shared" ca="1" si="134"/>
        <v>10</v>
      </c>
      <c r="Q307" s="304">
        <f t="shared" ca="1" si="135"/>
        <v>737.31428571428853</v>
      </c>
      <c r="R307" s="306">
        <f t="shared" ca="1" si="136"/>
        <v>0.36934451212202918</v>
      </c>
      <c r="S307" s="307">
        <f t="shared" ca="1" si="137"/>
        <v>6.9170412962503898</v>
      </c>
      <c r="T307" s="304">
        <f t="shared" ca="1" si="117"/>
        <v>67.85617511621632</v>
      </c>
      <c r="U307" s="311">
        <f t="shared" ca="1" si="118"/>
        <v>0</v>
      </c>
      <c r="V307" s="306">
        <f t="shared" ca="1" si="119"/>
        <v>1.165921133779622</v>
      </c>
      <c r="W307" s="304">
        <f t="shared" ca="1" si="120"/>
        <v>280.67077792703981</v>
      </c>
      <c r="Y307" s="314" t="str">
        <f t="shared" ca="1" si="138"/>
        <v/>
      </c>
      <c r="Z307" s="315" t="str">
        <f t="shared" ca="1" si="139"/>
        <v/>
      </c>
      <c r="AA307" s="316" t="str">
        <f t="shared" ca="1" si="140"/>
        <v/>
      </c>
      <c r="AC307" s="310" t="e">
        <f t="shared" ca="1" si="141"/>
        <v>#N/A</v>
      </c>
      <c r="AD307" s="323" t="e">
        <f t="shared" ca="1" si="142"/>
        <v>#N/A</v>
      </c>
      <c r="AE307" s="324">
        <f t="shared" ca="1" si="121"/>
        <v>494.19334988256031</v>
      </c>
      <c r="AG307" s="306">
        <f t="shared" ca="1" si="143"/>
        <v>56.405305450592593</v>
      </c>
      <c r="AH307" s="304">
        <f t="shared" ca="1" si="144"/>
        <v>66.159052949274624</v>
      </c>
    </row>
    <row r="308" spans="1:34" x14ac:dyDescent="0.2">
      <c r="A308" s="347">
        <f t="shared" ca="1" si="122"/>
        <v>0.01</v>
      </c>
      <c r="B308" s="304">
        <f t="shared" ca="1" si="123"/>
        <v>3.0399999999999792</v>
      </c>
      <c r="D308" s="306">
        <f t="shared" ca="1" si="124"/>
        <v>7.0449811902992394</v>
      </c>
      <c r="E308" s="307">
        <f t="shared" ca="1" si="125"/>
        <v>55.670244392666518</v>
      </c>
      <c r="F308" s="304">
        <f t="shared" ca="1" si="126"/>
        <v>56.11423946478191</v>
      </c>
      <c r="G308" s="306">
        <f t="shared" ca="1" si="127"/>
        <v>31.872377759214789</v>
      </c>
      <c r="H308" s="307">
        <f t="shared" ca="1" si="128"/>
        <v>296.14273140527541</v>
      </c>
      <c r="I308" s="304">
        <f t="shared" ca="1" si="129"/>
        <v>297.8529265060244</v>
      </c>
      <c r="J308" s="306">
        <f t="shared" ca="1" si="130"/>
        <v>51.103422461558011</v>
      </c>
      <c r="K308" s="307">
        <f t="shared" ca="1" si="131"/>
        <v>497.15199368439346</v>
      </c>
      <c r="L308" s="304">
        <f t="shared" ca="1" si="116"/>
        <v>499.771612450779</v>
      </c>
      <c r="M308" s="306">
        <f t="shared" ca="1" si="132"/>
        <v>1.4635839532718318</v>
      </c>
      <c r="N308" s="304">
        <f t="shared" ca="1" si="133"/>
        <v>83.857183485548248</v>
      </c>
      <c r="P308" s="310">
        <f t="shared" ca="1" si="134"/>
        <v>10</v>
      </c>
      <c r="Q308" s="304">
        <f t="shared" ca="1" si="135"/>
        <v>735.97142857143137</v>
      </c>
      <c r="R308" s="306">
        <f t="shared" ca="1" si="136"/>
        <v>0.36867183165741879</v>
      </c>
      <c r="S308" s="307">
        <f t="shared" ca="1" si="137"/>
        <v>6.9133545779338155</v>
      </c>
      <c r="T308" s="304">
        <f t="shared" ca="1" si="117"/>
        <v>67.820008409530729</v>
      </c>
      <c r="U308" s="311">
        <f t="shared" ca="1" si="118"/>
        <v>0</v>
      </c>
      <c r="V308" s="306">
        <f t="shared" ca="1" si="119"/>
        <v>1.1655760183218595</v>
      </c>
      <c r="W308" s="304">
        <f t="shared" ca="1" si="120"/>
        <v>281.64773916750545</v>
      </c>
      <c r="Y308" s="314" t="str">
        <f t="shared" ca="1" si="138"/>
        <v/>
      </c>
      <c r="Z308" s="315" t="str">
        <f t="shared" ca="1" si="139"/>
        <v/>
      </c>
      <c r="AA308" s="316" t="str">
        <f t="shared" ca="1" si="140"/>
        <v/>
      </c>
      <c r="AC308" s="310" t="e">
        <f t="shared" ca="1" si="141"/>
        <v>#N/A</v>
      </c>
      <c r="AD308" s="323" t="e">
        <f t="shared" ca="1" si="142"/>
        <v>#N/A</v>
      </c>
      <c r="AE308" s="324">
        <f t="shared" ca="1" si="121"/>
        <v>497.15199368439346</v>
      </c>
      <c r="AG308" s="306">
        <f t="shared" ca="1" si="143"/>
        <v>56.104426195594506</v>
      </c>
      <c r="AH308" s="304">
        <f t="shared" ca="1" si="144"/>
        <v>65.858136670384212</v>
      </c>
    </row>
    <row r="309" spans="1:34" x14ac:dyDescent="0.2">
      <c r="A309" s="347">
        <f t="shared" ca="1" si="122"/>
        <v>0.01</v>
      </c>
      <c r="B309" s="304">
        <f t="shared" ca="1" si="123"/>
        <v>3.049999999999979</v>
      </c>
      <c r="D309" s="306">
        <f t="shared" ca="1" si="124"/>
        <v>7.0151154598901631</v>
      </c>
      <c r="E309" s="307">
        <f t="shared" ca="1" si="125"/>
        <v>55.371062709217455</v>
      </c>
      <c r="F309" s="304">
        <f t="shared" ca="1" si="126"/>
        <v>55.813676016400159</v>
      </c>
      <c r="G309" s="306">
        <f t="shared" ca="1" si="127"/>
        <v>31.942528913813689</v>
      </c>
      <c r="H309" s="307">
        <f t="shared" ca="1" si="128"/>
        <v>296.6964420323676</v>
      </c>
      <c r="I309" s="304">
        <f t="shared" ca="1" si="129"/>
        <v>298.41096472495093</v>
      </c>
      <c r="J309" s="306">
        <f t="shared" ca="1" si="130"/>
        <v>51.422496994923151</v>
      </c>
      <c r="K309" s="307">
        <f t="shared" ca="1" si="131"/>
        <v>500.11618955158167</v>
      </c>
      <c r="L309" s="304">
        <f t="shared" ca="1" si="116"/>
        <v>502.75289780247556</v>
      </c>
      <c r="M309" s="306">
        <f t="shared" ca="1" si="132"/>
        <v>1.4635487756218479</v>
      </c>
      <c r="N309" s="304">
        <f t="shared" ca="1" si="133"/>
        <v>83.855167954670989</v>
      </c>
      <c r="P309" s="310">
        <f t="shared" ca="1" si="134"/>
        <v>10</v>
      </c>
      <c r="Q309" s="304">
        <f t="shared" ca="1" si="135"/>
        <v>734.62857142857422</v>
      </c>
      <c r="R309" s="306">
        <f t="shared" ca="1" si="136"/>
        <v>0.3679991511928084</v>
      </c>
      <c r="S309" s="307">
        <f t="shared" ca="1" si="137"/>
        <v>6.9096745864218878</v>
      </c>
      <c r="T309" s="304">
        <f t="shared" ca="1" si="117"/>
        <v>67.783907692798721</v>
      </c>
      <c r="U309" s="311">
        <f t="shared" ca="1" si="118"/>
        <v>0</v>
      </c>
      <c r="V309" s="306">
        <f t="shared" ca="1" si="119"/>
        <v>1.1652303551320418</v>
      </c>
      <c r="W309" s="304">
        <f t="shared" ca="1" si="120"/>
        <v>282.62024350544056</v>
      </c>
      <c r="Y309" s="314" t="str">
        <f t="shared" ca="1" si="138"/>
        <v/>
      </c>
      <c r="Z309" s="315" t="str">
        <f t="shared" ca="1" si="139"/>
        <v/>
      </c>
      <c r="AA309" s="316" t="str">
        <f t="shared" ca="1" si="140"/>
        <v/>
      </c>
      <c r="AC309" s="310" t="e">
        <f t="shared" ca="1" si="141"/>
        <v>#N/A</v>
      </c>
      <c r="AD309" s="323" t="e">
        <f t="shared" ca="1" si="142"/>
        <v>#N/A</v>
      </c>
      <c r="AE309" s="324">
        <f t="shared" ca="1" si="121"/>
        <v>500.11618955158167</v>
      </c>
      <c r="AG309" s="306">
        <f t="shared" ca="1" si="143"/>
        <v>55.803803428959725</v>
      </c>
      <c r="AH309" s="304">
        <f t="shared" ca="1" si="144"/>
        <v>65.557476925355573</v>
      </c>
    </row>
    <row r="310" spans="1:34" x14ac:dyDescent="0.2">
      <c r="A310" s="347">
        <f t="shared" ca="1" si="122"/>
        <v>0.01</v>
      </c>
      <c r="B310" s="304">
        <f t="shared" ca="1" si="123"/>
        <v>3.0599999999999787</v>
      </c>
      <c r="D310" s="306">
        <f t="shared" ca="1" si="124"/>
        <v>6.9852531076593625</v>
      </c>
      <c r="E310" s="307">
        <f t="shared" ca="1" si="125"/>
        <v>55.072143468666013</v>
      </c>
      <c r="F310" s="304">
        <f t="shared" ca="1" si="126"/>
        <v>55.513374489499355</v>
      </c>
      <c r="G310" s="306">
        <f t="shared" ca="1" si="127"/>
        <v>32.012381444890281</v>
      </c>
      <c r="H310" s="307">
        <f t="shared" ca="1" si="128"/>
        <v>297.24716346705424</v>
      </c>
      <c r="I310" s="304">
        <f t="shared" ca="1" si="129"/>
        <v>298.96599932932645</v>
      </c>
      <c r="J310" s="306">
        <f t="shared" ca="1" si="130"/>
        <v>51.742271546716673</v>
      </c>
      <c r="K310" s="307">
        <f t="shared" ca="1" si="131"/>
        <v>503.08590757907876</v>
      </c>
      <c r="L310" s="304">
        <f t="shared" ca="1" si="116"/>
        <v>505.73974835826334</v>
      </c>
      <c r="M310" s="306">
        <f t="shared" ca="1" si="132"/>
        <v>1.4635136518030905</v>
      </c>
      <c r="N310" s="304">
        <f t="shared" ca="1" si="133"/>
        <v>83.85315550809581</v>
      </c>
      <c r="P310" s="310">
        <f t="shared" ca="1" si="134"/>
        <v>10</v>
      </c>
      <c r="Q310" s="304">
        <f t="shared" ca="1" si="135"/>
        <v>733.28571428571718</v>
      </c>
      <c r="R310" s="306">
        <f t="shared" ca="1" si="136"/>
        <v>0.36732647072819813</v>
      </c>
      <c r="S310" s="307">
        <f t="shared" ca="1" si="137"/>
        <v>6.9060013217146059</v>
      </c>
      <c r="T310" s="304">
        <f t="shared" ca="1" si="117"/>
        <v>67.747872966020282</v>
      </c>
      <c r="U310" s="311">
        <f t="shared" ca="1" si="118"/>
        <v>0</v>
      </c>
      <c r="V310" s="306">
        <f t="shared" ca="1" si="119"/>
        <v>1.1648841482143368</v>
      </c>
      <c r="W310" s="304">
        <f t="shared" ca="1" si="120"/>
        <v>283.58826673770977</v>
      </c>
      <c r="Y310" s="314" t="str">
        <f t="shared" ca="1" si="138"/>
        <v/>
      </c>
      <c r="Z310" s="315" t="str">
        <f t="shared" ca="1" si="139"/>
        <v/>
      </c>
      <c r="AA310" s="316" t="str">
        <f t="shared" ca="1" si="140"/>
        <v/>
      </c>
      <c r="AC310" s="310" t="e">
        <f t="shared" ca="1" si="141"/>
        <v>#N/A</v>
      </c>
      <c r="AD310" s="323" t="e">
        <f t="shared" ca="1" si="142"/>
        <v>#N/A</v>
      </c>
      <c r="AE310" s="324">
        <f t="shared" ca="1" si="121"/>
        <v>503.08590757907876</v>
      </c>
      <c r="AG310" s="306">
        <f t="shared" ca="1" si="143"/>
        <v>55.503441996098189</v>
      </c>
      <c r="AH310" s="304">
        <f t="shared" ca="1" si="144"/>
        <v>65.257078559085258</v>
      </c>
    </row>
    <row r="311" spans="1:34" x14ac:dyDescent="0.2">
      <c r="A311" s="347">
        <f t="shared" ca="1" si="122"/>
        <v>0.01</v>
      </c>
      <c r="B311" s="304">
        <f t="shared" ca="1" si="123"/>
        <v>3.0699999999999785</v>
      </c>
      <c r="D311" s="306">
        <f t="shared" ca="1" si="124"/>
        <v>6.9553947588482172</v>
      </c>
      <c r="E311" s="307">
        <f t="shared" ca="1" si="125"/>
        <v>54.773491435038224</v>
      </c>
      <c r="F311" s="304">
        <f t="shared" ca="1" si="126"/>
        <v>55.213339694639181</v>
      </c>
      <c r="G311" s="306">
        <f t="shared" ca="1" si="127"/>
        <v>32.081935392478762</v>
      </c>
      <c r="H311" s="307">
        <f t="shared" ca="1" si="128"/>
        <v>297.79489838140461</v>
      </c>
      <c r="I311" s="304">
        <f t="shared" ca="1" si="129"/>
        <v>299.51803298051732</v>
      </c>
      <c r="J311" s="306">
        <f t="shared" ca="1" si="130"/>
        <v>52.06274313090352</v>
      </c>
      <c r="K311" s="307">
        <f t="shared" ca="1" si="131"/>
        <v>506.06111788832106</v>
      </c>
      <c r="L311" s="304">
        <f t="shared" ca="1" si="116"/>
        <v>508.73213409484134</v>
      </c>
      <c r="M311" s="306">
        <f t="shared" ca="1" si="132"/>
        <v>1.4634785812822484</v>
      </c>
      <c r="N311" s="304">
        <f t="shared" ca="1" si="133"/>
        <v>83.851146115266232</v>
      </c>
      <c r="P311" s="310">
        <f t="shared" ca="1" si="134"/>
        <v>10</v>
      </c>
      <c r="Q311" s="304">
        <f t="shared" ca="1" si="135"/>
        <v>731.94285714286002</v>
      </c>
      <c r="R311" s="306">
        <f t="shared" ca="1" si="136"/>
        <v>0.36665379026358774</v>
      </c>
      <c r="S311" s="307">
        <f t="shared" ca="1" si="137"/>
        <v>6.9023347838119697</v>
      </c>
      <c r="T311" s="304">
        <f t="shared" ca="1" si="117"/>
        <v>67.711904229195426</v>
      </c>
      <c r="U311" s="311">
        <f t="shared" ca="1" si="118"/>
        <v>0</v>
      </c>
      <c r="V311" s="306">
        <f t="shared" ca="1" si="119"/>
        <v>1.1645374015663683</v>
      </c>
      <c r="W311" s="304">
        <f t="shared" ca="1" si="120"/>
        <v>284.55178501639256</v>
      </c>
      <c r="Y311" s="314" t="str">
        <f t="shared" ca="1" si="138"/>
        <v/>
      </c>
      <c r="Z311" s="315" t="str">
        <f t="shared" ca="1" si="139"/>
        <v/>
      </c>
      <c r="AA311" s="316" t="str">
        <f t="shared" ca="1" si="140"/>
        <v/>
      </c>
      <c r="AC311" s="310" t="e">
        <f t="shared" ca="1" si="141"/>
        <v>#N/A</v>
      </c>
      <c r="AD311" s="323" t="e">
        <f t="shared" ca="1" si="142"/>
        <v>#N/A</v>
      </c>
      <c r="AE311" s="324">
        <f t="shared" ca="1" si="121"/>
        <v>506.06111788832106</v>
      </c>
      <c r="AG311" s="306">
        <f t="shared" ca="1" si="143"/>
        <v>55.203346699609881</v>
      </c>
      <c r="AH311" s="304">
        <f t="shared" ca="1" si="144"/>
        <v>64.956946373664067</v>
      </c>
    </row>
    <row r="312" spans="1:34" x14ac:dyDescent="0.2">
      <c r="A312" s="347">
        <f t="shared" ca="1" si="122"/>
        <v>0.01</v>
      </c>
      <c r="B312" s="304">
        <f t="shared" ca="1" si="123"/>
        <v>3.0799999999999783</v>
      </c>
      <c r="D312" s="306">
        <f t="shared" ca="1" si="124"/>
        <v>6.9255410337472645</v>
      </c>
      <c r="E312" s="307">
        <f t="shared" ca="1" si="125"/>
        <v>54.475111329802075</v>
      </c>
      <c r="F312" s="304">
        <f t="shared" ca="1" si="126"/>
        <v>54.913576399688694</v>
      </c>
      <c r="G312" s="306">
        <f t="shared" ca="1" si="127"/>
        <v>32.151190802816238</v>
      </c>
      <c r="H312" s="307">
        <f t="shared" ca="1" si="128"/>
        <v>298.33964949470266</v>
      </c>
      <c r="I312" s="304">
        <f t="shared" ca="1" si="129"/>
        <v>300.06706838748755</v>
      </c>
      <c r="J312" s="306">
        <f t="shared" ca="1" si="130"/>
        <v>52.383908761879994</v>
      </c>
      <c r="K312" s="307">
        <f t="shared" ca="1" si="131"/>
        <v>509.04179062770157</v>
      </c>
      <c r="L312" s="304">
        <f t="shared" ca="1" si="116"/>
        <v>511.7300250157594</v>
      </c>
      <c r="M312" s="306">
        <f t="shared" ca="1" si="132"/>
        <v>1.4634435635306957</v>
      </c>
      <c r="N312" s="304">
        <f t="shared" ca="1" si="133"/>
        <v>83.84913974589422</v>
      </c>
      <c r="P312" s="310">
        <f t="shared" ca="1" si="134"/>
        <v>10</v>
      </c>
      <c r="Q312" s="304">
        <f t="shared" ca="1" si="135"/>
        <v>730.60000000000286</v>
      </c>
      <c r="R312" s="306">
        <f t="shared" ca="1" si="136"/>
        <v>0.36598110979897736</v>
      </c>
      <c r="S312" s="307">
        <f t="shared" ca="1" si="137"/>
        <v>6.8986749727139802</v>
      </c>
      <c r="T312" s="304">
        <f t="shared" ca="1" si="117"/>
        <v>67.676001482324153</v>
      </c>
      <c r="U312" s="311">
        <f t="shared" ca="1" si="118"/>
        <v>0</v>
      </c>
      <c r="V312" s="306">
        <f t="shared" ca="1" si="119"/>
        <v>1.1641901191791519</v>
      </c>
      <c r="W312" s="304">
        <f t="shared" ca="1" si="120"/>
        <v>285.51077484781115</v>
      </c>
      <c r="Y312" s="314" t="str">
        <f t="shared" ca="1" si="138"/>
        <v/>
      </c>
      <c r="Z312" s="315" t="str">
        <f t="shared" ca="1" si="139"/>
        <v/>
      </c>
      <c r="AA312" s="316" t="str">
        <f t="shared" ca="1" si="140"/>
        <v/>
      </c>
      <c r="AC312" s="310" t="e">
        <f t="shared" ca="1" si="141"/>
        <v>#N/A</v>
      </c>
      <c r="AD312" s="323" t="e">
        <f t="shared" ca="1" si="142"/>
        <v>#N/A</v>
      </c>
      <c r="AE312" s="324">
        <f t="shared" ca="1" si="121"/>
        <v>509.04179062770157</v>
      </c>
      <c r="AG312" s="306">
        <f t="shared" ca="1" si="143"/>
        <v>54.903522299261425</v>
      </c>
      <c r="AH312" s="304">
        <f t="shared" ca="1" si="144"/>
        <v>64.6570851283536</v>
      </c>
    </row>
    <row r="313" spans="1:34" x14ac:dyDescent="0.2">
      <c r="A313" s="347">
        <f t="shared" ca="1" si="122"/>
        <v>0.01</v>
      </c>
      <c r="B313" s="304">
        <f t="shared" ca="1" si="123"/>
        <v>3.0899999999999781</v>
      </c>
      <c r="D313" s="306">
        <f t="shared" ca="1" si="124"/>
        <v>6.8956925476966218</v>
      </c>
      <c r="E313" s="307">
        <f t="shared" ca="1" si="125"/>
        <v>54.177007831848115</v>
      </c>
      <c r="F313" s="304">
        <f t="shared" ca="1" si="126"/>
        <v>54.614089329810227</v>
      </c>
      <c r="G313" s="306">
        <f t="shared" ca="1" si="127"/>
        <v>32.220147728293206</v>
      </c>
      <c r="H313" s="307">
        <f t="shared" ca="1" si="128"/>
        <v>298.88141957302116</v>
      </c>
      <c r="I313" s="304">
        <f t="shared" ca="1" si="129"/>
        <v>300.61310830637001</v>
      </c>
      <c r="J313" s="306">
        <f t="shared" ca="1" si="130"/>
        <v>52.705765454535538</v>
      </c>
      <c r="K313" s="307">
        <f t="shared" ca="1" si="131"/>
        <v>512.02789597304024</v>
      </c>
      <c r="L313" s="304">
        <f t="shared" ca="1" si="116"/>
        <v>514.73339115189242</v>
      </c>
      <c r="M313" s="306">
        <f t="shared" ca="1" si="132"/>
        <v>1.4634085980244302</v>
      </c>
      <c r="N313" s="304">
        <f t="shared" ca="1" si="133"/>
        <v>83.847136369956672</v>
      </c>
      <c r="P313" s="310">
        <f t="shared" ca="1" si="134"/>
        <v>10</v>
      </c>
      <c r="Q313" s="304">
        <f t="shared" ca="1" si="135"/>
        <v>729.25714285714582</v>
      </c>
      <c r="R313" s="306">
        <f t="shared" ca="1" si="136"/>
        <v>0.36530842933436702</v>
      </c>
      <c r="S313" s="307">
        <f t="shared" ca="1" si="137"/>
        <v>6.8950218884206365</v>
      </c>
      <c r="T313" s="304">
        <f t="shared" ca="1" si="117"/>
        <v>67.64016472540645</v>
      </c>
      <c r="U313" s="311">
        <f t="shared" ca="1" si="118"/>
        <v>0</v>
      </c>
      <c r="V313" s="306">
        <f t="shared" ca="1" si="119"/>
        <v>1.1638423050370255</v>
      </c>
      <c r="W313" s="304">
        <f t="shared" ca="1" si="120"/>
        <v>286.4652130915311</v>
      </c>
      <c r="Y313" s="314" t="str">
        <f t="shared" ca="1" si="138"/>
        <v/>
      </c>
      <c r="Z313" s="315" t="str">
        <f t="shared" ca="1" si="139"/>
        <v/>
      </c>
      <c r="AA313" s="316" t="str">
        <f t="shared" ca="1" si="140"/>
        <v/>
      </c>
      <c r="AC313" s="310" t="e">
        <f t="shared" ca="1" si="141"/>
        <v>#N/A</v>
      </c>
      <c r="AD313" s="323" t="e">
        <f t="shared" ca="1" si="142"/>
        <v>#N/A</v>
      </c>
      <c r="AE313" s="324">
        <f t="shared" ca="1" si="121"/>
        <v>512.02789597304024</v>
      </c>
      <c r="AG313" s="306">
        <f t="shared" ca="1" si="143"/>
        <v>54.603973511966728</v>
      </c>
      <c r="AH313" s="304">
        <f t="shared" ca="1" si="144"/>
        <v>64.357499539566874</v>
      </c>
    </row>
    <row r="314" spans="1:34" x14ac:dyDescent="0.2">
      <c r="A314" s="347">
        <f t="shared" ca="1" si="122"/>
        <v>0.01</v>
      </c>
      <c r="B314" s="304">
        <f t="shared" ca="1" si="123"/>
        <v>3.0999999999999779</v>
      </c>
      <c r="D314" s="306">
        <f t="shared" ca="1" si="124"/>
        <v>6.8658499110867623</v>
      </c>
      <c r="E314" s="307">
        <f t="shared" ca="1" si="125"/>
        <v>53.879185577474551</v>
      </c>
      <c r="F314" s="304">
        <f t="shared" ca="1" si="126"/>
        <v>54.314883167447867</v>
      </c>
      <c r="G314" s="306">
        <f t="shared" ca="1" si="127"/>
        <v>32.288806227404073</v>
      </c>
      <c r="H314" s="307">
        <f t="shared" ca="1" si="128"/>
        <v>299.42021142879588</v>
      </c>
      <c r="I314" s="304">
        <f t="shared" ca="1" si="129"/>
        <v>301.15615554003818</v>
      </c>
      <c r="J314" s="306">
        <f t="shared" ca="1" si="130"/>
        <v>53.028310224314026</v>
      </c>
      <c r="K314" s="307">
        <f t="shared" ca="1" si="131"/>
        <v>515.01940412804936</v>
      </c>
      <c r="L314" s="304">
        <f t="shared" ca="1" si="116"/>
        <v>517.74220256190927</v>
      </c>
      <c r="M314" s="306">
        <f t="shared" ca="1" si="132"/>
        <v>1.463373684244015</v>
      </c>
      <c r="N314" s="304">
        <f t="shared" ca="1" si="133"/>
        <v>83.845135957692037</v>
      </c>
      <c r="P314" s="310">
        <f t="shared" ca="1" si="134"/>
        <v>10</v>
      </c>
      <c r="Q314" s="304">
        <f t="shared" ca="1" si="135"/>
        <v>727.91428571428867</v>
      </c>
      <c r="R314" s="306">
        <f t="shared" ca="1" si="136"/>
        <v>0.36463574886975664</v>
      </c>
      <c r="S314" s="307">
        <f t="shared" ca="1" si="137"/>
        <v>6.8913755309319393</v>
      </c>
      <c r="T314" s="304">
        <f t="shared" ca="1" si="117"/>
        <v>67.60439395844233</v>
      </c>
      <c r="U314" s="311">
        <f t="shared" ca="1" si="118"/>
        <v>0</v>
      </c>
      <c r="V314" s="306">
        <f t="shared" ca="1" si="119"/>
        <v>1.1634939631175871</v>
      </c>
      <c r="W314" s="304">
        <f t="shared" ca="1" si="120"/>
        <v>287.41507695934081</v>
      </c>
      <c r="Y314" s="314" t="str">
        <f t="shared" ca="1" si="138"/>
        <v/>
      </c>
      <c r="Z314" s="315" t="str">
        <f t="shared" ca="1" si="139"/>
        <v/>
      </c>
      <c r="AA314" s="316" t="str">
        <f t="shared" ca="1" si="140"/>
        <v/>
      </c>
      <c r="AC314" s="310" t="e">
        <f t="shared" ca="1" si="141"/>
        <v>#N/A</v>
      </c>
      <c r="AD314" s="323" t="e">
        <f t="shared" ca="1" si="142"/>
        <v>#N/A</v>
      </c>
      <c r="AE314" s="324">
        <f t="shared" ca="1" si="121"/>
        <v>515.01940412804936</v>
      </c>
      <c r="AG314" s="306">
        <f t="shared" ca="1" si="143"/>
        <v>54.304705011772185</v>
      </c>
      <c r="AH314" s="304">
        <f t="shared" ca="1" si="144"/>
        <v>64.058194280853428</v>
      </c>
    </row>
    <row r="315" spans="1:34" x14ac:dyDescent="0.2">
      <c r="A315" s="347">
        <f t="shared" ca="1" si="122"/>
        <v>0.01</v>
      </c>
      <c r="B315" s="304">
        <f t="shared" ca="1" si="123"/>
        <v>3.1099999999999777</v>
      </c>
      <c r="D315" s="306">
        <f t="shared" ca="1" si="124"/>
        <v>6.8360137293594905</v>
      </c>
      <c r="E315" s="307">
        <f t="shared" ca="1" si="125"/>
        <v>53.581649160376223</v>
      </c>
      <c r="F315" s="304">
        <f t="shared" ca="1" si="126"/>
        <v>54.015962552320005</v>
      </c>
      <c r="G315" s="306">
        <f t="shared" ca="1" si="127"/>
        <v>32.357166364697669</v>
      </c>
      <c r="H315" s="307">
        <f t="shared" ca="1" si="128"/>
        <v>299.95602792039966</v>
      </c>
      <c r="I315" s="304">
        <f t="shared" ca="1" si="129"/>
        <v>301.69621293767727</v>
      </c>
      <c r="J315" s="306">
        <f t="shared" ca="1" si="130"/>
        <v>53.351540087274536</v>
      </c>
      <c r="K315" s="307">
        <f t="shared" ca="1" si="131"/>
        <v>518.01628532479538</v>
      </c>
      <c r="L315" s="304">
        <f t="shared" ca="1" si="116"/>
        <v>520.75642933273889</v>
      </c>
      <c r="M315" s="306">
        <f t="shared" ca="1" si="132"/>
        <v>1.4633388216745176</v>
      </c>
      <c r="N315" s="304">
        <f t="shared" ca="1" si="133"/>
        <v>83.843138479596846</v>
      </c>
      <c r="P315" s="310">
        <f t="shared" ca="1" si="134"/>
        <v>10</v>
      </c>
      <c r="Q315" s="304">
        <f t="shared" ca="1" si="135"/>
        <v>726.57142857143162</v>
      </c>
      <c r="R315" s="306">
        <f t="shared" ca="1" si="136"/>
        <v>0.36396306840514631</v>
      </c>
      <c r="S315" s="307">
        <f t="shared" ca="1" si="137"/>
        <v>6.887735900247888</v>
      </c>
      <c r="T315" s="304">
        <f t="shared" ca="1" si="117"/>
        <v>67.568689181431779</v>
      </c>
      <c r="U315" s="311">
        <f t="shared" ca="1" si="118"/>
        <v>0</v>
      </c>
      <c r="V315" s="306">
        <f t="shared" ca="1" si="119"/>
        <v>1.1631450973916284</v>
      </c>
      <c r="W315" s="304">
        <f t="shared" ca="1" si="120"/>
        <v>288.36034401420227</v>
      </c>
      <c r="Y315" s="314" t="str">
        <f t="shared" ca="1" si="138"/>
        <v/>
      </c>
      <c r="Z315" s="315" t="str">
        <f t="shared" ca="1" si="139"/>
        <v/>
      </c>
      <c r="AA315" s="316" t="str">
        <f t="shared" ca="1" si="140"/>
        <v/>
      </c>
      <c r="AC315" s="310" t="e">
        <f t="shared" ca="1" si="141"/>
        <v>#N/A</v>
      </c>
      <c r="AD315" s="323" t="e">
        <f t="shared" ca="1" si="142"/>
        <v>#N/A</v>
      </c>
      <c r="AE315" s="324">
        <f t="shared" ca="1" si="121"/>
        <v>518.01628532479538</v>
      </c>
      <c r="AG315" s="306">
        <f t="shared" ca="1" si="143"/>
        <v>54.005721429845664</v>
      </c>
      <c r="AH315" s="304">
        <f t="shared" ca="1" si="144"/>
        <v>63.759173982888292</v>
      </c>
    </row>
    <row r="316" spans="1:34" x14ac:dyDescent="0.2">
      <c r="A316" s="347">
        <f t="shared" ca="1" si="122"/>
        <v>0.01</v>
      </c>
      <c r="B316" s="304">
        <f t="shared" ca="1" si="123"/>
        <v>3.1199999999999775</v>
      </c>
      <c r="D316" s="306">
        <f t="shared" ca="1" si="124"/>
        <v>6.8061846030095126</v>
      </c>
      <c r="E316" s="307">
        <f t="shared" ca="1" si="125"/>
        <v>53.284403131638072</v>
      </c>
      <c r="F316" s="304">
        <f t="shared" ca="1" si="126"/>
        <v>53.717332081416373</v>
      </c>
      <c r="G316" s="306">
        <f t="shared" ca="1" si="127"/>
        <v>32.425228210727767</v>
      </c>
      <c r="H316" s="307">
        <f t="shared" ca="1" si="128"/>
        <v>300.48887195171602</v>
      </c>
      <c r="I316" s="304">
        <f t="shared" ca="1" si="129"/>
        <v>302.23328339435511</v>
      </c>
      <c r="J316" s="306">
        <f t="shared" ca="1" si="130"/>
        <v>53.675452060151663</v>
      </c>
      <c r="K316" s="307">
        <f t="shared" ca="1" si="131"/>
        <v>521.0185098241559</v>
      </c>
      <c r="L316" s="304">
        <f t="shared" ca="1" si="116"/>
        <v>523.77604158003032</v>
      </c>
      <c r="M316" s="306">
        <f t="shared" ca="1" si="132"/>
        <v>1.4633040098054533</v>
      </c>
      <c r="N316" s="304">
        <f t="shared" ca="1" si="133"/>
        <v>83.841143906422502</v>
      </c>
      <c r="P316" s="310">
        <f t="shared" ca="1" si="134"/>
        <v>10</v>
      </c>
      <c r="Q316" s="304">
        <f t="shared" ca="1" si="135"/>
        <v>725.22857142857447</v>
      </c>
      <c r="R316" s="306">
        <f t="shared" ca="1" si="136"/>
        <v>0.36329038794053592</v>
      </c>
      <c r="S316" s="307">
        <f t="shared" ca="1" si="137"/>
        <v>6.8841029963684823</v>
      </c>
      <c r="T316" s="304">
        <f t="shared" ca="1" si="117"/>
        <v>67.533050394374811</v>
      </c>
      <c r="U316" s="311">
        <f t="shared" ca="1" si="118"/>
        <v>0</v>
      </c>
      <c r="V316" s="306">
        <f t="shared" ca="1" si="119"/>
        <v>1.1627957118230718</v>
      </c>
      <c r="W316" s="304">
        <f t="shared" ca="1" si="120"/>
        <v>289.30099216918001</v>
      </c>
      <c r="Y316" s="314" t="str">
        <f t="shared" ca="1" si="138"/>
        <v/>
      </c>
      <c r="Z316" s="315" t="str">
        <f t="shared" ca="1" si="139"/>
        <v/>
      </c>
      <c r="AA316" s="316" t="str">
        <f t="shared" ca="1" si="140"/>
        <v/>
      </c>
      <c r="AC316" s="310" t="e">
        <f t="shared" ca="1" si="141"/>
        <v>#N/A</v>
      </c>
      <c r="AD316" s="323" t="e">
        <f t="shared" ca="1" si="142"/>
        <v>#N/A</v>
      </c>
      <c r="AE316" s="324">
        <f t="shared" ca="1" si="121"/>
        <v>521.0185098241559</v>
      </c>
      <c r="AG316" s="306">
        <f t="shared" ca="1" si="143"/>
        <v>53.707027354470149</v>
      </c>
      <c r="AH316" s="304">
        <f t="shared" ca="1" si="144"/>
        <v>63.460443233465554</v>
      </c>
    </row>
    <row r="317" spans="1:34" x14ac:dyDescent="0.2">
      <c r="A317" s="347">
        <f t="shared" ca="1" si="122"/>
        <v>0.01</v>
      </c>
      <c r="B317" s="304">
        <f t="shared" ca="1" si="123"/>
        <v>3.1299999999999772</v>
      </c>
      <c r="D317" s="306">
        <f t="shared" ca="1" si="124"/>
        <v>6.7763631275860963</v>
      </c>
      <c r="E317" s="307">
        <f t="shared" ca="1" si="125"/>
        <v>52.987451999732514</v>
      </c>
      <c r="F317" s="304">
        <f t="shared" ca="1" si="126"/>
        <v>53.418996308999155</v>
      </c>
      <c r="G317" s="306">
        <f t="shared" ca="1" si="127"/>
        <v>32.492991842003626</v>
      </c>
      <c r="H317" s="307">
        <f t="shared" ca="1" si="128"/>
        <v>301.01874647171337</v>
      </c>
      <c r="I317" s="304">
        <f t="shared" ca="1" si="129"/>
        <v>302.76736985059364</v>
      </c>
      <c r="J317" s="306">
        <f t="shared" ca="1" si="130"/>
        <v>54.000043160415323</v>
      </c>
      <c r="K317" s="307">
        <f t="shared" ca="1" si="131"/>
        <v>524.026047916273</v>
      </c>
      <c r="L317" s="304">
        <f t="shared" ca="1" si="116"/>
        <v>526.80100944861022</v>
      </c>
      <c r="M317" s="306">
        <f t="shared" ca="1" si="132"/>
        <v>1.4632692481307272</v>
      </c>
      <c r="N317" s="304">
        <f t="shared" ca="1" si="133"/>
        <v>83.8391522091719</v>
      </c>
      <c r="P317" s="310">
        <f t="shared" ca="1" si="134"/>
        <v>10</v>
      </c>
      <c r="Q317" s="304">
        <f t="shared" ca="1" si="135"/>
        <v>723.88571428571731</v>
      </c>
      <c r="R317" s="306">
        <f t="shared" ca="1" si="136"/>
        <v>0.36261770747592553</v>
      </c>
      <c r="S317" s="307">
        <f t="shared" ca="1" si="137"/>
        <v>6.8804768192937233</v>
      </c>
      <c r="T317" s="304">
        <f t="shared" ca="1" si="117"/>
        <v>67.497477597271427</v>
      </c>
      <c r="U317" s="311">
        <f t="shared" ca="1" si="118"/>
        <v>0</v>
      </c>
      <c r="V317" s="306">
        <f t="shared" ca="1" si="119"/>
        <v>1.1624458103689062</v>
      </c>
      <c r="W317" s="304">
        <f t="shared" ca="1" si="120"/>
        <v>290.23699968634514</v>
      </c>
      <c r="Y317" s="314" t="str">
        <f t="shared" ca="1" si="138"/>
        <v/>
      </c>
      <c r="Z317" s="315" t="str">
        <f t="shared" ca="1" si="139"/>
        <v/>
      </c>
      <c r="AA317" s="316" t="str">
        <f t="shared" ca="1" si="140"/>
        <v/>
      </c>
      <c r="AC317" s="310" t="e">
        <f t="shared" ca="1" si="141"/>
        <v>#N/A</v>
      </c>
      <c r="AD317" s="323" t="e">
        <f t="shared" ca="1" si="142"/>
        <v>#N/A</v>
      </c>
      <c r="AE317" s="324">
        <f t="shared" ca="1" si="121"/>
        <v>524.026047916273</v>
      </c>
      <c r="AG317" s="306">
        <f t="shared" ca="1" si="143"/>
        <v>53.408627331041167</v>
      </c>
      <c r="AH317" s="304">
        <f t="shared" ca="1" si="144"/>
        <v>63.162006577495767</v>
      </c>
    </row>
    <row r="318" spans="1:34" x14ac:dyDescent="0.2">
      <c r="A318" s="347">
        <f t="shared" ca="1" si="122"/>
        <v>0.01</v>
      </c>
      <c r="B318" s="304">
        <f t="shared" ca="1" si="123"/>
        <v>3.139999999999977</v>
      </c>
      <c r="D318" s="306">
        <f t="shared" ca="1" si="124"/>
        <v>6.7465498936952599</v>
      </c>
      <c r="E318" s="307">
        <f t="shared" ca="1" si="125"/>
        <v>52.690800230521063</v>
      </c>
      <c r="F318" s="304">
        <f t="shared" ca="1" si="126"/>
        <v>53.120959746608477</v>
      </c>
      <c r="G318" s="306">
        <f t="shared" ca="1" si="127"/>
        <v>32.56045734094058</v>
      </c>
      <c r="H318" s="307">
        <f t="shared" ca="1" si="128"/>
        <v>301.54565447401859</v>
      </c>
      <c r="I318" s="304">
        <f t="shared" ca="1" si="129"/>
        <v>303.29847529193978</v>
      </c>
      <c r="J318" s="306">
        <f t="shared" ca="1" si="130"/>
        <v>54.325310406330047</v>
      </c>
      <c r="K318" s="307">
        <f t="shared" ca="1" si="131"/>
        <v>527.03886992100161</v>
      </c>
      <c r="L318" s="304">
        <f t="shared" ca="1" si="116"/>
        <v>529.83130311293473</v>
      </c>
      <c r="M318" s="306">
        <f t="shared" ca="1" si="132"/>
        <v>1.4632345361485786</v>
      </c>
      <c r="N318" s="304">
        <f t="shared" ca="1" si="133"/>
        <v>83.837163359096238</v>
      </c>
      <c r="P318" s="310">
        <f t="shared" ca="1" si="134"/>
        <v>10</v>
      </c>
      <c r="Q318" s="304">
        <f t="shared" ca="1" si="135"/>
        <v>722.54285714286027</v>
      </c>
      <c r="R318" s="306">
        <f t="shared" ca="1" si="136"/>
        <v>0.36194502701131526</v>
      </c>
      <c r="S318" s="307">
        <f t="shared" ca="1" si="137"/>
        <v>6.8768573690236101</v>
      </c>
      <c r="T318" s="304">
        <f t="shared" ca="1" si="117"/>
        <v>67.461970790121612</v>
      </c>
      <c r="U318" s="311">
        <f t="shared" ca="1" si="118"/>
        <v>0</v>
      </c>
      <c r="V318" s="306">
        <f t="shared" ca="1" si="119"/>
        <v>1.162095396979125</v>
      </c>
      <c r="W318" s="304">
        <f t="shared" ca="1" si="120"/>
        <v>291.16834517565621</v>
      </c>
      <c r="Y318" s="314" t="str">
        <f t="shared" ca="1" si="138"/>
        <v/>
      </c>
      <c r="Z318" s="315" t="str">
        <f t="shared" ca="1" si="139"/>
        <v/>
      </c>
      <c r="AA318" s="316" t="str">
        <f t="shared" ca="1" si="140"/>
        <v/>
      </c>
      <c r="AC318" s="310" t="e">
        <f t="shared" ca="1" si="141"/>
        <v>#N/A</v>
      </c>
      <c r="AD318" s="323" t="e">
        <f t="shared" ca="1" si="142"/>
        <v>#N/A</v>
      </c>
      <c r="AE318" s="324">
        <f t="shared" ca="1" si="121"/>
        <v>527.03886992100161</v>
      </c>
      <c r="AG318" s="306">
        <f t="shared" ca="1" si="143"/>
        <v>53.110525862068542</v>
      </c>
      <c r="AH318" s="304">
        <f t="shared" ca="1" si="144"/>
        <v>62.86386851700761</v>
      </c>
    </row>
    <row r="319" spans="1:34" x14ac:dyDescent="0.2">
      <c r="A319" s="347">
        <f t="shared" ca="1" si="122"/>
        <v>0.01</v>
      </c>
      <c r="B319" s="304">
        <f t="shared" ca="1" si="123"/>
        <v>3.1499999999999768</v>
      </c>
      <c r="D319" s="306">
        <f t="shared" ca="1" si="124"/>
        <v>6.7167454870021599</v>
      </c>
      <c r="E319" s="307">
        <f t="shared" ca="1" si="125"/>
        <v>52.394452247259721</v>
      </c>
      <c r="F319" s="304">
        <f t="shared" ca="1" si="126"/>
        <v>52.823226863071731</v>
      </c>
      <c r="G319" s="306">
        <f t="shared" ca="1" si="127"/>
        <v>32.627624795810604</v>
      </c>
      <c r="H319" s="307">
        <f t="shared" ca="1" si="128"/>
        <v>302.06959899649121</v>
      </c>
      <c r="I319" s="304">
        <f t="shared" ca="1" si="129"/>
        <v>303.8266027485368</v>
      </c>
      <c r="J319" s="306">
        <f t="shared" ca="1" si="130"/>
        <v>54.651250817013803</v>
      </c>
      <c r="K319" s="307">
        <f t="shared" ca="1" si="131"/>
        <v>530.05694618835412</v>
      </c>
      <c r="L319" s="304">
        <f t="shared" ca="1" si="116"/>
        <v>532.86689277753771</v>
      </c>
      <c r="M319" s="306">
        <f t="shared" ca="1" si="132"/>
        <v>1.4631998733615252</v>
      </c>
      <c r="N319" s="304">
        <f t="shared" ca="1" si="133"/>
        <v>83.835177327691923</v>
      </c>
      <c r="P319" s="310">
        <f t="shared" ca="1" si="134"/>
        <v>10</v>
      </c>
      <c r="Q319" s="304">
        <f t="shared" ca="1" si="135"/>
        <v>721.20000000000312</v>
      </c>
      <c r="R319" s="306">
        <f t="shared" ca="1" si="136"/>
        <v>0.36127234654670487</v>
      </c>
      <c r="S319" s="307">
        <f t="shared" ca="1" si="137"/>
        <v>6.8732446455581426</v>
      </c>
      <c r="T319" s="304">
        <f t="shared" ca="1" si="117"/>
        <v>67.42652997292538</v>
      </c>
      <c r="U319" s="311">
        <f t="shared" ca="1" si="118"/>
        <v>0</v>
      </c>
      <c r="V319" s="306">
        <f t="shared" ca="1" si="119"/>
        <v>1.1617444755966655</v>
      </c>
      <c r="W319" s="304">
        <f t="shared" ca="1" si="120"/>
        <v>292.09500759381717</v>
      </c>
      <c r="Y319" s="314" t="str">
        <f t="shared" ca="1" si="138"/>
        <v/>
      </c>
      <c r="Z319" s="315" t="str">
        <f t="shared" ca="1" si="139"/>
        <v/>
      </c>
      <c r="AA319" s="316" t="str">
        <f t="shared" ca="1" si="140"/>
        <v/>
      </c>
      <c r="AC319" s="310" t="e">
        <f t="shared" ca="1" si="141"/>
        <v>#N/A</v>
      </c>
      <c r="AD319" s="323" t="e">
        <f t="shared" ca="1" si="142"/>
        <v>#N/A</v>
      </c>
      <c r="AE319" s="324">
        <f t="shared" ca="1" si="121"/>
        <v>530.05694618835412</v>
      </c>
      <c r="AG319" s="306">
        <f t="shared" ca="1" si="143"/>
        <v>52.812727407181981</v>
      </c>
      <c r="AH319" s="304">
        <f t="shared" ca="1" si="144"/>
        <v>62.566033511153471</v>
      </c>
    </row>
    <row r="320" spans="1:34" x14ac:dyDescent="0.2">
      <c r="A320" s="347">
        <f t="shared" ca="1" si="122"/>
        <v>0.01</v>
      </c>
      <c r="B320" s="304">
        <f t="shared" ca="1" si="123"/>
        <v>3.1599999999999766</v>
      </c>
      <c r="D320" s="306">
        <f t="shared" ca="1" si="124"/>
        <v>6.6869504882338777</v>
      </c>
      <c r="E320" s="307">
        <f t="shared" ca="1" si="125"/>
        <v>52.098412430608704</v>
      </c>
      <c r="F320" s="304">
        <f t="shared" ca="1" si="126"/>
        <v>52.525802084517423</v>
      </c>
      <c r="G320" s="306">
        <f t="shared" ca="1" si="127"/>
        <v>32.694494300692945</v>
      </c>
      <c r="H320" s="307">
        <f t="shared" ca="1" si="128"/>
        <v>302.59058312079731</v>
      </c>
      <c r="I320" s="304">
        <f t="shared" ca="1" si="129"/>
        <v>304.35175529469547</v>
      </c>
      <c r="J320" s="306">
        <f t="shared" ca="1" si="130"/>
        <v>54.977861412496324</v>
      </c>
      <c r="K320" s="307">
        <f t="shared" ca="1" si="131"/>
        <v>533.08024709894062</v>
      </c>
      <c r="L320" s="304">
        <f t="shared" ca="1" si="116"/>
        <v>535.9077486774745</v>
      </c>
      <c r="M320" s="306">
        <f t="shared" ca="1" si="132"/>
        <v>1.4631652592763087</v>
      </c>
      <c r="N320" s="304">
        <f t="shared" ca="1" si="133"/>
        <v>83.833194086697318</v>
      </c>
      <c r="P320" s="310">
        <f t="shared" ca="1" si="134"/>
        <v>10</v>
      </c>
      <c r="Q320" s="304">
        <f t="shared" ca="1" si="135"/>
        <v>719.85714285714596</v>
      </c>
      <c r="R320" s="306">
        <f t="shared" ca="1" si="136"/>
        <v>0.36059966608209448</v>
      </c>
      <c r="S320" s="307">
        <f t="shared" ca="1" si="137"/>
        <v>6.8696386488973218</v>
      </c>
      <c r="T320" s="304">
        <f t="shared" ca="1" si="117"/>
        <v>67.391155145682731</v>
      </c>
      <c r="U320" s="311">
        <f t="shared" ca="1" si="118"/>
        <v>0</v>
      </c>
      <c r="V320" s="306">
        <f t="shared" ca="1" si="119"/>
        <v>1.1613930501573464</v>
      </c>
      <c r="W320" s="304">
        <f t="shared" ca="1" si="120"/>
        <v>293.01696624311143</v>
      </c>
      <c r="Y320" s="314" t="str">
        <f t="shared" ca="1" si="138"/>
        <v/>
      </c>
      <c r="Z320" s="315" t="str">
        <f t="shared" ca="1" si="139"/>
        <v/>
      </c>
      <c r="AA320" s="316" t="str">
        <f t="shared" ca="1" si="140"/>
        <v/>
      </c>
      <c r="AC320" s="310" t="e">
        <f t="shared" ca="1" si="141"/>
        <v>#N/A</v>
      </c>
      <c r="AD320" s="323" t="e">
        <f t="shared" ca="1" si="142"/>
        <v>#N/A</v>
      </c>
      <c r="AE320" s="324">
        <f t="shared" ca="1" si="121"/>
        <v>533.08024709894062</v>
      </c>
      <c r="AG320" s="306">
        <f t="shared" ca="1" si="143"/>
        <v>52.515236383140845</v>
      </c>
      <c r="AH320" s="304">
        <f t="shared" ca="1" si="144"/>
        <v>62.268505976219132</v>
      </c>
    </row>
    <row r="321" spans="1:34" x14ac:dyDescent="0.2">
      <c r="A321" s="347">
        <f t="shared" ca="1" si="122"/>
        <v>0.01</v>
      </c>
      <c r="B321" s="304">
        <f t="shared" ca="1" si="123"/>
        <v>3.1699999999999764</v>
      </c>
      <c r="D321" s="306">
        <f t="shared" ca="1" si="124"/>
        <v>6.6571654731825891</v>
      </c>
      <c r="E321" s="307">
        <f t="shared" ca="1" si="125"/>
        <v>51.802685118645982</v>
      </c>
      <c r="F321" s="304">
        <f t="shared" ca="1" si="126"/>
        <v>52.228689794392892</v>
      </c>
      <c r="G321" s="306">
        <f t="shared" ca="1" si="127"/>
        <v>32.761065955424769</v>
      </c>
      <c r="H321" s="307">
        <f t="shared" ca="1" si="128"/>
        <v>303.10860997198375</v>
      </c>
      <c r="I321" s="304">
        <f t="shared" ca="1" si="129"/>
        <v>304.87393604846557</v>
      </c>
      <c r="J321" s="306">
        <f t="shared" ca="1" si="130"/>
        <v>55.305139213776911</v>
      </c>
      <c r="K321" s="307">
        <f t="shared" ca="1" si="131"/>
        <v>536.10874306440451</v>
      </c>
      <c r="L321" s="304">
        <f t="shared" ca="1" si="116"/>
        <v>538.95384107876157</v>
      </c>
      <c r="M321" s="306">
        <f t="shared" ca="1" si="132"/>
        <v>1.4631306934038404</v>
      </c>
      <c r="N321" s="304">
        <f t="shared" ca="1" si="133"/>
        <v>83.831213608089698</v>
      </c>
      <c r="P321" s="310">
        <f t="shared" ca="1" si="134"/>
        <v>10</v>
      </c>
      <c r="Q321" s="304">
        <f t="shared" ca="1" si="135"/>
        <v>718.51428571428892</v>
      </c>
      <c r="R321" s="306">
        <f t="shared" ca="1" si="136"/>
        <v>0.35992698561748415</v>
      </c>
      <c r="S321" s="307">
        <f t="shared" ca="1" si="137"/>
        <v>6.8660393790411467</v>
      </c>
      <c r="T321" s="304">
        <f t="shared" ca="1" si="117"/>
        <v>67.355846308393652</v>
      </c>
      <c r="U321" s="311">
        <f t="shared" ca="1" si="118"/>
        <v>0</v>
      </c>
      <c r="V321" s="306">
        <f t="shared" ca="1" si="119"/>
        <v>1.1610411245898091</v>
      </c>
      <c r="W321" s="304">
        <f t="shared" ca="1" si="120"/>
        <v>293.93420077021511</v>
      </c>
      <c r="Y321" s="314" t="str">
        <f t="shared" ca="1" si="138"/>
        <v/>
      </c>
      <c r="Z321" s="315" t="str">
        <f t="shared" ca="1" si="139"/>
        <v/>
      </c>
      <c r="AA321" s="316" t="str">
        <f t="shared" ca="1" si="140"/>
        <v/>
      </c>
      <c r="AC321" s="310" t="e">
        <f t="shared" ca="1" si="141"/>
        <v>#N/A</v>
      </c>
      <c r="AD321" s="323" t="e">
        <f t="shared" ca="1" si="142"/>
        <v>#N/A</v>
      </c>
      <c r="AE321" s="324">
        <f t="shared" ca="1" si="121"/>
        <v>536.10874306440451</v>
      </c>
      <c r="AG321" s="306">
        <f t="shared" ca="1" si="143"/>
        <v>52.218057163847966</v>
      </c>
      <c r="AH321" s="304">
        <f t="shared" ca="1" si="144"/>
        <v>61.971290285637551</v>
      </c>
    </row>
    <row r="322" spans="1:34" x14ac:dyDescent="0.2">
      <c r="A322" s="347">
        <f t="shared" ca="1" si="122"/>
        <v>0.01</v>
      </c>
      <c r="B322" s="304">
        <f t="shared" ca="1" si="123"/>
        <v>3.1799999999999762</v>
      </c>
      <c r="D322" s="306">
        <f t="shared" ca="1" si="124"/>
        <v>6.6273910127089835</v>
      </c>
      <c r="E322" s="307">
        <f t="shared" ca="1" si="125"/>
        <v>51.5072746068846</v>
      </c>
      <c r="F322" s="304">
        <f t="shared" ca="1" si="126"/>
        <v>51.931894333485999</v>
      </c>
      <c r="G322" s="306">
        <f t="shared" ca="1" si="127"/>
        <v>32.827339865551856</v>
      </c>
      <c r="H322" s="307">
        <f t="shared" ca="1" si="128"/>
        <v>303.62368271805258</v>
      </c>
      <c r="I322" s="304">
        <f t="shared" ca="1" si="129"/>
        <v>305.39314817120749</v>
      </c>
      <c r="J322" s="306">
        <f t="shared" ca="1" si="130"/>
        <v>55.633081242881794</v>
      </c>
      <c r="K322" s="307">
        <f t="shared" ca="1" si="131"/>
        <v>539.14240452785464</v>
      </c>
      <c r="L322" s="304">
        <f t="shared" ca="1" si="116"/>
        <v>542.00514027881127</v>
      </c>
      <c r="M322" s="306">
        <f t="shared" ca="1" si="132"/>
        <v>1.4630961752591494</v>
      </c>
      <c r="N322" s="304">
        <f t="shared" ca="1" si="133"/>
        <v>83.829235864082278</v>
      </c>
      <c r="P322" s="310">
        <f t="shared" ca="1" si="134"/>
        <v>10</v>
      </c>
      <c r="Q322" s="304">
        <f t="shared" ca="1" si="135"/>
        <v>717.17142857143176</v>
      </c>
      <c r="R322" s="306">
        <f t="shared" ca="1" si="136"/>
        <v>0.35925430515287377</v>
      </c>
      <c r="S322" s="307">
        <f t="shared" ca="1" si="137"/>
        <v>6.8624468359896182</v>
      </c>
      <c r="T322" s="304">
        <f t="shared" ca="1" si="117"/>
        <v>67.320603461058155</v>
      </c>
      <c r="U322" s="311">
        <f t="shared" ca="1" si="118"/>
        <v>0</v>
      </c>
      <c r="V322" s="306">
        <f t="shared" ca="1" si="119"/>
        <v>1.1606887028154569</v>
      </c>
      <c r="W322" s="304">
        <f t="shared" ca="1" si="120"/>
        <v>294.84669116498679</v>
      </c>
      <c r="Y322" s="314" t="str">
        <f t="shared" ca="1" si="138"/>
        <v/>
      </c>
      <c r="Z322" s="315" t="str">
        <f t="shared" ca="1" si="139"/>
        <v/>
      </c>
      <c r="AA322" s="316" t="str">
        <f t="shared" ca="1" si="140"/>
        <v/>
      </c>
      <c r="AC322" s="310" t="e">
        <f t="shared" ca="1" si="141"/>
        <v>#N/A</v>
      </c>
      <c r="AD322" s="323" t="e">
        <f t="shared" ca="1" si="142"/>
        <v>#N/A</v>
      </c>
      <c r="AE322" s="324">
        <f t="shared" ca="1" si="121"/>
        <v>539.14240452785464</v>
      </c>
      <c r="AG322" s="306">
        <f t="shared" ca="1" si="143"/>
        <v>51.921194080367059</v>
      </c>
      <c r="AH322" s="304">
        <f t="shared" ca="1" si="144"/>
        <v>61.674390770006241</v>
      </c>
    </row>
    <row r="323" spans="1:34" x14ac:dyDescent="0.2">
      <c r="A323" s="347">
        <f t="shared" ca="1" si="122"/>
        <v>0.01</v>
      </c>
      <c r="B323" s="304">
        <f t="shared" ca="1" si="123"/>
        <v>3.189999999999976</v>
      </c>
      <c r="D323" s="306">
        <f t="shared" ca="1" si="124"/>
        <v>6.5976276727460377</v>
      </c>
      <c r="E323" s="307">
        <f t="shared" ca="1" si="125"/>
        <v>51.212185148294196</v>
      </c>
      <c r="F323" s="304">
        <f t="shared" ca="1" si="126"/>
        <v>51.63541999995109</v>
      </c>
      <c r="G323" s="306">
        <f t="shared" ca="1" si="127"/>
        <v>32.893316142279318</v>
      </c>
      <c r="H323" s="307">
        <f t="shared" ca="1" si="128"/>
        <v>304.13580456953554</v>
      </c>
      <c r="I323" s="304">
        <f t="shared" ca="1" si="129"/>
        <v>305.90939486716428</v>
      </c>
      <c r="J323" s="306">
        <f t="shared" ca="1" si="130"/>
        <v>55.961684522920947</v>
      </c>
      <c r="K323" s="307">
        <f t="shared" ca="1" si="131"/>
        <v>542.18120196429254</v>
      </c>
      <c r="L323" s="304">
        <f t="shared" ca="1" si="116"/>
        <v>545.06161660686394</v>
      </c>
      <c r="M323" s="306">
        <f t="shared" ca="1" si="132"/>
        <v>1.4630617043613301</v>
      </c>
      <c r="N323" s="304">
        <f t="shared" ca="1" si="133"/>
        <v>83.827260827121208</v>
      </c>
      <c r="P323" s="310">
        <f t="shared" ca="1" si="134"/>
        <v>10</v>
      </c>
      <c r="Q323" s="304">
        <f t="shared" ca="1" si="135"/>
        <v>715.82857142857461</v>
      </c>
      <c r="R323" s="306">
        <f t="shared" ca="1" si="136"/>
        <v>0.35858162468826338</v>
      </c>
      <c r="S323" s="307">
        <f t="shared" ca="1" si="137"/>
        <v>6.8588610197427355</v>
      </c>
      <c r="T323" s="304">
        <f t="shared" ca="1" si="117"/>
        <v>67.285426603676243</v>
      </c>
      <c r="U323" s="311">
        <f t="shared" ca="1" si="118"/>
        <v>0</v>
      </c>
      <c r="V323" s="306">
        <f t="shared" ca="1" si="119"/>
        <v>1.1603357887483976</v>
      </c>
      <c r="W323" s="304">
        <f t="shared" ca="1" si="120"/>
        <v>295.75441775923741</v>
      </c>
      <c r="Y323" s="314" t="str">
        <f t="shared" ca="1" si="138"/>
        <v/>
      </c>
      <c r="Z323" s="315" t="str">
        <f t="shared" ca="1" si="139"/>
        <v/>
      </c>
      <c r="AA323" s="316" t="str">
        <f t="shared" ca="1" si="140"/>
        <v/>
      </c>
      <c r="AC323" s="310" t="e">
        <f t="shared" ca="1" si="141"/>
        <v>#N/A</v>
      </c>
      <c r="AD323" s="323" t="e">
        <f t="shared" ca="1" si="142"/>
        <v>#N/A</v>
      </c>
      <c r="AE323" s="324">
        <f t="shared" ca="1" si="121"/>
        <v>542.18120196429254</v>
      </c>
      <c r="AG323" s="306">
        <f t="shared" ca="1" si="143"/>
        <v>51.624651420944517</v>
      </c>
      <c r="AH323" s="304">
        <f t="shared" ca="1" si="144"/>
        <v>61.37781171710899</v>
      </c>
    </row>
    <row r="324" spans="1:34" x14ac:dyDescent="0.2">
      <c r="A324" s="347">
        <f t="shared" ca="1" si="122"/>
        <v>0.01</v>
      </c>
      <c r="B324" s="304">
        <f t="shared" ca="1" si="123"/>
        <v>3.1999999999999758</v>
      </c>
      <c r="D324" s="306">
        <f t="shared" ca="1" si="124"/>
        <v>6.5678760143031116</v>
      </c>
      <c r="E324" s="307">
        <f t="shared" ca="1" si="125"/>
        <v>50.917420953326008</v>
      </c>
      <c r="F324" s="304">
        <f t="shared" ca="1" si="126"/>
        <v>51.339271049338642</v>
      </c>
      <c r="G324" s="306">
        <f t="shared" ca="1" si="127"/>
        <v>32.958994902422347</v>
      </c>
      <c r="H324" s="307">
        <f t="shared" ca="1" si="128"/>
        <v>304.64497877906882</v>
      </c>
      <c r="I324" s="304">
        <f t="shared" ca="1" si="129"/>
        <v>306.42267938303326</v>
      </c>
      <c r="J324" s="306">
        <f t="shared" ca="1" si="130"/>
        <v>56.290946078144458</v>
      </c>
      <c r="K324" s="307">
        <f t="shared" ca="1" si="131"/>
        <v>545.22510588103557</v>
      </c>
      <c r="L324" s="304">
        <f t="shared" ref="L324:L387" ca="1" si="145">SQRT(pos_x^2+pos_z^2)</f>
        <v>548.1232404244131</v>
      </c>
      <c r="M324" s="306">
        <f t="shared" ca="1" si="132"/>
        <v>1.4630272802334905</v>
      </c>
      <c r="N324" s="304">
        <f t="shared" ca="1" si="133"/>
        <v>83.82528846988258</v>
      </c>
      <c r="P324" s="310">
        <f t="shared" ca="1" si="134"/>
        <v>10</v>
      </c>
      <c r="Q324" s="304">
        <f t="shared" ca="1" si="135"/>
        <v>714.48571428571756</v>
      </c>
      <c r="R324" s="306">
        <f t="shared" ca="1" si="136"/>
        <v>0.35790894422365305</v>
      </c>
      <c r="S324" s="307">
        <f t="shared" ca="1" si="137"/>
        <v>6.8552819303004986</v>
      </c>
      <c r="T324" s="304">
        <f t="shared" ref="T324:T387" ca="1" si="146">m*g</f>
        <v>67.250315736247899</v>
      </c>
      <c r="U324" s="311">
        <f t="shared" ref="U324:U387" ca="1" si="147">IF(pos_xz&lt;L_rampe,Poids*COS(Beta),0)</f>
        <v>0</v>
      </c>
      <c r="V324" s="306">
        <f t="shared" ref="V324:V387" ca="1" si="148">Rho_moyen*(20000-Alt_rampe-pos_z)/(20000+Alt_rampe+pos_z)</f>
        <v>1.1599823862953846</v>
      </c>
      <c r="W324" s="304">
        <f t="shared" ref="W324:W387" ca="1" si="149">1/2*Rho*Sref*Cx*vit_xz^2</f>
        <v>296.65736122547617</v>
      </c>
      <c r="Y324" s="314" t="str">
        <f t="shared" ca="1" si="138"/>
        <v/>
      </c>
      <c r="Z324" s="315" t="str">
        <f t="shared" ca="1" si="139"/>
        <v/>
      </c>
      <c r="AA324" s="316" t="str">
        <f t="shared" ca="1" si="140"/>
        <v/>
      </c>
      <c r="AC324" s="310" t="e">
        <f t="shared" ca="1" si="141"/>
        <v>#N/A</v>
      </c>
      <c r="AD324" s="323" t="e">
        <f t="shared" ca="1" si="142"/>
        <v>#N/A</v>
      </c>
      <c r="AE324" s="324">
        <f t="shared" ref="AE324:AE387" ca="1" si="150">IF(t&lt;T_para, pos_z, NA())</f>
        <v>545.22510588103557</v>
      </c>
      <c r="AG324" s="306">
        <f t="shared" ca="1" si="143"/>
        <v>51.328433431034526</v>
      </c>
      <c r="AH324" s="304">
        <f t="shared" ca="1" si="144"/>
        <v>61.081557371940974</v>
      </c>
    </row>
    <row r="325" spans="1:34" x14ac:dyDescent="0.2">
      <c r="A325" s="347">
        <f t="shared" ref="A325:A388" ca="1" si="151">IF(B324+0.01&lt;=T_ini+ROUNDUP(Temps_fin_propu,0), 0.01, IF(K324&gt;0, 0.1, 0.0001))</f>
        <v>0.01</v>
      </c>
      <c r="B325" s="304">
        <f t="shared" ref="B325:B388" ca="1" si="152">B324+pas</f>
        <v>3.2099999999999755</v>
      </c>
      <c r="D325" s="306">
        <f t="shared" ref="D325:D388" ca="1" si="153">IF(AND(L324&lt;L_rampe,Poussee&lt;Poids*SIN(M324)),0,(-W324+Poussee)/m*COS(M324)-U324/m*SIN(M324))</f>
        <v>6.5381365934704405</v>
      </c>
      <c r="E325" s="307">
        <f t="shared" ref="E325:E388" ca="1" si="154">IF(AND(L324&lt;L_rampe,Poussee&lt;Poids*SIN(M324)),0,(-W324+Poussee)/m*SIN(M324)+U324/m*COS(M324)-Poids/m)</f>
        <v>50.62298618994194</v>
      </c>
      <c r="F325" s="304">
        <f t="shared" ref="F325:F388" ca="1" si="155">SQRT(acc_x^2+acc_z^2)</f>
        <v>51.043451694629056</v>
      </c>
      <c r="G325" s="306">
        <f t="shared" ref="G325:G388" ca="1" si="156">G324+acc_x*pas</f>
        <v>33.024376268357052</v>
      </c>
      <c r="H325" s="307">
        <f t="shared" ref="H325:H388" ca="1" si="157">H324+acc_z*pas</f>
        <v>305.15120864096826</v>
      </c>
      <c r="I325" s="304">
        <f t="shared" ref="I325:I388" ca="1" si="158">SQRT(vit_x^2+vit_z^2)</f>
        <v>306.93300500753867</v>
      </c>
      <c r="J325" s="306">
        <f t="shared" ref="J325:J388" ca="1" si="159">J324+0.5*(vit_x+G324)*pas*(K324&gt;=0)</f>
        <v>56.620862933998353</v>
      </c>
      <c r="K325" s="307">
        <f t="shared" ref="K325:K388" ca="1" si="160">K324+0.5*(vit_z+H324)*pas</f>
        <v>548.27408681813574</v>
      </c>
      <c r="L325" s="304">
        <f t="shared" ca="1" si="145"/>
        <v>551.18998212562906</v>
      </c>
      <c r="M325" s="306">
        <f t="shared" ref="M325:M388" ca="1" si="161">IF(AND(L324&gt;L_rampe,G325&gt;0),ATAN2(G325,H325),$M$4)</f>
        <v>1.4629929024027015</v>
      </c>
      <c r="N325" s="304">
        <f t="shared" ref="N325:N388" ca="1" si="162">DEGREES(Beta)</f>
        <v>83.823318765269548</v>
      </c>
      <c r="P325" s="310">
        <f t="shared" ref="P325:P388" ca="1" si="163">MATCH(t-pas/2-T_ini,CdP_t)</f>
        <v>10</v>
      </c>
      <c r="Q325" s="304">
        <f t="shared" ref="Q325:Q388" ca="1" si="164">(INDEX(CdP,2,i_P+1)-INDEX(CdP,2,i_P+0))/(INDEX(CdP,1,i_P+1)-INDEX(CdP,1,i_P+0))*(t-pas/2-T_ini-INDEX(CdP,1,i_P+0))+INDEX(CdP,2,i_P+0)</f>
        <v>713.14285714286041</v>
      </c>
      <c r="R325" s="306">
        <f t="shared" ref="R325:R388" ca="1" si="165">Poussee/(g*ISP)</f>
        <v>0.35723626375904266</v>
      </c>
      <c r="S325" s="307">
        <f t="shared" ref="S325:S388" ca="1" si="166">S324-Débit*pas</f>
        <v>6.8517095676629083</v>
      </c>
      <c r="T325" s="304">
        <f t="shared" ca="1" si="146"/>
        <v>67.215270858773138</v>
      </c>
      <c r="U325" s="311">
        <f t="shared" ca="1" si="147"/>
        <v>0</v>
      </c>
      <c r="V325" s="306">
        <f t="shared" ca="1" si="148"/>
        <v>1.1596284993557611</v>
      </c>
      <c r="W325" s="304">
        <f t="shared" ca="1" si="149"/>
        <v>297.55550257563851</v>
      </c>
      <c r="Y325" s="314" t="str">
        <f t="shared" ref="Y325:Y388" ca="1" si="167">IF(AND(pos_z&lt;=0,K324&gt;0),"Impact balistique","") &amp; IF(AND(H326&lt;0,vit_z&gt;=0),"Apogée","") &amp; IF(AND(Poussee=0,Q324&gt;0),"Fin de propulsion","") &amp; IF(AND(L326&gt;L_rampe,pos_xz&lt;=L_rampe),"Sortie de rampe","")</f>
        <v/>
      </c>
      <c r="Z325" s="315" t="str">
        <f t="shared" ref="Z325:Z388" ca="1" si="168">IF(ABS(t-T_para)&lt;pas/2,"Para","")</f>
        <v/>
      </c>
      <c r="AA325" s="316" t="str">
        <f t="shared" ref="AA325:AA388" ca="1" si="169">IF(ABS(t-T_satellite)&lt;pas/2,"Satellite","")</f>
        <v/>
      </c>
      <c r="AC325" s="310" t="e">
        <f t="shared" ref="AC325:AC388" ca="1" si="170">IF(ABS(t-ROUND(t,0))&lt;0.001,t,NA())</f>
        <v>#N/A</v>
      </c>
      <c r="AD325" s="323" t="e">
        <f t="shared" ref="AD325:AD388" ca="1" si="171">IF(ABS(t-ROUND(t,0))&lt;0.001,pos_x,NA())</f>
        <v>#N/A</v>
      </c>
      <c r="AE325" s="324">
        <f t="shared" ca="1" si="150"/>
        <v>548.27408681813574</v>
      </c>
      <c r="AG325" s="306">
        <f t="shared" ref="AG325:AG388" ca="1" si="172">IF(AND(L324&lt;L_rampe,Poussee&lt;Poids*SIN(M324)),0,(-W324+Poussee)/m-Poids*SIN(M324)/m)</f>
        <v>51.032544313328479</v>
      </c>
      <c r="AH325" s="304">
        <f t="shared" ref="AH325:AH388" ca="1" si="173">IF(AND(L324&lt;L_rampe,Poussee&lt;Poids*SIN(M324)), g*SIN(M324), (-W324+Poussee)/m)</f>
        <v>60.785631936738064</v>
      </c>
    </row>
    <row r="326" spans="1:34" x14ac:dyDescent="0.2">
      <c r="A326" s="347">
        <f t="shared" ca="1" si="151"/>
        <v>0.01</v>
      </c>
      <c r="B326" s="304">
        <f t="shared" ca="1" si="152"/>
        <v>3.2199999999999753</v>
      </c>
      <c r="D326" s="306">
        <f t="shared" ca="1" si="153"/>
        <v>6.5084099614238928</v>
      </c>
      <c r="E326" s="307">
        <f t="shared" ca="1" si="154"/>
        <v>50.328884983647349</v>
      </c>
      <c r="F326" s="304">
        <f t="shared" ca="1" si="155"/>
        <v>50.747966106270361</v>
      </c>
      <c r="G326" s="306">
        <f t="shared" ca="1" si="156"/>
        <v>33.089460367971292</v>
      </c>
      <c r="H326" s="307">
        <f t="shared" ca="1" si="157"/>
        <v>305.65449749080472</v>
      </c>
      <c r="I326" s="304">
        <f t="shared" ca="1" si="158"/>
        <v>307.44037507100444</v>
      </c>
      <c r="J326" s="306">
        <f t="shared" ca="1" si="159"/>
        <v>56.951432117179998</v>
      </c>
      <c r="K326" s="307">
        <f t="shared" ca="1" si="160"/>
        <v>551.32811534879465</v>
      </c>
      <c r="L326" s="304">
        <f t="shared" ca="1" si="145"/>
        <v>554.26181213777625</v>
      </c>
      <c r="M326" s="306">
        <f t="shared" ca="1" si="161"/>
        <v>1.4629585703999484</v>
      </c>
      <c r="N326" s="304">
        <f t="shared" ca="1" si="162"/>
        <v>83.821351686409571</v>
      </c>
      <c r="P326" s="310">
        <f t="shared" ca="1" si="163"/>
        <v>10</v>
      </c>
      <c r="Q326" s="304">
        <f t="shared" ca="1" si="164"/>
        <v>711.80000000000337</v>
      </c>
      <c r="R326" s="306">
        <f t="shared" ca="1" si="165"/>
        <v>0.35656358329443238</v>
      </c>
      <c r="S326" s="307">
        <f t="shared" ca="1" si="166"/>
        <v>6.8481439318299637</v>
      </c>
      <c r="T326" s="304">
        <f t="shared" ca="1" si="146"/>
        <v>67.180291971251947</v>
      </c>
      <c r="U326" s="311">
        <f t="shared" ca="1" si="147"/>
        <v>0</v>
      </c>
      <c r="V326" s="306">
        <f t="shared" ca="1" si="148"/>
        <v>1.1592741318214013</v>
      </c>
      <c r="W326" s="304">
        <f t="shared" ca="1" si="149"/>
        <v>298.44882315979123</v>
      </c>
      <c r="Y326" s="314" t="str">
        <f t="shared" ca="1" si="167"/>
        <v/>
      </c>
      <c r="Z326" s="315" t="str">
        <f t="shared" ca="1" si="168"/>
        <v/>
      </c>
      <c r="AA326" s="316" t="str">
        <f t="shared" ca="1" si="169"/>
        <v/>
      </c>
      <c r="AC326" s="310" t="e">
        <f t="shared" ca="1" si="170"/>
        <v>#N/A</v>
      </c>
      <c r="AD326" s="323" t="e">
        <f t="shared" ca="1" si="171"/>
        <v>#N/A</v>
      </c>
      <c r="AE326" s="324">
        <f t="shared" ca="1" si="150"/>
        <v>551.32811534879465</v>
      </c>
      <c r="AG326" s="306">
        <f t="shared" ca="1" si="172"/>
        <v>50.73698822778789</v>
      </c>
      <c r="AH326" s="304">
        <f t="shared" ca="1" si="173"/>
        <v>60.49003957100976</v>
      </c>
    </row>
    <row r="327" spans="1:34" x14ac:dyDescent="0.2">
      <c r="A327" s="347">
        <f t="shared" ca="1" si="151"/>
        <v>0.01</v>
      </c>
      <c r="B327" s="304">
        <f t="shared" ca="1" si="152"/>
        <v>3.2299999999999751</v>
      </c>
      <c r="D327" s="306">
        <f t="shared" ca="1" si="153"/>
        <v>6.4786966644299921</v>
      </c>
      <c r="E327" s="307">
        <f t="shared" ca="1" si="154"/>
        <v>50.035121417527407</v>
      </c>
      <c r="F327" s="304">
        <f t="shared" ca="1" si="155"/>
        <v>50.452818412219614</v>
      </c>
      <c r="G327" s="306">
        <f t="shared" ca="1" si="156"/>
        <v>33.15424733461559</v>
      </c>
      <c r="H327" s="307">
        <f t="shared" ca="1" si="157"/>
        <v>306.15484870498</v>
      </c>
      <c r="I327" s="304">
        <f t="shared" ca="1" si="158"/>
        <v>307.94479294492714</v>
      </c>
      <c r="J327" s="306">
        <f t="shared" ca="1" si="159"/>
        <v>57.282650655692933</v>
      </c>
      <c r="K327" s="307">
        <f t="shared" ca="1" si="160"/>
        <v>554.38716207977359</v>
      </c>
      <c r="L327" s="304">
        <f t="shared" ca="1" si="145"/>
        <v>557.33870092162749</v>
      </c>
      <c r="M327" s="306">
        <f t="shared" ca="1" si="161"/>
        <v>1.46292428376008</v>
      </c>
      <c r="N327" s="304">
        <f t="shared" ca="1" si="162"/>
        <v>83.819387206651427</v>
      </c>
      <c r="P327" s="310">
        <f t="shared" ca="1" si="163"/>
        <v>10</v>
      </c>
      <c r="Q327" s="304">
        <f t="shared" ca="1" si="164"/>
        <v>710.45714285714621</v>
      </c>
      <c r="R327" s="306">
        <f t="shared" ca="1" si="165"/>
        <v>0.355890902829822</v>
      </c>
      <c r="S327" s="307">
        <f t="shared" ca="1" si="166"/>
        <v>6.8445850228016658</v>
      </c>
      <c r="T327" s="304">
        <f t="shared" ca="1" si="146"/>
        <v>67.145379073684339</v>
      </c>
      <c r="U327" s="311">
        <f t="shared" ca="1" si="147"/>
        <v>0</v>
      </c>
      <c r="V327" s="306">
        <f t="shared" ca="1" si="148"/>
        <v>1.1589192875766572</v>
      </c>
      <c r="W327" s="304">
        <f t="shared" ca="1" si="149"/>
        <v>299.33730466481927</v>
      </c>
      <c r="Y327" s="314" t="str">
        <f t="shared" ca="1" si="167"/>
        <v/>
      </c>
      <c r="Z327" s="315" t="str">
        <f t="shared" ca="1" si="168"/>
        <v/>
      </c>
      <c r="AA327" s="316" t="str">
        <f t="shared" ca="1" si="169"/>
        <v/>
      </c>
      <c r="AC327" s="310" t="e">
        <f t="shared" ca="1" si="170"/>
        <v>#N/A</v>
      </c>
      <c r="AD327" s="323" t="e">
        <f t="shared" ca="1" si="171"/>
        <v>#N/A</v>
      </c>
      <c r="AE327" s="324">
        <f t="shared" ca="1" si="150"/>
        <v>554.38716207977359</v>
      </c>
      <c r="AG327" s="306">
        <f t="shared" ca="1" si="172"/>
        <v>50.441769291681069</v>
      </c>
      <c r="AH327" s="304">
        <f t="shared" ca="1" si="173"/>
        <v>60.194784391575766</v>
      </c>
    </row>
    <row r="328" spans="1:34" x14ac:dyDescent="0.2">
      <c r="A328" s="347">
        <f t="shared" ca="1" si="151"/>
        <v>0.01</v>
      </c>
      <c r="B328" s="304">
        <f t="shared" ca="1" si="152"/>
        <v>3.2399999999999749</v>
      </c>
      <c r="D328" s="306">
        <f t="shared" ca="1" si="153"/>
        <v>6.4489972438514185</v>
      </c>
      <c r="E328" s="307">
        <f t="shared" ca="1" si="154"/>
        <v>49.741699532287264</v>
      </c>
      <c r="F328" s="304">
        <f t="shared" ca="1" si="155"/>
        <v>50.158012697988248</v>
      </c>
      <c r="G328" s="306">
        <f t="shared" ca="1" si="156"/>
        <v>33.218737307054106</v>
      </c>
      <c r="H328" s="307">
        <f t="shared" ca="1" si="157"/>
        <v>306.65226570030285</v>
      </c>
      <c r="I328" s="304">
        <f t="shared" ca="1" si="158"/>
        <v>308.44626204154946</v>
      </c>
      <c r="J328" s="306">
        <f t="shared" ca="1" si="159"/>
        <v>57.614515578901283</v>
      </c>
      <c r="K328" s="307">
        <f t="shared" ca="1" si="160"/>
        <v>557.45119765180004</v>
      </c>
      <c r="L328" s="304">
        <f t="shared" ca="1" si="145"/>
        <v>560.42061897187341</v>
      </c>
      <c r="M328" s="306">
        <f t="shared" ca="1" si="161"/>
        <v>1.4628900420217621</v>
      </c>
      <c r="N328" s="304">
        <f t="shared" ca="1" si="162"/>
        <v>83.817425299562615</v>
      </c>
      <c r="P328" s="310">
        <f t="shared" ca="1" si="163"/>
        <v>10</v>
      </c>
      <c r="Q328" s="304">
        <f t="shared" ca="1" si="164"/>
        <v>709.11428571428905</v>
      </c>
      <c r="R328" s="306">
        <f t="shared" ca="1" si="165"/>
        <v>0.35521822236521161</v>
      </c>
      <c r="S328" s="307">
        <f t="shared" ca="1" si="166"/>
        <v>6.8410328405780136</v>
      </c>
      <c r="T328" s="304">
        <f t="shared" ca="1" si="146"/>
        <v>67.110532166070314</v>
      </c>
      <c r="U328" s="311">
        <f t="shared" ca="1" si="147"/>
        <v>0</v>
      </c>
      <c r="V328" s="306">
        <f t="shared" ca="1" si="148"/>
        <v>1.1585639704983022</v>
      </c>
      <c r="W328" s="304">
        <f t="shared" ca="1" si="149"/>
        <v>300.22092911309113</v>
      </c>
      <c r="Y328" s="314" t="str">
        <f t="shared" ca="1" si="167"/>
        <v/>
      </c>
      <c r="Z328" s="315" t="str">
        <f t="shared" ca="1" si="168"/>
        <v/>
      </c>
      <c r="AA328" s="316" t="str">
        <f t="shared" ca="1" si="169"/>
        <v/>
      </c>
      <c r="AC328" s="310" t="e">
        <f t="shared" ca="1" si="170"/>
        <v>#N/A</v>
      </c>
      <c r="AD328" s="323" t="e">
        <f t="shared" ca="1" si="171"/>
        <v>#N/A</v>
      </c>
      <c r="AE328" s="324">
        <f t="shared" ca="1" si="150"/>
        <v>557.45119765180004</v>
      </c>
      <c r="AG328" s="306">
        <f t="shared" ca="1" si="172"/>
        <v>50.146891579623556</v>
      </c>
      <c r="AH328" s="304">
        <f t="shared" ca="1" si="173"/>
        <v>59.899870472606423</v>
      </c>
    </row>
    <row r="329" spans="1:34" x14ac:dyDescent="0.2">
      <c r="A329" s="347">
        <f t="shared" ca="1" si="151"/>
        <v>0.01</v>
      </c>
      <c r="B329" s="304">
        <f t="shared" ca="1" si="152"/>
        <v>3.2499999999999747</v>
      </c>
      <c r="D329" s="306">
        <f t="shared" ca="1" si="153"/>
        <v>6.4193122361526589</v>
      </c>
      <c r="E329" s="307">
        <f t="shared" ca="1" si="154"/>
        <v>49.448623326295873</v>
      </c>
      <c r="F329" s="304">
        <f t="shared" ca="1" si="155"/>
        <v>49.863553006691284</v>
      </c>
      <c r="G329" s="306">
        <f t="shared" ca="1" si="156"/>
        <v>33.282930429415629</v>
      </c>
      <c r="H329" s="307">
        <f t="shared" ca="1" si="157"/>
        <v>307.14675193356578</v>
      </c>
      <c r="I329" s="304">
        <f t="shared" ca="1" si="158"/>
        <v>308.94478581343418</v>
      </c>
      <c r="J329" s="306">
        <f t="shared" ca="1" si="159"/>
        <v>57.947023917583635</v>
      </c>
      <c r="K329" s="307">
        <f t="shared" ca="1" si="160"/>
        <v>560.52019273996939</v>
      </c>
      <c r="L329" s="304">
        <f t="shared" ca="1" si="145"/>
        <v>563.50753681752781</v>
      </c>
      <c r="M329" s="306">
        <f t="shared" ca="1" si="161"/>
        <v>1.4628558447274285</v>
      </c>
      <c r="N329" s="304">
        <f t="shared" ca="1" si="162"/>
        <v>83.815465938926536</v>
      </c>
      <c r="P329" s="310">
        <f t="shared" ca="1" si="163"/>
        <v>10</v>
      </c>
      <c r="Q329" s="304">
        <f t="shared" ca="1" si="164"/>
        <v>707.77142857143201</v>
      </c>
      <c r="R329" s="306">
        <f t="shared" ca="1" si="165"/>
        <v>0.35454554190060128</v>
      </c>
      <c r="S329" s="307">
        <f t="shared" ca="1" si="166"/>
        <v>6.8374873851590072</v>
      </c>
      <c r="T329" s="304">
        <f t="shared" ca="1" si="146"/>
        <v>67.075751248409858</v>
      </c>
      <c r="U329" s="311">
        <f t="shared" ca="1" si="147"/>
        <v>0</v>
      </c>
      <c r="V329" s="306">
        <f t="shared" ca="1" si="148"/>
        <v>1.1582081844554772</v>
      </c>
      <c r="W329" s="304">
        <f t="shared" ca="1" si="149"/>
        <v>301.09967886110616</v>
      </c>
      <c r="Y329" s="314" t="str">
        <f t="shared" ca="1" si="167"/>
        <v/>
      </c>
      <c r="Z329" s="315" t="str">
        <f t="shared" ca="1" si="168"/>
        <v/>
      </c>
      <c r="AA329" s="316" t="str">
        <f t="shared" ca="1" si="169"/>
        <v/>
      </c>
      <c r="AC329" s="310" t="e">
        <f t="shared" ca="1" si="170"/>
        <v>#N/A</v>
      </c>
      <c r="AD329" s="323" t="e">
        <f t="shared" ca="1" si="171"/>
        <v>#N/A</v>
      </c>
      <c r="AE329" s="324">
        <f t="shared" ca="1" si="150"/>
        <v>560.52019273996939</v>
      </c>
      <c r="AG329" s="306">
        <f t="shared" ca="1" si="172"/>
        <v>49.852359123622151</v>
      </c>
      <c r="AH329" s="304">
        <f t="shared" ca="1" si="173"/>
        <v>59.605301845666688</v>
      </c>
    </row>
    <row r="330" spans="1:34" x14ac:dyDescent="0.2">
      <c r="A330" s="347">
        <f t="shared" ca="1" si="151"/>
        <v>0.01</v>
      </c>
      <c r="B330" s="304">
        <f t="shared" ca="1" si="152"/>
        <v>3.2599999999999745</v>
      </c>
      <c r="D330" s="306">
        <f t="shared" ca="1" si="153"/>
        <v>6.3899800752582783</v>
      </c>
      <c r="E330" s="307">
        <f t="shared" ca="1" si="154"/>
        <v>49.159015039047517</v>
      </c>
      <c r="F330" s="304">
        <f t="shared" ca="1" si="155"/>
        <v>49.572579164004544</v>
      </c>
      <c r="G330" s="306">
        <f t="shared" ca="1" si="156"/>
        <v>33.346830230168209</v>
      </c>
      <c r="H330" s="307">
        <f t="shared" ca="1" si="157"/>
        <v>307.63834208395627</v>
      </c>
      <c r="I330" s="304">
        <f t="shared" ca="1" si="158"/>
        <v>309.44039911841662</v>
      </c>
      <c r="J330" s="306">
        <f t="shared" ca="1" si="159"/>
        <v>58.280172720881552</v>
      </c>
      <c r="K330" s="307">
        <f t="shared" ca="1" si="160"/>
        <v>563.59411821005699</v>
      </c>
      <c r="L330" s="304">
        <f t="shared" ca="1" si="145"/>
        <v>566.59942517915385</v>
      </c>
      <c r="M330" s="306">
        <f t="shared" ca="1" si="161"/>
        <v>1.4628216914266967</v>
      </c>
      <c r="N330" s="304">
        <f t="shared" ca="1" si="162"/>
        <v>83.813509098938155</v>
      </c>
      <c r="P330" s="310">
        <f t="shared" ca="1" si="163"/>
        <v>11</v>
      </c>
      <c r="Q330" s="304">
        <f t="shared" ca="1" si="164"/>
        <v>706.45000000000334</v>
      </c>
      <c r="R330" s="306">
        <f t="shared" ca="1" si="165"/>
        <v>0.35388359569872402</v>
      </c>
      <c r="S330" s="307">
        <f t="shared" ca="1" si="166"/>
        <v>6.8339485492020202</v>
      </c>
      <c r="T330" s="304">
        <f t="shared" ca="1" si="146"/>
        <v>67.041035267671816</v>
      </c>
      <c r="U330" s="311">
        <f t="shared" ca="1" si="147"/>
        <v>0</v>
      </c>
      <c r="V330" s="306">
        <f t="shared" ca="1" si="148"/>
        <v>1.1578519332915704</v>
      </c>
      <c r="W330" s="304">
        <f t="shared" ca="1" si="149"/>
        <v>301.97359781046902</v>
      </c>
      <c r="Y330" s="314" t="str">
        <f t="shared" ca="1" si="167"/>
        <v/>
      </c>
      <c r="Z330" s="315" t="str">
        <f t="shared" ca="1" si="168"/>
        <v/>
      </c>
      <c r="AA330" s="316" t="str">
        <f t="shared" ca="1" si="169"/>
        <v/>
      </c>
      <c r="AC330" s="310" t="e">
        <f t="shared" ca="1" si="170"/>
        <v>#N/A</v>
      </c>
      <c r="AD330" s="323" t="e">
        <f t="shared" ca="1" si="171"/>
        <v>#N/A</v>
      </c>
      <c r="AE330" s="324">
        <f t="shared" ca="1" si="150"/>
        <v>563.59411821005699</v>
      </c>
      <c r="AG330" s="306">
        <f t="shared" ca="1" si="172"/>
        <v>49.561312450935418</v>
      </c>
      <c r="AH330" s="304">
        <f t="shared" ca="1" si="173"/>
        <v>59.314219037576564</v>
      </c>
    </row>
    <row r="331" spans="1:34" x14ac:dyDescent="0.2">
      <c r="A331" s="347">
        <f t="shared" ca="1" si="151"/>
        <v>0.01</v>
      </c>
      <c r="B331" s="304">
        <f t="shared" ca="1" si="152"/>
        <v>3.2699999999999743</v>
      </c>
      <c r="D331" s="306">
        <f t="shared" ca="1" si="153"/>
        <v>6.3610012642463767</v>
      </c>
      <c r="E331" s="307">
        <f t="shared" ca="1" si="154"/>
        <v>48.872875386349236</v>
      </c>
      <c r="F331" s="304">
        <f t="shared" ca="1" si="155"/>
        <v>49.285091920512485</v>
      </c>
      <c r="G331" s="306">
        <f t="shared" ca="1" si="156"/>
        <v>33.410440242810672</v>
      </c>
      <c r="H331" s="307">
        <f t="shared" ca="1" si="157"/>
        <v>308.12707083781976</v>
      </c>
      <c r="I331" s="304">
        <f t="shared" ca="1" si="158"/>
        <v>309.93313682198169</v>
      </c>
      <c r="J331" s="306">
        <f t="shared" ca="1" si="159"/>
        <v>58.613959073246448</v>
      </c>
      <c r="K331" s="307">
        <f t="shared" ca="1" si="160"/>
        <v>566.67294527466584</v>
      </c>
      <c r="L331" s="304">
        <f t="shared" ca="1" si="145"/>
        <v>569.69625512592643</v>
      </c>
      <c r="M331" s="306">
        <f t="shared" ca="1" si="161"/>
        <v>1.4627875816762796</v>
      </c>
      <c r="N331" s="304">
        <f t="shared" ca="1" si="162"/>
        <v>83.811554754199022</v>
      </c>
      <c r="P331" s="310">
        <f t="shared" ca="1" si="163"/>
        <v>11</v>
      </c>
      <c r="Q331" s="304">
        <f t="shared" ca="1" si="164"/>
        <v>705.15000000000339</v>
      </c>
      <c r="R331" s="306">
        <f t="shared" ca="1" si="165"/>
        <v>0.35323238375957994</v>
      </c>
      <c r="S331" s="307">
        <f t="shared" ca="1" si="166"/>
        <v>6.8304162253644245</v>
      </c>
      <c r="T331" s="304">
        <f t="shared" ca="1" si="146"/>
        <v>67.006383170825004</v>
      </c>
      <c r="U331" s="311">
        <f t="shared" ca="1" si="147"/>
        <v>0</v>
      </c>
      <c r="V331" s="306">
        <f t="shared" ca="1" si="148"/>
        <v>1.1574952208061484</v>
      </c>
      <c r="W331" s="304">
        <f t="shared" ca="1" si="149"/>
        <v>302.84273043678701</v>
      </c>
      <c r="Y331" s="314" t="str">
        <f t="shared" ca="1" si="167"/>
        <v/>
      </c>
      <c r="Z331" s="315" t="str">
        <f t="shared" ca="1" si="168"/>
        <v/>
      </c>
      <c r="AA331" s="316" t="str">
        <f t="shared" ca="1" si="169"/>
        <v/>
      </c>
      <c r="AC331" s="310" t="e">
        <f t="shared" ca="1" si="170"/>
        <v>#N/A</v>
      </c>
      <c r="AD331" s="323" t="e">
        <f t="shared" ca="1" si="171"/>
        <v>#N/A</v>
      </c>
      <c r="AE331" s="324">
        <f t="shared" ca="1" si="150"/>
        <v>566.67294527466584</v>
      </c>
      <c r="AG331" s="306">
        <f t="shared" ca="1" si="172"/>
        <v>49.273752326534947</v>
      </c>
      <c r="AH331" s="304">
        <f t="shared" ca="1" si="173"/>
        <v>59.026622812876035</v>
      </c>
    </row>
    <row r="332" spans="1:34" x14ac:dyDescent="0.2">
      <c r="A332" s="347">
        <f t="shared" ca="1" si="151"/>
        <v>0.01</v>
      </c>
      <c r="B332" s="304">
        <f t="shared" ca="1" si="152"/>
        <v>3.279999999999974</v>
      </c>
      <c r="D332" s="306">
        <f t="shared" ca="1" si="153"/>
        <v>6.3320378276227816</v>
      </c>
      <c r="E332" s="307">
        <f t="shared" ca="1" si="154"/>
        <v>48.587083488880843</v>
      </c>
      <c r="F332" s="304">
        <f t="shared" ca="1" si="155"/>
        <v>48.997952865460853</v>
      </c>
      <c r="G332" s="306">
        <f t="shared" ca="1" si="156"/>
        <v>33.473760621086903</v>
      </c>
      <c r="H332" s="307">
        <f t="shared" ca="1" si="157"/>
        <v>308.61294167270859</v>
      </c>
      <c r="I332" s="304">
        <f t="shared" ca="1" si="158"/>
        <v>310.42300239834105</v>
      </c>
      <c r="J332" s="306">
        <f t="shared" ca="1" si="159"/>
        <v>58.948380077565936</v>
      </c>
      <c r="K332" s="307">
        <f t="shared" ca="1" si="160"/>
        <v>569.75664533721852</v>
      </c>
      <c r="L332" s="304">
        <f t="shared" ca="1" si="145"/>
        <v>572.79799791871676</v>
      </c>
      <c r="M332" s="306">
        <f t="shared" ca="1" si="161"/>
        <v>1.462753515036453</v>
      </c>
      <c r="N332" s="304">
        <f t="shared" ca="1" si="162"/>
        <v>83.809602879514756</v>
      </c>
      <c r="P332" s="310">
        <f t="shared" ca="1" si="163"/>
        <v>11</v>
      </c>
      <c r="Q332" s="304">
        <f t="shared" ca="1" si="164"/>
        <v>703.85000000000343</v>
      </c>
      <c r="R332" s="306">
        <f t="shared" ca="1" si="165"/>
        <v>0.35258117182043586</v>
      </c>
      <c r="S332" s="307">
        <f t="shared" ca="1" si="166"/>
        <v>6.8268904136462201</v>
      </c>
      <c r="T332" s="304">
        <f t="shared" ca="1" si="146"/>
        <v>66.97179495786942</v>
      </c>
      <c r="U332" s="311">
        <f t="shared" ca="1" si="147"/>
        <v>0</v>
      </c>
      <c r="V332" s="306">
        <f t="shared" ca="1" si="148"/>
        <v>1.1571380507730695</v>
      </c>
      <c r="W332" s="304">
        <f t="shared" ca="1" si="149"/>
        <v>303.70706034753323</v>
      </c>
      <c r="Y332" s="314" t="str">
        <f t="shared" ca="1" si="167"/>
        <v/>
      </c>
      <c r="Z332" s="315" t="str">
        <f t="shared" ca="1" si="168"/>
        <v/>
      </c>
      <c r="AA332" s="316" t="str">
        <f t="shared" ca="1" si="169"/>
        <v/>
      </c>
      <c r="AC332" s="310" t="e">
        <f t="shared" ca="1" si="170"/>
        <v>#N/A</v>
      </c>
      <c r="AD332" s="323" t="e">
        <f t="shared" ca="1" si="171"/>
        <v>#N/A</v>
      </c>
      <c r="AE332" s="324">
        <f t="shared" ca="1" si="150"/>
        <v>569.75664533721852</v>
      </c>
      <c r="AG332" s="306">
        <f t="shared" ca="1" si="172"/>
        <v>48.986539623083154</v>
      </c>
      <c r="AH332" s="304">
        <f t="shared" ca="1" si="173"/>
        <v>58.739374043802727</v>
      </c>
    </row>
    <row r="333" spans="1:34" x14ac:dyDescent="0.2">
      <c r="A333" s="347">
        <f t="shared" ca="1" si="151"/>
        <v>0.01</v>
      </c>
      <c r="B333" s="304">
        <f t="shared" ca="1" si="152"/>
        <v>3.2899999999999738</v>
      </c>
      <c r="D333" s="306">
        <f t="shared" ca="1" si="153"/>
        <v>6.3030902695576598</v>
      </c>
      <c r="E333" s="307">
        <f t="shared" ca="1" si="154"/>
        <v>48.301643078770802</v>
      </c>
      <c r="F333" s="304">
        <f t="shared" ca="1" si="155"/>
        <v>48.71116577392867</v>
      </c>
      <c r="G333" s="306">
        <f t="shared" ca="1" si="156"/>
        <v>33.536791523782483</v>
      </c>
      <c r="H333" s="307">
        <f t="shared" ca="1" si="157"/>
        <v>309.09595810349629</v>
      </c>
      <c r="I333" s="304">
        <f t="shared" ca="1" si="158"/>
        <v>310.90999935934508</v>
      </c>
      <c r="J333" s="306">
        <f t="shared" ca="1" si="159"/>
        <v>59.283432838290281</v>
      </c>
      <c r="K333" s="307">
        <f t="shared" ca="1" si="160"/>
        <v>572.84518983609951</v>
      </c>
      <c r="L333" s="304">
        <f t="shared" ca="1" si="145"/>
        <v>575.904624853325</v>
      </c>
      <c r="M333" s="306">
        <f t="shared" ca="1" si="161"/>
        <v>1.462719491071012</v>
      </c>
      <c r="N333" s="304">
        <f t="shared" ca="1" si="162"/>
        <v>83.807653449892683</v>
      </c>
      <c r="P333" s="310">
        <f t="shared" ca="1" si="163"/>
        <v>11</v>
      </c>
      <c r="Q333" s="304">
        <f t="shared" ca="1" si="164"/>
        <v>702.55000000000337</v>
      </c>
      <c r="R333" s="306">
        <f t="shared" ca="1" si="165"/>
        <v>0.35192995988129178</v>
      </c>
      <c r="S333" s="307">
        <f t="shared" ca="1" si="166"/>
        <v>6.8233711140474069</v>
      </c>
      <c r="T333" s="304">
        <f t="shared" ca="1" si="146"/>
        <v>66.937270628805067</v>
      </c>
      <c r="U333" s="311">
        <f t="shared" ca="1" si="147"/>
        <v>0</v>
      </c>
      <c r="V333" s="306">
        <f t="shared" ca="1" si="148"/>
        <v>1.1567804269585513</v>
      </c>
      <c r="W333" s="304">
        <f t="shared" ca="1" si="149"/>
        <v>304.56657146777616</v>
      </c>
      <c r="Y333" s="314" t="str">
        <f t="shared" ca="1" si="167"/>
        <v/>
      </c>
      <c r="Z333" s="315" t="str">
        <f t="shared" ca="1" si="168"/>
        <v/>
      </c>
      <c r="AA333" s="316" t="str">
        <f t="shared" ca="1" si="169"/>
        <v/>
      </c>
      <c r="AC333" s="310" t="e">
        <f t="shared" ca="1" si="170"/>
        <v>#N/A</v>
      </c>
      <c r="AD333" s="323" t="e">
        <f t="shared" ca="1" si="171"/>
        <v>#N/A</v>
      </c>
      <c r="AE333" s="324">
        <f t="shared" ca="1" si="150"/>
        <v>572.84518983609951</v>
      </c>
      <c r="AG333" s="306">
        <f t="shared" ca="1" si="172"/>
        <v>48.699678104465583</v>
      </c>
      <c r="AH333" s="304">
        <f t="shared" ca="1" si="173"/>
        <v>58.452476493820541</v>
      </c>
    </row>
    <row r="334" spans="1:34" x14ac:dyDescent="0.2">
      <c r="A334" s="347">
        <f t="shared" ca="1" si="151"/>
        <v>0.01</v>
      </c>
      <c r="B334" s="304">
        <f t="shared" ca="1" si="152"/>
        <v>3.2999999999999736</v>
      </c>
      <c r="D334" s="306">
        <f t="shared" ca="1" si="153"/>
        <v>6.274159089532783</v>
      </c>
      <c r="E334" s="307">
        <f t="shared" ca="1" si="154"/>
        <v>48.01655784759955</v>
      </c>
      <c r="F334" s="304">
        <f t="shared" ca="1" si="155"/>
        <v>48.424734380403585</v>
      </c>
      <c r="G334" s="306">
        <f t="shared" ca="1" si="156"/>
        <v>33.599533114677811</v>
      </c>
      <c r="H334" s="307">
        <f t="shared" ca="1" si="157"/>
        <v>309.57612368197226</v>
      </c>
      <c r="I334" s="304">
        <f t="shared" ca="1" si="158"/>
        <v>311.39413125407503</v>
      </c>
      <c r="J334" s="306">
        <f t="shared" ca="1" si="159"/>
        <v>59.619114461482582</v>
      </c>
      <c r="K334" s="307">
        <f t="shared" ca="1" si="160"/>
        <v>575.93855024502682</v>
      </c>
      <c r="L334" s="304">
        <f t="shared" ca="1" si="145"/>
        <v>579.01610726085562</v>
      </c>
      <c r="M334" s="306">
        <f t="shared" ca="1" si="161"/>
        <v>1.4626855093472286</v>
      </c>
      <c r="N334" s="304">
        <f t="shared" ca="1" si="162"/>
        <v>83.805706440539325</v>
      </c>
      <c r="P334" s="310">
        <f t="shared" ca="1" si="163"/>
        <v>11</v>
      </c>
      <c r="Q334" s="304">
        <f t="shared" ca="1" si="164"/>
        <v>701.25000000000341</v>
      </c>
      <c r="R334" s="306">
        <f t="shared" ca="1" si="165"/>
        <v>0.3512787479421477</v>
      </c>
      <c r="S334" s="307">
        <f t="shared" ca="1" si="166"/>
        <v>6.8198583265679851</v>
      </c>
      <c r="T334" s="304">
        <f t="shared" ca="1" si="146"/>
        <v>66.902810183631942</v>
      </c>
      <c r="U334" s="311">
        <f t="shared" ca="1" si="147"/>
        <v>0</v>
      </c>
      <c r="V334" s="306">
        <f t="shared" ca="1" si="148"/>
        <v>1.1564223531211162</v>
      </c>
      <c r="W334" s="304">
        <f t="shared" ca="1" si="149"/>
        <v>305.42124803880216</v>
      </c>
      <c r="Y334" s="314" t="str">
        <f t="shared" ca="1" si="167"/>
        <v/>
      </c>
      <c r="Z334" s="315" t="str">
        <f t="shared" ca="1" si="168"/>
        <v/>
      </c>
      <c r="AA334" s="316" t="str">
        <f t="shared" ca="1" si="169"/>
        <v/>
      </c>
      <c r="AC334" s="310" t="e">
        <f t="shared" ca="1" si="170"/>
        <v>#N/A</v>
      </c>
      <c r="AD334" s="323" t="e">
        <f t="shared" ca="1" si="171"/>
        <v>#N/A</v>
      </c>
      <c r="AE334" s="324">
        <f t="shared" ca="1" si="150"/>
        <v>575.93855024502682</v>
      </c>
      <c r="AG334" s="306">
        <f t="shared" ca="1" si="172"/>
        <v>48.413171493758881</v>
      </c>
      <c r="AH334" s="304">
        <f t="shared" ca="1" si="173"/>
        <v>58.165933885587563</v>
      </c>
    </row>
    <row r="335" spans="1:34" x14ac:dyDescent="0.2">
      <c r="A335" s="347">
        <f t="shared" ca="1" si="151"/>
        <v>0.01</v>
      </c>
      <c r="B335" s="304">
        <f t="shared" ca="1" si="152"/>
        <v>3.3099999999999734</v>
      </c>
      <c r="D335" s="306">
        <f t="shared" ca="1" si="153"/>
        <v>6.2452447823486166</v>
      </c>
      <c r="E335" s="307">
        <f t="shared" ca="1" si="154"/>
        <v>47.731831446460198</v>
      </c>
      <c r="F335" s="304">
        <f t="shared" ca="1" si="155"/>
        <v>48.138662378848245</v>
      </c>
      <c r="G335" s="306">
        <f t="shared" ca="1" si="156"/>
        <v>33.6619855625013</v>
      </c>
      <c r="H335" s="307">
        <f t="shared" ca="1" si="157"/>
        <v>310.05344199643685</v>
      </c>
      <c r="I335" s="304">
        <f t="shared" ca="1" si="158"/>
        <v>311.87540166843536</v>
      </c>
      <c r="J335" s="306">
        <f t="shared" ca="1" si="159"/>
        <v>59.955422054868478</v>
      </c>
      <c r="K335" s="307">
        <f t="shared" ca="1" si="160"/>
        <v>579.03669807341885</v>
      </c>
      <c r="L335" s="304">
        <f t="shared" ca="1" si="145"/>
        <v>582.13241650808709</v>
      </c>
      <c r="M335" s="306">
        <f t="shared" ca="1" si="161"/>
        <v>1.4626515694358084</v>
      </c>
      <c r="N335" s="304">
        <f t="shared" ca="1" si="162"/>
        <v>83.803761826857894</v>
      </c>
      <c r="P335" s="310">
        <f t="shared" ca="1" si="163"/>
        <v>11</v>
      </c>
      <c r="Q335" s="304">
        <f t="shared" ca="1" si="164"/>
        <v>699.95000000000346</v>
      </c>
      <c r="R335" s="306">
        <f t="shared" ca="1" si="165"/>
        <v>0.35062753600300361</v>
      </c>
      <c r="S335" s="307">
        <f t="shared" ca="1" si="166"/>
        <v>6.8163520512079554</v>
      </c>
      <c r="T335" s="304">
        <f t="shared" ca="1" si="146"/>
        <v>66.868413622350047</v>
      </c>
      <c r="U335" s="311">
        <f t="shared" ca="1" si="147"/>
        <v>0</v>
      </c>
      <c r="V335" s="306">
        <f t="shared" ca="1" si="148"/>
        <v>1.156063833011548</v>
      </c>
      <c r="W335" s="304">
        <f t="shared" ca="1" si="149"/>
        <v>306.27107461672398</v>
      </c>
      <c r="Y335" s="314" t="str">
        <f t="shared" ca="1" si="167"/>
        <v/>
      </c>
      <c r="Z335" s="315" t="str">
        <f t="shared" ca="1" si="168"/>
        <v/>
      </c>
      <c r="AA335" s="316" t="str">
        <f t="shared" ca="1" si="169"/>
        <v/>
      </c>
      <c r="AC335" s="310" t="e">
        <f t="shared" ca="1" si="170"/>
        <v>#N/A</v>
      </c>
      <c r="AD335" s="323" t="e">
        <f t="shared" ca="1" si="171"/>
        <v>#N/A</v>
      </c>
      <c r="AE335" s="324">
        <f t="shared" ca="1" si="150"/>
        <v>579.03669807341885</v>
      </c>
      <c r="AG335" s="306">
        <f t="shared" ca="1" si="172"/>
        <v>48.127023473291892</v>
      </c>
      <c r="AH335" s="304">
        <f t="shared" ca="1" si="173"/>
        <v>57.879749901017092</v>
      </c>
    </row>
    <row r="336" spans="1:34" x14ac:dyDescent="0.2">
      <c r="A336" s="347">
        <f t="shared" ca="1" si="151"/>
        <v>0.01</v>
      </c>
      <c r="B336" s="304">
        <f t="shared" ca="1" si="152"/>
        <v>3.3199999999999732</v>
      </c>
      <c r="D336" s="306">
        <f t="shared" ca="1" si="153"/>
        <v>6.2163478381317967</v>
      </c>
      <c r="E336" s="307">
        <f t="shared" ca="1" si="154"/>
        <v>47.447467486022347</v>
      </c>
      <c r="F336" s="304">
        <f t="shared" ca="1" si="155"/>
        <v>47.852953422769986</v>
      </c>
      <c r="G336" s="306">
        <f t="shared" ca="1" si="156"/>
        <v>33.724149040882615</v>
      </c>
      <c r="H336" s="307">
        <f t="shared" ca="1" si="157"/>
        <v>310.52791667129708</v>
      </c>
      <c r="I336" s="304">
        <f t="shared" ca="1" si="158"/>
        <v>312.35381422474688</v>
      </c>
      <c r="J336" s="306">
        <f t="shared" ca="1" si="159"/>
        <v>60.292352727885401</v>
      </c>
      <c r="K336" s="307">
        <f t="shared" ca="1" si="160"/>
        <v>582.13960486675751</v>
      </c>
      <c r="L336" s="304">
        <f t="shared" ca="1" si="145"/>
        <v>585.25352399783833</v>
      </c>
      <c r="M336" s="306">
        <f t="shared" ca="1" si="161"/>
        <v>1.46261767091085</v>
      </c>
      <c r="N336" s="304">
        <f t="shared" ca="1" si="162"/>
        <v>83.801819584446065</v>
      </c>
      <c r="P336" s="310">
        <f t="shared" ca="1" si="163"/>
        <v>11</v>
      </c>
      <c r="Q336" s="304">
        <f t="shared" ca="1" si="164"/>
        <v>698.6500000000035</v>
      </c>
      <c r="R336" s="306">
        <f t="shared" ca="1" si="165"/>
        <v>0.34997632406385959</v>
      </c>
      <c r="S336" s="307">
        <f t="shared" ca="1" si="166"/>
        <v>6.812852287967317</v>
      </c>
      <c r="T336" s="304">
        <f t="shared" ca="1" si="146"/>
        <v>66.834080944959382</v>
      </c>
      <c r="U336" s="311">
        <f t="shared" ca="1" si="147"/>
        <v>0</v>
      </c>
      <c r="V336" s="306">
        <f t="shared" ca="1" si="148"/>
        <v>1.1557048703728394</v>
      </c>
      <c r="W336" s="304">
        <f t="shared" ca="1" si="149"/>
        <v>307.11603607107043</v>
      </c>
      <c r="Y336" s="314" t="str">
        <f t="shared" ca="1" si="167"/>
        <v/>
      </c>
      <c r="Z336" s="315" t="str">
        <f t="shared" ca="1" si="168"/>
        <v/>
      </c>
      <c r="AA336" s="316" t="str">
        <f t="shared" ca="1" si="169"/>
        <v/>
      </c>
      <c r="AC336" s="310" t="e">
        <f t="shared" ca="1" si="170"/>
        <v>#N/A</v>
      </c>
      <c r="AD336" s="323" t="e">
        <f t="shared" ca="1" si="171"/>
        <v>#N/A</v>
      </c>
      <c r="AE336" s="324">
        <f t="shared" ca="1" si="150"/>
        <v>582.13960486675751</v>
      </c>
      <c r="AG336" s="306">
        <f t="shared" ca="1" si="172"/>
        <v>47.841237684709732</v>
      </c>
      <c r="AH336" s="304">
        <f t="shared" ca="1" si="173"/>
        <v>57.593928181341759</v>
      </c>
    </row>
    <row r="337" spans="1:34" x14ac:dyDescent="0.2">
      <c r="A337" s="347">
        <f t="shared" ca="1" si="151"/>
        <v>0.01</v>
      </c>
      <c r="B337" s="304">
        <f t="shared" ca="1" si="152"/>
        <v>3.329999999999973</v>
      </c>
      <c r="D337" s="306">
        <f t="shared" ca="1" si="153"/>
        <v>6.1874687423427366</v>
      </c>
      <c r="E337" s="307">
        <f t="shared" ca="1" si="154"/>
        <v>47.163469536599273</v>
      </c>
      <c r="F337" s="304">
        <f t="shared" ca="1" si="155"/>
        <v>47.567611125294029</v>
      </c>
      <c r="G337" s="306">
        <f t="shared" ca="1" si="156"/>
        <v>33.786023728306041</v>
      </c>
      <c r="H337" s="307">
        <f t="shared" ca="1" si="157"/>
        <v>310.99955136666307</v>
      </c>
      <c r="I337" s="304">
        <f t="shared" ca="1" si="158"/>
        <v>312.82937258134081</v>
      </c>
      <c r="J337" s="306">
        <f t="shared" ca="1" si="159"/>
        <v>60.629903591731342</v>
      </c>
      <c r="K337" s="307">
        <f t="shared" ca="1" si="160"/>
        <v>585.24724220694736</v>
      </c>
      <c r="L337" s="304">
        <f t="shared" ca="1" si="145"/>
        <v>588.37940116933055</v>
      </c>
      <c r="M337" s="306">
        <f t="shared" ca="1" si="161"/>
        <v>1.462583813349803</v>
      </c>
      <c r="N337" s="304">
        <f t="shared" ca="1" si="162"/>
        <v>83.799879689093459</v>
      </c>
      <c r="P337" s="310">
        <f t="shared" ca="1" si="163"/>
        <v>11</v>
      </c>
      <c r="Q337" s="304">
        <f t="shared" ca="1" si="164"/>
        <v>697.35000000000355</v>
      </c>
      <c r="R337" s="306">
        <f t="shared" ca="1" si="165"/>
        <v>0.34932511212471551</v>
      </c>
      <c r="S337" s="307">
        <f t="shared" ca="1" si="166"/>
        <v>6.8093590368460699</v>
      </c>
      <c r="T337" s="304">
        <f t="shared" ca="1" si="146"/>
        <v>66.799812151459946</v>
      </c>
      <c r="U337" s="311">
        <f t="shared" ca="1" si="147"/>
        <v>0</v>
      </c>
      <c r="V337" s="306">
        <f t="shared" ca="1" si="148"/>
        <v>1.1553454689401488</v>
      </c>
      <c r="W337" s="304">
        <f t="shared" ca="1" si="149"/>
        <v>307.95611758336292</v>
      </c>
      <c r="Y337" s="314" t="str">
        <f t="shared" ca="1" si="167"/>
        <v/>
      </c>
      <c r="Z337" s="315" t="str">
        <f t="shared" ca="1" si="168"/>
        <v/>
      </c>
      <c r="AA337" s="316" t="str">
        <f t="shared" ca="1" si="169"/>
        <v/>
      </c>
      <c r="AC337" s="310" t="e">
        <f t="shared" ca="1" si="170"/>
        <v>#N/A</v>
      </c>
      <c r="AD337" s="323" t="e">
        <f t="shared" ca="1" si="171"/>
        <v>#N/A</v>
      </c>
      <c r="AE337" s="324">
        <f t="shared" ca="1" si="150"/>
        <v>585.24724220694736</v>
      </c>
      <c r="AG337" s="306">
        <f t="shared" ca="1" si="172"/>
        <v>47.555817729041422</v>
      </c>
      <c r="AH337" s="304">
        <f t="shared" ca="1" si="173"/>
        <v>57.308472327181036</v>
      </c>
    </row>
    <row r="338" spans="1:34" x14ac:dyDescent="0.2">
      <c r="A338" s="347">
        <f t="shared" ca="1" si="151"/>
        <v>0.01</v>
      </c>
      <c r="B338" s="304">
        <f t="shared" ca="1" si="152"/>
        <v>3.3399999999999728</v>
      </c>
      <c r="D338" s="306">
        <f t="shared" ca="1" si="153"/>
        <v>6.1586079757836556</v>
      </c>
      <c r="E338" s="307">
        <f t="shared" ca="1" si="154"/>
        <v>46.879841128217876</v>
      </c>
      <c r="F338" s="304">
        <f t="shared" ca="1" si="155"/>
        <v>47.282639059239642</v>
      </c>
      <c r="G338" s="306">
        <f t="shared" ca="1" si="156"/>
        <v>33.847609808063879</v>
      </c>
      <c r="H338" s="307">
        <f t="shared" ca="1" si="157"/>
        <v>311.46834977794526</v>
      </c>
      <c r="I338" s="304">
        <f t="shared" ca="1" si="158"/>
        <v>313.30208043215322</v>
      </c>
      <c r="J338" s="306">
        <f t="shared" ca="1" si="159"/>
        <v>60.968071759413192</v>
      </c>
      <c r="K338" s="307">
        <f t="shared" ca="1" si="160"/>
        <v>588.35958171267043</v>
      </c>
      <c r="L338" s="304">
        <f t="shared" ca="1" si="145"/>
        <v>591.51001949854526</v>
      </c>
      <c r="M338" s="306">
        <f t="shared" ca="1" si="161"/>
        <v>1.4625499963334279</v>
      </c>
      <c r="N338" s="304">
        <f t="shared" ca="1" si="162"/>
        <v>83.797942116779438</v>
      </c>
      <c r="P338" s="310">
        <f t="shared" ca="1" si="163"/>
        <v>11</v>
      </c>
      <c r="Q338" s="304">
        <f t="shared" ca="1" si="164"/>
        <v>696.05000000000359</v>
      </c>
      <c r="R338" s="306">
        <f t="shared" ca="1" si="165"/>
        <v>0.34867390018557143</v>
      </c>
      <c r="S338" s="307">
        <f t="shared" ca="1" si="166"/>
        <v>6.8058722978442141</v>
      </c>
      <c r="T338" s="304">
        <f t="shared" ca="1" si="146"/>
        <v>66.76560724185174</v>
      </c>
      <c r="U338" s="311">
        <f t="shared" ca="1" si="147"/>
        <v>0</v>
      </c>
      <c r="V338" s="306">
        <f t="shared" ca="1" si="148"/>
        <v>1.1549856324407499</v>
      </c>
      <c r="W338" s="304">
        <f t="shared" ca="1" si="149"/>
        <v>308.7913046456739</v>
      </c>
      <c r="Y338" s="314" t="str">
        <f t="shared" ca="1" si="167"/>
        <v/>
      </c>
      <c r="Z338" s="315" t="str">
        <f t="shared" ca="1" si="168"/>
        <v/>
      </c>
      <c r="AA338" s="316" t="str">
        <f t="shared" ca="1" si="169"/>
        <v/>
      </c>
      <c r="AC338" s="310" t="e">
        <f t="shared" ca="1" si="170"/>
        <v>#N/A</v>
      </c>
      <c r="AD338" s="323" t="e">
        <f t="shared" ca="1" si="171"/>
        <v>#N/A</v>
      </c>
      <c r="AE338" s="324">
        <f t="shared" ca="1" si="150"/>
        <v>588.35958171267043</v>
      </c>
      <c r="AG338" s="306">
        <f t="shared" ca="1" si="172"/>
        <v>47.270767166770177</v>
      </c>
      <c r="AH338" s="304">
        <f t="shared" ca="1" si="173"/>
        <v>57.023385898611537</v>
      </c>
    </row>
    <row r="339" spans="1:34" x14ac:dyDescent="0.2">
      <c r="A339" s="347">
        <f t="shared" ca="1" si="151"/>
        <v>0.01</v>
      </c>
      <c r="B339" s="304">
        <f t="shared" ca="1" si="152"/>
        <v>3.3499999999999726</v>
      </c>
      <c r="D339" s="306">
        <f t="shared" ca="1" si="153"/>
        <v>6.129766014606818</v>
      </c>
      <c r="E339" s="307">
        <f t="shared" ca="1" si="154"/>
        <v>46.596585750692</v>
      </c>
      <c r="F339" s="304">
        <f t="shared" ca="1" si="155"/>
        <v>46.998040757199881</v>
      </c>
      <c r="G339" s="306">
        <f t="shared" ca="1" si="156"/>
        <v>33.908907468209947</v>
      </c>
      <c r="H339" s="307">
        <f t="shared" ca="1" si="157"/>
        <v>311.93431563545221</v>
      </c>
      <c r="I339" s="304">
        <f t="shared" ca="1" si="158"/>
        <v>313.7719415063201</v>
      </c>
      <c r="J339" s="306">
        <f t="shared" ca="1" si="159"/>
        <v>61.306854345794562</v>
      </c>
      <c r="K339" s="307">
        <f t="shared" ca="1" si="160"/>
        <v>591.47659503973739</v>
      </c>
      <c r="L339" s="304">
        <f t="shared" ca="1" si="145"/>
        <v>594.64535049857909</v>
      </c>
      <c r="M339" s="306">
        <f t="shared" ca="1" si="161"/>
        <v>1.4625162194457555</v>
      </c>
      <c r="N339" s="304">
        <f t="shared" ca="1" si="162"/>
        <v>83.796006843670725</v>
      </c>
      <c r="P339" s="310">
        <f t="shared" ca="1" si="163"/>
        <v>11</v>
      </c>
      <c r="Q339" s="304">
        <f t="shared" ca="1" si="164"/>
        <v>694.75000000000352</v>
      </c>
      <c r="R339" s="306">
        <f t="shared" ca="1" si="165"/>
        <v>0.34802268824642735</v>
      </c>
      <c r="S339" s="307">
        <f t="shared" ca="1" si="166"/>
        <v>6.8023920709617496</v>
      </c>
      <c r="T339" s="304">
        <f t="shared" ca="1" si="146"/>
        <v>66.731466216134763</v>
      </c>
      <c r="U339" s="311">
        <f t="shared" ca="1" si="147"/>
        <v>0</v>
      </c>
      <c r="V339" s="306">
        <f t="shared" ca="1" si="148"/>
        <v>1.1546253645939877</v>
      </c>
      <c r="W339" s="304">
        <f t="shared" ca="1" si="149"/>
        <v>309.62158305917131</v>
      </c>
      <c r="Y339" s="314" t="str">
        <f t="shared" ca="1" si="167"/>
        <v/>
      </c>
      <c r="Z339" s="315" t="str">
        <f t="shared" ca="1" si="168"/>
        <v/>
      </c>
      <c r="AA339" s="316" t="str">
        <f t="shared" ca="1" si="169"/>
        <v/>
      </c>
      <c r="AC339" s="310" t="e">
        <f t="shared" ca="1" si="170"/>
        <v>#N/A</v>
      </c>
      <c r="AD339" s="323" t="e">
        <f t="shared" ca="1" si="171"/>
        <v>#N/A</v>
      </c>
      <c r="AE339" s="324">
        <f t="shared" ca="1" si="150"/>
        <v>591.47659503973739</v>
      </c>
      <c r="AG339" s="306">
        <f t="shared" ca="1" si="172"/>
        <v>46.986089517907153</v>
      </c>
      <c r="AH339" s="304">
        <f t="shared" ca="1" si="173"/>
        <v>56.738672415240721</v>
      </c>
    </row>
    <row r="340" spans="1:34" x14ac:dyDescent="0.2">
      <c r="A340" s="347">
        <f t="shared" ca="1" si="151"/>
        <v>0.01</v>
      </c>
      <c r="B340" s="304">
        <f t="shared" ca="1" si="152"/>
        <v>3.3599999999999723</v>
      </c>
      <c r="D340" s="306">
        <f t="shared" ca="1" si="153"/>
        <v>6.100943330323096</v>
      </c>
      <c r="E340" s="307">
        <f t="shared" ca="1" si="154"/>
        <v>46.313706853698768</v>
      </c>
      <c r="F340" s="304">
        <f t="shared" ca="1" si="155"/>
        <v>46.71381971162451</v>
      </c>
      <c r="G340" s="306">
        <f t="shared" ca="1" si="156"/>
        <v>33.96991690151318</v>
      </c>
      <c r="H340" s="307">
        <f t="shared" ca="1" si="157"/>
        <v>312.39745270398919</v>
      </c>
      <c r="I340" s="304">
        <f t="shared" ca="1" si="158"/>
        <v>314.23895956777363</v>
      </c>
      <c r="J340" s="306">
        <f t="shared" ca="1" si="159"/>
        <v>61.646248467643176</v>
      </c>
      <c r="K340" s="307">
        <f t="shared" ca="1" si="160"/>
        <v>594.59825388143463</v>
      </c>
      <c r="L340" s="304">
        <f t="shared" ca="1" si="145"/>
        <v>597.78536571999268</v>
      </c>
      <c r="M340" s="306">
        <f t="shared" ca="1" si="161"/>
        <v>1.4624824822740485</v>
      </c>
      <c r="N340" s="304">
        <f t="shared" ca="1" si="162"/>
        <v>83.794073846119218</v>
      </c>
      <c r="P340" s="310">
        <f t="shared" ca="1" si="163"/>
        <v>11</v>
      </c>
      <c r="Q340" s="304">
        <f t="shared" ca="1" si="164"/>
        <v>693.45000000000357</v>
      </c>
      <c r="R340" s="306">
        <f t="shared" ca="1" si="165"/>
        <v>0.34737147630728327</v>
      </c>
      <c r="S340" s="307">
        <f t="shared" ca="1" si="166"/>
        <v>6.7989183561986763</v>
      </c>
      <c r="T340" s="304">
        <f t="shared" ca="1" si="146"/>
        <v>66.697389074309015</v>
      </c>
      <c r="U340" s="311">
        <f t="shared" ca="1" si="147"/>
        <v>0</v>
      </c>
      <c r="V340" s="306">
        <f t="shared" ca="1" si="148"/>
        <v>1.1542646691112335</v>
      </c>
      <c r="W340" s="304">
        <f t="shared" ca="1" si="149"/>
        <v>310.44693893264821</v>
      </c>
      <c r="Y340" s="314" t="str">
        <f t="shared" ca="1" si="167"/>
        <v/>
      </c>
      <c r="Z340" s="315" t="str">
        <f t="shared" ca="1" si="168"/>
        <v/>
      </c>
      <c r="AA340" s="316" t="str">
        <f t="shared" ca="1" si="169"/>
        <v/>
      </c>
      <c r="AC340" s="310" t="e">
        <f t="shared" ca="1" si="170"/>
        <v>#N/A</v>
      </c>
      <c r="AD340" s="323" t="e">
        <f t="shared" ca="1" si="171"/>
        <v>#N/A</v>
      </c>
      <c r="AE340" s="324">
        <f t="shared" ca="1" si="150"/>
        <v>594.59825388143463</v>
      </c>
      <c r="AG340" s="306">
        <f t="shared" ca="1" si="172"/>
        <v>46.701788262068163</v>
      </c>
      <c r="AH340" s="304">
        <f t="shared" ca="1" si="173"/>
        <v>56.454335356283565</v>
      </c>
    </row>
    <row r="341" spans="1:34" x14ac:dyDescent="0.2">
      <c r="A341" s="347">
        <f t="shared" ca="1" si="151"/>
        <v>0.01</v>
      </c>
      <c r="B341" s="304">
        <f t="shared" ca="1" si="152"/>
        <v>3.3699999999999721</v>
      </c>
      <c r="D341" s="306">
        <f t="shared" ca="1" si="153"/>
        <v>6.0721403898107429</v>
      </c>
      <c r="E341" s="307">
        <f t="shared" ca="1" si="154"/>
        <v>46.031207846857711</v>
      </c>
      <c r="F341" s="304">
        <f t="shared" ca="1" si="155"/>
        <v>46.429979374905884</v>
      </c>
      <c r="G341" s="306">
        <f t="shared" ca="1" si="156"/>
        <v>34.030638305411287</v>
      </c>
      <c r="H341" s="307">
        <f t="shared" ca="1" si="157"/>
        <v>312.85776478245776</v>
      </c>
      <c r="I341" s="304">
        <f t="shared" ca="1" si="158"/>
        <v>314.70313841483915</v>
      </c>
      <c r="J341" s="306">
        <f t="shared" ca="1" si="159"/>
        <v>61.986251243677799</v>
      </c>
      <c r="K341" s="307">
        <f t="shared" ca="1" si="160"/>
        <v>597.72452996886682</v>
      </c>
      <c r="L341" s="304">
        <f t="shared" ca="1" si="145"/>
        <v>600.9300367511571</v>
      </c>
      <c r="M341" s="306">
        <f t="shared" ca="1" si="161"/>
        <v>1.4624487844087624</v>
      </c>
      <c r="N341" s="304">
        <f t="shared" ca="1" si="162"/>
        <v>83.792143100659715</v>
      </c>
      <c r="P341" s="310">
        <f t="shared" ca="1" si="163"/>
        <v>11</v>
      </c>
      <c r="Q341" s="304">
        <f t="shared" ca="1" si="164"/>
        <v>692.15000000000362</v>
      </c>
      <c r="R341" s="306">
        <f t="shared" ca="1" si="165"/>
        <v>0.34672026436813919</v>
      </c>
      <c r="S341" s="307">
        <f t="shared" ca="1" si="166"/>
        <v>6.7954511535549953</v>
      </c>
      <c r="T341" s="304">
        <f t="shared" ca="1" si="146"/>
        <v>66.663375816374511</v>
      </c>
      <c r="U341" s="311">
        <f t="shared" ca="1" si="147"/>
        <v>0</v>
      </c>
      <c r="V341" s="306">
        <f t="shared" ca="1" si="148"/>
        <v>1.1539035496958396</v>
      </c>
      <c r="W341" s="304">
        <f t="shared" ca="1" si="149"/>
        <v>311.26735868103805</v>
      </c>
      <c r="Y341" s="314" t="str">
        <f t="shared" ca="1" si="167"/>
        <v/>
      </c>
      <c r="Z341" s="315" t="str">
        <f t="shared" ca="1" si="168"/>
        <v/>
      </c>
      <c r="AA341" s="316" t="str">
        <f t="shared" ca="1" si="169"/>
        <v/>
      </c>
      <c r="AC341" s="310" t="e">
        <f t="shared" ca="1" si="170"/>
        <v>#N/A</v>
      </c>
      <c r="AD341" s="323" t="e">
        <f t="shared" ca="1" si="171"/>
        <v>#N/A</v>
      </c>
      <c r="AE341" s="324">
        <f t="shared" ca="1" si="150"/>
        <v>597.72452996886682</v>
      </c>
      <c r="AG341" s="306">
        <f t="shared" ca="1" si="172"/>
        <v>46.417866838553202</v>
      </c>
      <c r="AH341" s="304">
        <f t="shared" ca="1" si="173"/>
        <v>56.170378160642059</v>
      </c>
    </row>
    <row r="342" spans="1:34" x14ac:dyDescent="0.2">
      <c r="A342" s="347">
        <f t="shared" ca="1" si="151"/>
        <v>0.01</v>
      </c>
      <c r="B342" s="304">
        <f t="shared" ca="1" si="152"/>
        <v>3.3799999999999719</v>
      </c>
      <c r="D342" s="306">
        <f t="shared" ca="1" si="153"/>
        <v>6.0433576553244768</v>
      </c>
      <c r="E342" s="307">
        <f t="shared" ca="1" si="154"/>
        <v>45.749092099812955</v>
      </c>
      <c r="F342" s="304">
        <f t="shared" ca="1" si="155"/>
        <v>46.146523159468224</v>
      </c>
      <c r="G342" s="306">
        <f t="shared" ca="1" si="156"/>
        <v>34.091071881964531</v>
      </c>
      <c r="H342" s="307">
        <f t="shared" ca="1" si="157"/>
        <v>313.31525570345588</v>
      </c>
      <c r="I342" s="304">
        <f t="shared" ca="1" si="158"/>
        <v>315.16448187983241</v>
      </c>
      <c r="J342" s="306">
        <f t="shared" ca="1" si="159"/>
        <v>62.326859794614677</v>
      </c>
      <c r="K342" s="307">
        <f t="shared" ca="1" si="160"/>
        <v>600.85539507129636</v>
      </c>
      <c r="L342" s="304">
        <f t="shared" ca="1" si="145"/>
        <v>604.07933521859627</v>
      </c>
      <c r="M342" s="306">
        <f t="shared" ca="1" si="161"/>
        <v>1.4624151254435065</v>
      </c>
      <c r="N342" s="304">
        <f t="shared" ca="1" si="162"/>
        <v>83.790214584007771</v>
      </c>
      <c r="P342" s="310">
        <f t="shared" ca="1" si="163"/>
        <v>11</v>
      </c>
      <c r="Q342" s="304">
        <f t="shared" ca="1" si="164"/>
        <v>690.85000000000366</v>
      </c>
      <c r="R342" s="306">
        <f t="shared" ca="1" si="165"/>
        <v>0.34606905242899516</v>
      </c>
      <c r="S342" s="307">
        <f t="shared" ca="1" si="166"/>
        <v>6.7919904630307055</v>
      </c>
      <c r="T342" s="304">
        <f t="shared" ca="1" si="146"/>
        <v>66.629426442331223</v>
      </c>
      <c r="U342" s="311">
        <f t="shared" ca="1" si="147"/>
        <v>0</v>
      </c>
      <c r="V342" s="306">
        <f t="shared" ca="1" si="148"/>
        <v>1.1535420100430942</v>
      </c>
      <c r="W342" s="304">
        <f t="shared" ca="1" si="149"/>
        <v>312.08282902391437</v>
      </c>
      <c r="Y342" s="314" t="str">
        <f t="shared" ca="1" si="167"/>
        <v/>
      </c>
      <c r="Z342" s="315" t="str">
        <f t="shared" ca="1" si="168"/>
        <v/>
      </c>
      <c r="AA342" s="316" t="str">
        <f t="shared" ca="1" si="169"/>
        <v/>
      </c>
      <c r="AC342" s="310" t="e">
        <f t="shared" ca="1" si="170"/>
        <v>#N/A</v>
      </c>
      <c r="AD342" s="323" t="e">
        <f t="shared" ca="1" si="171"/>
        <v>#N/A</v>
      </c>
      <c r="AE342" s="324">
        <f t="shared" ca="1" si="150"/>
        <v>600.85539507129636</v>
      </c>
      <c r="AG342" s="306">
        <f t="shared" ca="1" si="172"/>
        <v>46.134328646429132</v>
      </c>
      <c r="AH342" s="304">
        <f t="shared" ca="1" si="173"/>
        <v>55.886804226987856</v>
      </c>
    </row>
    <row r="343" spans="1:34" x14ac:dyDescent="0.2">
      <c r="A343" s="347">
        <f t="shared" ca="1" si="151"/>
        <v>0.01</v>
      </c>
      <c r="B343" s="304">
        <f t="shared" ca="1" si="152"/>
        <v>3.3899999999999717</v>
      </c>
      <c r="D343" s="306">
        <f t="shared" ca="1" si="153"/>
        <v>6.0145955845048666</v>
      </c>
      <c r="E343" s="307">
        <f t="shared" ca="1" si="154"/>
        <v>45.467362942318445</v>
      </c>
      <c r="F343" s="304">
        <f t="shared" ca="1" si="155"/>
        <v>45.863454437859971</v>
      </c>
      <c r="G343" s="306">
        <f t="shared" ca="1" si="156"/>
        <v>34.151217837809583</v>
      </c>
      <c r="H343" s="307">
        <f t="shared" ca="1" si="157"/>
        <v>313.76992933287909</v>
      </c>
      <c r="I343" s="304">
        <f t="shared" ca="1" si="158"/>
        <v>315.62299382865859</v>
      </c>
      <c r="J343" s="306">
        <f t="shared" ca="1" si="159"/>
        <v>62.668071243213546</v>
      </c>
      <c r="K343" s="307">
        <f t="shared" ca="1" si="160"/>
        <v>603.99082099647808</v>
      </c>
      <c r="L343" s="304">
        <f t="shared" ca="1" si="145"/>
        <v>607.23323278732369</v>
      </c>
      <c r="M343" s="306">
        <f t="shared" ca="1" si="161"/>
        <v>1.4623815049750064</v>
      </c>
      <c r="N343" s="304">
        <f t="shared" ca="1" si="162"/>
        <v>83.788288273057461</v>
      </c>
      <c r="P343" s="310">
        <f t="shared" ca="1" si="163"/>
        <v>11</v>
      </c>
      <c r="Q343" s="304">
        <f t="shared" ca="1" si="164"/>
        <v>689.55000000000371</v>
      </c>
      <c r="R343" s="306">
        <f t="shared" ca="1" si="165"/>
        <v>0.34541784048985108</v>
      </c>
      <c r="S343" s="307">
        <f t="shared" ca="1" si="166"/>
        <v>6.788536284625807</v>
      </c>
      <c r="T343" s="304">
        <f t="shared" ca="1" si="146"/>
        <v>66.595540952179164</v>
      </c>
      <c r="U343" s="311">
        <f t="shared" ca="1" si="147"/>
        <v>0</v>
      </c>
      <c r="V343" s="306">
        <f t="shared" ca="1" si="148"/>
        <v>1.1531800538401811</v>
      </c>
      <c r="W343" s="304">
        <f t="shared" ca="1" si="149"/>
        <v>312.89333698397877</v>
      </c>
      <c r="Y343" s="314" t="str">
        <f t="shared" ca="1" si="167"/>
        <v/>
      </c>
      <c r="Z343" s="315" t="str">
        <f t="shared" ca="1" si="168"/>
        <v/>
      </c>
      <c r="AA343" s="316" t="str">
        <f t="shared" ca="1" si="169"/>
        <v/>
      </c>
      <c r="AC343" s="310" t="e">
        <f t="shared" ca="1" si="170"/>
        <v>#N/A</v>
      </c>
      <c r="AD343" s="323" t="e">
        <f t="shared" ca="1" si="171"/>
        <v>#N/A</v>
      </c>
      <c r="AE343" s="324">
        <f t="shared" ca="1" si="150"/>
        <v>603.99082099647808</v>
      </c>
      <c r="AG343" s="306">
        <f t="shared" ca="1" si="172"/>
        <v>45.851177044615277</v>
      </c>
      <c r="AH343" s="304">
        <f t="shared" ca="1" si="173"/>
        <v>55.603616913847844</v>
      </c>
    </row>
    <row r="344" spans="1:34" x14ac:dyDescent="0.2">
      <c r="A344" s="347">
        <f t="shared" ca="1" si="151"/>
        <v>0.01</v>
      </c>
      <c r="B344" s="304">
        <f t="shared" ca="1" si="152"/>
        <v>3.3999999999999715</v>
      </c>
      <c r="D344" s="306">
        <f t="shared" ca="1" si="153"/>
        <v>5.9858546303879718</v>
      </c>
      <c r="E344" s="307">
        <f t="shared" ca="1" si="154"/>
        <v>45.186023664325781</v>
      </c>
      <c r="F344" s="304">
        <f t="shared" ca="1" si="155"/>
        <v>45.580776542849144</v>
      </c>
      <c r="G344" s="306">
        <f t="shared" ca="1" si="156"/>
        <v>34.211076384113461</v>
      </c>
      <c r="H344" s="307">
        <f t="shared" ca="1" si="157"/>
        <v>314.22178956952234</v>
      </c>
      <c r="I344" s="304">
        <f t="shared" ca="1" si="158"/>
        <v>316.07867816041124</v>
      </c>
      <c r="J344" s="306">
        <f t="shared" ca="1" si="159"/>
        <v>63.009882714323162</v>
      </c>
      <c r="K344" s="307">
        <f t="shared" ca="1" si="160"/>
        <v>607.13077959099007</v>
      </c>
      <c r="L344" s="304">
        <f t="shared" ca="1" si="145"/>
        <v>610.39170116117737</v>
      </c>
      <c r="M344" s="306">
        <f t="shared" ca="1" si="161"/>
        <v>1.4623479226030678</v>
      </c>
      <c r="N344" s="304">
        <f t="shared" ca="1" si="162"/>
        <v>83.786364144879343</v>
      </c>
      <c r="P344" s="310">
        <f t="shared" ca="1" si="163"/>
        <v>11</v>
      </c>
      <c r="Q344" s="304">
        <f t="shared" ca="1" si="164"/>
        <v>688.25000000000375</v>
      </c>
      <c r="R344" s="306">
        <f t="shared" ca="1" si="165"/>
        <v>0.344766628550707</v>
      </c>
      <c r="S344" s="307">
        <f t="shared" ca="1" si="166"/>
        <v>6.7850886183402999</v>
      </c>
      <c r="T344" s="304">
        <f t="shared" ca="1" si="146"/>
        <v>66.561719345918348</v>
      </c>
      <c r="U344" s="311">
        <f t="shared" ca="1" si="147"/>
        <v>0</v>
      </c>
      <c r="V344" s="306">
        <f t="shared" ca="1" si="148"/>
        <v>1.1528176847661349</v>
      </c>
      <c r="W344" s="304">
        <f t="shared" ca="1" si="149"/>
        <v>313.69886988553321</v>
      </c>
      <c r="Y344" s="314" t="str">
        <f t="shared" ca="1" si="167"/>
        <v/>
      </c>
      <c r="Z344" s="315" t="str">
        <f t="shared" ca="1" si="168"/>
        <v/>
      </c>
      <c r="AA344" s="316" t="str">
        <f t="shared" ca="1" si="169"/>
        <v/>
      </c>
      <c r="AC344" s="310" t="e">
        <f t="shared" ca="1" si="170"/>
        <v>#N/A</v>
      </c>
      <c r="AD344" s="323" t="e">
        <f t="shared" ca="1" si="171"/>
        <v>#N/A</v>
      </c>
      <c r="AE344" s="324">
        <f t="shared" ca="1" si="150"/>
        <v>607.13077959099007</v>
      </c>
      <c r="AG344" s="306">
        <f t="shared" ca="1" si="172"/>
        <v>45.568415351971794</v>
      </c>
      <c r="AH344" s="304">
        <f t="shared" ca="1" si="173"/>
        <v>55.320819539692458</v>
      </c>
    </row>
    <row r="345" spans="1:34" x14ac:dyDescent="0.2">
      <c r="A345" s="347">
        <f t="shared" ca="1" si="151"/>
        <v>0.01</v>
      </c>
      <c r="B345" s="304">
        <f t="shared" ca="1" si="152"/>
        <v>3.4099999999999713</v>
      </c>
      <c r="D345" s="306">
        <f t="shared" ca="1" si="153"/>
        <v>5.9571352414151466</v>
      </c>
      <c r="E345" s="307">
        <f t="shared" ca="1" si="154"/>
        <v>44.905077516075153</v>
      </c>
      <c r="F345" s="304">
        <f t="shared" ca="1" si="155"/>
        <v>45.298492767521843</v>
      </c>
      <c r="G345" s="306">
        <f t="shared" ca="1" si="156"/>
        <v>34.270647736527614</v>
      </c>
      <c r="H345" s="307">
        <f t="shared" ca="1" si="157"/>
        <v>314.67084034468309</v>
      </c>
      <c r="I345" s="304">
        <f t="shared" ca="1" si="158"/>
        <v>316.53153880697289</v>
      </c>
      <c r="J345" s="306">
        <f t="shared" ca="1" si="159"/>
        <v>63.35229133492637</v>
      </c>
      <c r="K345" s="307">
        <f t="shared" ca="1" si="160"/>
        <v>610.27524274056111</v>
      </c>
      <c r="L345" s="304">
        <f t="shared" ca="1" si="145"/>
        <v>613.5547120831493</v>
      </c>
      <c r="M345" s="306">
        <f t="shared" ca="1" si="161"/>
        <v>1.4623143779305383</v>
      </c>
      <c r="N345" s="304">
        <f t="shared" ca="1" si="162"/>
        <v>83.784442176718258</v>
      </c>
      <c r="P345" s="310">
        <f t="shared" ca="1" si="163"/>
        <v>11</v>
      </c>
      <c r="Q345" s="304">
        <f t="shared" ca="1" si="164"/>
        <v>686.95000000000368</v>
      </c>
      <c r="R345" s="306">
        <f t="shared" ca="1" si="165"/>
        <v>0.34411541661156292</v>
      </c>
      <c r="S345" s="307">
        <f t="shared" ca="1" si="166"/>
        <v>6.781647464174184</v>
      </c>
      <c r="T345" s="304">
        <f t="shared" ca="1" si="146"/>
        <v>66.527961623548748</v>
      </c>
      <c r="U345" s="311">
        <f t="shared" ca="1" si="147"/>
        <v>0</v>
      </c>
      <c r="V345" s="306">
        <f t="shared" ca="1" si="148"/>
        <v>1.152454906491799</v>
      </c>
      <c r="W345" s="304">
        <f t="shared" ca="1" si="149"/>
        <v>314.49941535294056</v>
      </c>
      <c r="Y345" s="314" t="str">
        <f t="shared" ca="1" si="167"/>
        <v/>
      </c>
      <c r="Z345" s="315" t="str">
        <f t="shared" ca="1" si="168"/>
        <v/>
      </c>
      <c r="AA345" s="316" t="str">
        <f t="shared" ca="1" si="169"/>
        <v/>
      </c>
      <c r="AC345" s="310" t="e">
        <f t="shared" ca="1" si="170"/>
        <v>#N/A</v>
      </c>
      <c r="AD345" s="323" t="e">
        <f t="shared" ca="1" si="171"/>
        <v>#N/A</v>
      </c>
      <c r="AE345" s="324">
        <f t="shared" ca="1" si="150"/>
        <v>610.27524274056111</v>
      </c>
      <c r="AG345" s="306">
        <f t="shared" ca="1" si="172"/>
        <v>45.286046847390992</v>
      </c>
      <c r="AH345" s="304">
        <f t="shared" ca="1" si="173"/>
        <v>55.038415383027001</v>
      </c>
    </row>
    <row r="346" spans="1:34" x14ac:dyDescent="0.2">
      <c r="A346" s="347">
        <f t="shared" ca="1" si="151"/>
        <v>0.01</v>
      </c>
      <c r="B346" s="304">
        <f t="shared" ca="1" si="152"/>
        <v>3.4199999999999711</v>
      </c>
      <c r="D346" s="306">
        <f t="shared" ca="1" si="153"/>
        <v>5.9284378614432827</v>
      </c>
      <c r="E346" s="307">
        <f t="shared" ca="1" si="154"/>
        <v>44.624527708188907</v>
      </c>
      <c r="F346" s="304">
        <f t="shared" ca="1" si="155"/>
        <v>45.016606365383808</v>
      </c>
      <c r="G346" s="306">
        <f t="shared" ca="1" si="156"/>
        <v>34.32993211514205</v>
      </c>
      <c r="H346" s="307">
        <f t="shared" ca="1" si="157"/>
        <v>315.117085621765</v>
      </c>
      <c r="I346" s="304">
        <f t="shared" ca="1" si="158"/>
        <v>316.98157973261635</v>
      </c>
      <c r="J346" s="306">
        <f t="shared" ca="1" si="159"/>
        <v>63.695294234184722</v>
      </c>
      <c r="K346" s="307">
        <f t="shared" ca="1" si="160"/>
        <v>613.4241823703934</v>
      </c>
      <c r="L346" s="304">
        <f t="shared" ca="1" si="145"/>
        <v>616.72223733571104</v>
      </c>
      <c r="M346" s="306">
        <f t="shared" ca="1" si="161"/>
        <v>1.4622808705632724</v>
      </c>
      <c r="N346" s="304">
        <f t="shared" ca="1" si="162"/>
        <v>83.782522345991325</v>
      </c>
      <c r="P346" s="310">
        <f t="shared" ca="1" si="163"/>
        <v>11</v>
      </c>
      <c r="Q346" s="304">
        <f t="shared" ca="1" si="164"/>
        <v>685.65000000000373</v>
      </c>
      <c r="R346" s="306">
        <f t="shared" ca="1" si="165"/>
        <v>0.34346420467241884</v>
      </c>
      <c r="S346" s="307">
        <f t="shared" ca="1" si="166"/>
        <v>6.7782128221274593</v>
      </c>
      <c r="T346" s="304">
        <f t="shared" ca="1" si="146"/>
        <v>66.494267785070377</v>
      </c>
      <c r="U346" s="311">
        <f t="shared" ca="1" si="147"/>
        <v>0</v>
      </c>
      <c r="V346" s="306">
        <f t="shared" ca="1" si="148"/>
        <v>1.1520917226797864</v>
      </c>
      <c r="W346" s="304">
        <f t="shared" ca="1" si="149"/>
        <v>315.29496130907199</v>
      </c>
      <c r="Y346" s="314" t="str">
        <f t="shared" ca="1" si="167"/>
        <v/>
      </c>
      <c r="Z346" s="315" t="str">
        <f t="shared" ca="1" si="168"/>
        <v/>
      </c>
      <c r="AA346" s="316" t="str">
        <f t="shared" ca="1" si="169"/>
        <v/>
      </c>
      <c r="AC346" s="310" t="e">
        <f t="shared" ca="1" si="170"/>
        <v>#N/A</v>
      </c>
      <c r="AD346" s="323" t="e">
        <f t="shared" ca="1" si="171"/>
        <v>#N/A</v>
      </c>
      <c r="AE346" s="324">
        <f t="shared" ca="1" si="150"/>
        <v>613.4241823703934</v>
      </c>
      <c r="AG346" s="306">
        <f t="shared" ca="1" si="172"/>
        <v>45.004074769891474</v>
      </c>
      <c r="AH346" s="304">
        <f t="shared" ca="1" si="173"/>
        <v>54.756407682485708</v>
      </c>
    </row>
    <row r="347" spans="1:34" x14ac:dyDescent="0.2">
      <c r="A347" s="347">
        <f t="shared" ca="1" si="151"/>
        <v>0.01</v>
      </c>
      <c r="B347" s="304">
        <f t="shared" ca="1" si="152"/>
        <v>3.4299999999999708</v>
      </c>
      <c r="D347" s="306">
        <f t="shared" ca="1" si="153"/>
        <v>5.8997629297551546</v>
      </c>
      <c r="E347" s="307">
        <f t="shared" ca="1" si="154"/>
        <v>44.34437741176778</v>
      </c>
      <c r="F347" s="304">
        <f t="shared" ca="1" si="155"/>
        <v>44.73512055046475</v>
      </c>
      <c r="G347" s="306">
        <f t="shared" ca="1" si="156"/>
        <v>34.388929744439601</v>
      </c>
      <c r="H347" s="307">
        <f t="shared" ca="1" si="157"/>
        <v>315.56052939588267</v>
      </c>
      <c r="I347" s="304">
        <f t="shared" ca="1" si="158"/>
        <v>317.42880493360667</v>
      </c>
      <c r="J347" s="306">
        <f t="shared" ca="1" si="159"/>
        <v>64.038888543482628</v>
      </c>
      <c r="K347" s="307">
        <f t="shared" ca="1" si="160"/>
        <v>616.57757044548168</v>
      </c>
      <c r="L347" s="304">
        <f t="shared" ca="1" si="145"/>
        <v>619.89424874113615</v>
      </c>
      <c r="M347" s="306">
        <f t="shared" ca="1" si="161"/>
        <v>1.4622474001100951</v>
      </c>
      <c r="N347" s="304">
        <f t="shared" ca="1" si="162"/>
        <v>83.780604630285879</v>
      </c>
      <c r="P347" s="310">
        <f t="shared" ca="1" si="163"/>
        <v>11</v>
      </c>
      <c r="Q347" s="304">
        <f t="shared" ca="1" si="164"/>
        <v>684.35000000000377</v>
      </c>
      <c r="R347" s="306">
        <f t="shared" ca="1" si="165"/>
        <v>0.34281299273327476</v>
      </c>
      <c r="S347" s="307">
        <f t="shared" ca="1" si="166"/>
        <v>6.7747846922001269</v>
      </c>
      <c r="T347" s="304">
        <f t="shared" ca="1" si="146"/>
        <v>66.46063783048325</v>
      </c>
      <c r="U347" s="311">
        <f t="shared" ca="1" si="147"/>
        <v>0</v>
      </c>
      <c r="V347" s="306">
        <f t="shared" ca="1" si="148"/>
        <v>1.1517281369844359</v>
      </c>
      <c r="W347" s="304">
        <f t="shared" ca="1" si="149"/>
        <v>316.08549597374071</v>
      </c>
      <c r="Y347" s="314" t="str">
        <f t="shared" ca="1" si="167"/>
        <v/>
      </c>
      <c r="Z347" s="315" t="str">
        <f t="shared" ca="1" si="168"/>
        <v/>
      </c>
      <c r="AA347" s="316" t="str">
        <f t="shared" ca="1" si="169"/>
        <v/>
      </c>
      <c r="AC347" s="310" t="e">
        <f t="shared" ca="1" si="170"/>
        <v>#N/A</v>
      </c>
      <c r="AD347" s="323" t="e">
        <f t="shared" ca="1" si="171"/>
        <v>#N/A</v>
      </c>
      <c r="AE347" s="324">
        <f t="shared" ca="1" si="150"/>
        <v>616.57757044548168</v>
      </c>
      <c r="AG347" s="306">
        <f t="shared" ca="1" si="172"/>
        <v>44.722502318714803</v>
      </c>
      <c r="AH347" s="304">
        <f t="shared" ca="1" si="173"/>
        <v>54.474799636928431</v>
      </c>
    </row>
    <row r="348" spans="1:34" x14ac:dyDescent="0.2">
      <c r="A348" s="347">
        <f t="shared" ca="1" si="151"/>
        <v>0.01</v>
      </c>
      <c r="B348" s="304">
        <f t="shared" ca="1" si="152"/>
        <v>3.4399999999999706</v>
      </c>
      <c r="D348" s="306">
        <f t="shared" ca="1" si="153"/>
        <v>5.871110881070118</v>
      </c>
      <c r="E348" s="307">
        <f t="shared" ca="1" si="154"/>
        <v>44.064629758490206</v>
      </c>
      <c r="F348" s="304">
        <f t="shared" ca="1" si="155"/>
        <v>44.45403849742609</v>
      </c>
      <c r="G348" s="306">
        <f t="shared" ca="1" si="156"/>
        <v>34.447640853250299</v>
      </c>
      <c r="H348" s="307">
        <f t="shared" ca="1" si="157"/>
        <v>316.00117569346759</v>
      </c>
      <c r="I348" s="304">
        <f t="shared" ca="1" si="158"/>
        <v>317.87321843780467</v>
      </c>
      <c r="J348" s="306">
        <f t="shared" ca="1" si="159"/>
        <v>64.383071396471081</v>
      </c>
      <c r="K348" s="307">
        <f t="shared" ca="1" si="160"/>
        <v>619.73537897092842</v>
      </c>
      <c r="L348" s="304">
        <f t="shared" ca="1" si="145"/>
        <v>623.07071816181781</v>
      </c>
      <c r="M348" s="306">
        <f t="shared" ca="1" si="161"/>
        <v>1.4622139661827669</v>
      </c>
      <c r="N348" s="304">
        <f t="shared" ca="1" si="162"/>
        <v>83.778689007357428</v>
      </c>
      <c r="P348" s="310">
        <f t="shared" ca="1" si="163"/>
        <v>11</v>
      </c>
      <c r="Q348" s="304">
        <f t="shared" ca="1" si="164"/>
        <v>683.05000000000382</v>
      </c>
      <c r="R348" s="306">
        <f t="shared" ca="1" si="165"/>
        <v>0.34216178079413073</v>
      </c>
      <c r="S348" s="307">
        <f t="shared" ca="1" si="166"/>
        <v>6.7713630743921858</v>
      </c>
      <c r="T348" s="304">
        <f t="shared" ca="1" si="146"/>
        <v>66.427071759787353</v>
      </c>
      <c r="U348" s="311">
        <f t="shared" ca="1" si="147"/>
        <v>0</v>
      </c>
      <c r="V348" s="306">
        <f t="shared" ca="1" si="148"/>
        <v>1.1513641530517766</v>
      </c>
      <c r="W348" s="304">
        <f t="shared" ca="1" si="149"/>
        <v>316.87100786212579</v>
      </c>
      <c r="Y348" s="314" t="str">
        <f t="shared" ca="1" si="167"/>
        <v/>
      </c>
      <c r="Z348" s="315" t="str">
        <f t="shared" ca="1" si="168"/>
        <v/>
      </c>
      <c r="AA348" s="316" t="str">
        <f t="shared" ca="1" si="169"/>
        <v/>
      </c>
      <c r="AC348" s="310" t="e">
        <f t="shared" ca="1" si="170"/>
        <v>#N/A</v>
      </c>
      <c r="AD348" s="323" t="e">
        <f t="shared" ca="1" si="171"/>
        <v>#N/A</v>
      </c>
      <c r="AE348" s="324">
        <f t="shared" ca="1" si="150"/>
        <v>619.73537897092842</v>
      </c>
      <c r="AG348" s="306">
        <f t="shared" ca="1" si="172"/>
        <v>44.441332653425313</v>
      </c>
      <c r="AH348" s="304">
        <f t="shared" ca="1" si="173"/>
        <v>54.193594405540388</v>
      </c>
    </row>
    <row r="349" spans="1:34" x14ac:dyDescent="0.2">
      <c r="A349" s="347">
        <f t="shared" ca="1" si="151"/>
        <v>0.01</v>
      </c>
      <c r="B349" s="304">
        <f t="shared" ca="1" si="152"/>
        <v>3.4499999999999704</v>
      </c>
      <c r="D349" s="306">
        <f t="shared" ca="1" si="153"/>
        <v>5.84248214555502</v>
      </c>
      <c r="E349" s="307">
        <f t="shared" ca="1" si="154"/>
        <v>43.785287840713721</v>
      </c>
      <c r="F349" s="304">
        <f t="shared" ca="1" si="155"/>
        <v>44.173363341670985</v>
      </c>
      <c r="G349" s="306">
        <f t="shared" ca="1" si="156"/>
        <v>34.506065674705852</v>
      </c>
      <c r="H349" s="307">
        <f t="shared" ca="1" si="157"/>
        <v>316.4390285718747</v>
      </c>
      <c r="I349" s="304">
        <f t="shared" ca="1" si="158"/>
        <v>318.31482430427087</v>
      </c>
      <c r="J349" s="306">
        <f t="shared" ca="1" si="159"/>
        <v>64.727839929110857</v>
      </c>
      <c r="K349" s="307">
        <f t="shared" ca="1" si="160"/>
        <v>622.89757999225515</v>
      </c>
      <c r="L349" s="304">
        <f t="shared" ca="1" si="145"/>
        <v>626.25161750058294</v>
      </c>
      <c r="M349" s="306">
        <f t="shared" ca="1" si="161"/>
        <v>1.4621805683959492</v>
      </c>
      <c r="N349" s="304">
        <f t="shared" ca="1" si="162"/>
        <v>83.776775455127691</v>
      </c>
      <c r="P349" s="310">
        <f t="shared" ca="1" si="163"/>
        <v>11</v>
      </c>
      <c r="Q349" s="304">
        <f t="shared" ca="1" si="164"/>
        <v>681.75000000000387</v>
      </c>
      <c r="R349" s="306">
        <f t="shared" ca="1" si="165"/>
        <v>0.34151056885498665</v>
      </c>
      <c r="S349" s="307">
        <f t="shared" ca="1" si="166"/>
        <v>6.7679479687036359</v>
      </c>
      <c r="T349" s="304">
        <f t="shared" ca="1" si="146"/>
        <v>66.39356957298267</v>
      </c>
      <c r="U349" s="311">
        <f t="shared" ca="1" si="147"/>
        <v>0</v>
      </c>
      <c r="V349" s="306">
        <f t="shared" ca="1" si="148"/>
        <v>1.1509997745194835</v>
      </c>
      <c r="W349" s="304">
        <f t="shared" ca="1" si="149"/>
        <v>317.65148578318059</v>
      </c>
      <c r="Y349" s="314" t="str">
        <f t="shared" ca="1" si="167"/>
        <v/>
      </c>
      <c r="Z349" s="315" t="str">
        <f t="shared" ca="1" si="168"/>
        <v/>
      </c>
      <c r="AA349" s="316" t="str">
        <f t="shared" ca="1" si="169"/>
        <v/>
      </c>
      <c r="AC349" s="310" t="e">
        <f t="shared" ca="1" si="170"/>
        <v>#N/A</v>
      </c>
      <c r="AD349" s="323" t="e">
        <f t="shared" ca="1" si="171"/>
        <v>#N/A</v>
      </c>
      <c r="AE349" s="324">
        <f t="shared" ca="1" si="150"/>
        <v>622.89757999225515</v>
      </c>
      <c r="AG349" s="306">
        <f t="shared" ca="1" si="172"/>
        <v>44.160568894012108</v>
      </c>
      <c r="AH349" s="304">
        <f t="shared" ca="1" si="173"/>
        <v>53.912795107934123</v>
      </c>
    </row>
    <row r="350" spans="1:34" x14ac:dyDescent="0.2">
      <c r="A350" s="347">
        <f t="shared" ca="1" si="151"/>
        <v>0.01</v>
      </c>
      <c r="B350" s="304">
        <f t="shared" ca="1" si="152"/>
        <v>3.4599999999999702</v>
      </c>
      <c r="D350" s="306">
        <f t="shared" ca="1" si="153"/>
        <v>5.8138771488353687</v>
      </c>
      <c r="E350" s="307">
        <f t="shared" ca="1" si="154"/>
        <v>43.506354711579725</v>
      </c>
      <c r="F350" s="304">
        <f t="shared" ca="1" si="155"/>
        <v>43.893098179458072</v>
      </c>
      <c r="G350" s="306">
        <f t="shared" ca="1" si="156"/>
        <v>34.564204446194204</v>
      </c>
      <c r="H350" s="307">
        <f t="shared" ca="1" si="157"/>
        <v>316.87409211899052</v>
      </c>
      <c r="I350" s="304">
        <f t="shared" ca="1" si="158"/>
        <v>318.75362662287125</v>
      </c>
      <c r="J350" s="306">
        <f t="shared" ca="1" si="159"/>
        <v>65.07319127971536</v>
      </c>
      <c r="K350" s="307">
        <f t="shared" ca="1" si="160"/>
        <v>626.06414559570942</v>
      </c>
      <c r="L350" s="304">
        <f t="shared" ca="1" si="145"/>
        <v>629.43691870100224</v>
      </c>
      <c r="M350" s="306">
        <f t="shared" ca="1" si="161"/>
        <v>1.4621472063671703</v>
      </c>
      <c r="N350" s="304">
        <f t="shared" ca="1" si="162"/>
        <v>83.774863951682676</v>
      </c>
      <c r="P350" s="310">
        <f t="shared" ca="1" si="163"/>
        <v>11</v>
      </c>
      <c r="Q350" s="304">
        <f t="shared" ca="1" si="164"/>
        <v>680.45000000000391</v>
      </c>
      <c r="R350" s="306">
        <f t="shared" ca="1" si="165"/>
        <v>0.34085935691584257</v>
      </c>
      <c r="S350" s="307">
        <f t="shared" ca="1" si="166"/>
        <v>6.7645393751344773</v>
      </c>
      <c r="T350" s="304">
        <f t="shared" ca="1" si="146"/>
        <v>66.360131270069232</v>
      </c>
      <c r="U350" s="311">
        <f t="shared" ca="1" si="147"/>
        <v>0</v>
      </c>
      <c r="V350" s="306">
        <f t="shared" ca="1" si="148"/>
        <v>1.1506350050168437</v>
      </c>
      <c r="W350" s="304">
        <f t="shared" ca="1" si="149"/>
        <v>318.42691883803423</v>
      </c>
      <c r="Y350" s="314" t="str">
        <f t="shared" ca="1" si="167"/>
        <v/>
      </c>
      <c r="Z350" s="315" t="str">
        <f t="shared" ca="1" si="168"/>
        <v/>
      </c>
      <c r="AA350" s="316" t="str">
        <f t="shared" ca="1" si="169"/>
        <v/>
      </c>
      <c r="AC350" s="310" t="e">
        <f t="shared" ca="1" si="170"/>
        <v>#N/A</v>
      </c>
      <c r="AD350" s="323" t="e">
        <f t="shared" ca="1" si="171"/>
        <v>#N/A</v>
      </c>
      <c r="AE350" s="324">
        <f t="shared" ca="1" si="150"/>
        <v>626.06414559570942</v>
      </c>
      <c r="AG350" s="306">
        <f t="shared" ca="1" si="172"/>
        <v>43.880214120994275</v>
      </c>
      <c r="AH350" s="304">
        <f t="shared" ca="1" si="173"/>
        <v>53.632404824254714</v>
      </c>
    </row>
    <row r="351" spans="1:34" x14ac:dyDescent="0.2">
      <c r="A351" s="347">
        <f t="shared" ca="1" si="151"/>
        <v>0.01</v>
      </c>
      <c r="B351" s="304">
        <f t="shared" ca="1" si="152"/>
        <v>3.46999999999997</v>
      </c>
      <c r="D351" s="306">
        <f t="shared" ca="1" si="153"/>
        <v>5.7852963120067225</v>
      </c>
      <c r="E351" s="307">
        <f t="shared" ca="1" si="154"/>
        <v>43.227833385120014</v>
      </c>
      <c r="F351" s="304">
        <f t="shared" ca="1" si="155"/>
        <v>43.613246068017169</v>
      </c>
      <c r="G351" s="306">
        <f t="shared" ca="1" si="156"/>
        <v>34.622057409314273</v>
      </c>
      <c r="H351" s="307">
        <f t="shared" ca="1" si="157"/>
        <v>317.30637045284169</v>
      </c>
      <c r="I351" s="304">
        <f t="shared" ca="1" si="158"/>
        <v>319.18962951388295</v>
      </c>
      <c r="J351" s="306">
        <f t="shared" ca="1" si="159"/>
        <v>65.419122588992906</v>
      </c>
      <c r="K351" s="307">
        <f t="shared" ca="1" si="160"/>
        <v>629.23504790856862</v>
      </c>
      <c r="L351" s="304">
        <f t="shared" ca="1" si="145"/>
        <v>632.62659374769589</v>
      </c>
      <c r="M351" s="306">
        <f t="shared" ca="1" si="161"/>
        <v>1.4621138797167912</v>
      </c>
      <c r="N351" s="304">
        <f t="shared" ca="1" si="162"/>
        <v>83.772954475270637</v>
      </c>
      <c r="P351" s="310">
        <f t="shared" ca="1" si="163"/>
        <v>11</v>
      </c>
      <c r="Q351" s="304">
        <f t="shared" ca="1" si="164"/>
        <v>679.15000000000396</v>
      </c>
      <c r="R351" s="306">
        <f t="shared" ca="1" si="165"/>
        <v>0.34020814497669855</v>
      </c>
      <c r="S351" s="307">
        <f t="shared" ca="1" si="166"/>
        <v>6.7611372936847101</v>
      </c>
      <c r="T351" s="304">
        <f t="shared" ca="1" si="146"/>
        <v>66.326756851047008</v>
      </c>
      <c r="U351" s="311">
        <f t="shared" ca="1" si="147"/>
        <v>0</v>
      </c>
      <c r="V351" s="306">
        <f t="shared" ca="1" si="148"/>
        <v>1.1502698481647149</v>
      </c>
      <c r="W351" s="304">
        <f t="shared" ca="1" si="149"/>
        <v>319.19729641837625</v>
      </c>
      <c r="Y351" s="314" t="str">
        <f t="shared" ca="1" si="167"/>
        <v/>
      </c>
      <c r="Z351" s="315" t="str">
        <f t="shared" ca="1" si="168"/>
        <v/>
      </c>
      <c r="AA351" s="316" t="str">
        <f t="shared" ca="1" si="169"/>
        <v/>
      </c>
      <c r="AC351" s="310" t="e">
        <f t="shared" ca="1" si="170"/>
        <v>#N/A</v>
      </c>
      <c r="AD351" s="323" t="e">
        <f t="shared" ca="1" si="171"/>
        <v>#N/A</v>
      </c>
      <c r="AE351" s="324">
        <f t="shared" ca="1" si="150"/>
        <v>629.23504790856862</v>
      </c>
      <c r="AG351" s="306">
        <f t="shared" ca="1" si="172"/>
        <v>43.600271375527981</v>
      </c>
      <c r="AH351" s="304">
        <f t="shared" ca="1" si="173"/>
        <v>53.352426595286829</v>
      </c>
    </row>
    <row r="352" spans="1:34" x14ac:dyDescent="0.2">
      <c r="A352" s="347">
        <f t="shared" ca="1" si="151"/>
        <v>0.01</v>
      </c>
      <c r="B352" s="304">
        <f t="shared" ca="1" si="152"/>
        <v>3.4799999999999698</v>
      </c>
      <c r="D352" s="306">
        <f t="shared" ca="1" si="153"/>
        <v>5.7567400516463971</v>
      </c>
      <c r="E352" s="307">
        <f t="shared" ca="1" si="154"/>
        <v>42.949726836366629</v>
      </c>
      <c r="F352" s="304">
        <f t="shared" ca="1" si="155"/>
        <v>43.333810025668662</v>
      </c>
      <c r="G352" s="306">
        <f t="shared" ca="1" si="156"/>
        <v>34.679624809830734</v>
      </c>
      <c r="H352" s="307">
        <f t="shared" ca="1" si="157"/>
        <v>317.73586772120535</v>
      </c>
      <c r="I352" s="304">
        <f t="shared" ca="1" si="158"/>
        <v>319.62283712760251</v>
      </c>
      <c r="J352" s="306">
        <f t="shared" ca="1" si="159"/>
        <v>65.765631000088632</v>
      </c>
      <c r="K352" s="307">
        <f t="shared" ca="1" si="160"/>
        <v>632.4102590994388</v>
      </c>
      <c r="L352" s="304">
        <f t="shared" ca="1" si="145"/>
        <v>635.82061466663629</v>
      </c>
      <c r="M352" s="306">
        <f t="shared" ca="1" si="161"/>
        <v>1.4620805880679717</v>
      </c>
      <c r="N352" s="304">
        <f t="shared" ca="1" si="162"/>
        <v>83.771047004300243</v>
      </c>
      <c r="P352" s="310">
        <f t="shared" ca="1" si="163"/>
        <v>11</v>
      </c>
      <c r="Q352" s="304">
        <f t="shared" ca="1" si="164"/>
        <v>677.85000000000389</v>
      </c>
      <c r="R352" s="306">
        <f t="shared" ca="1" si="165"/>
        <v>0.33955693303755441</v>
      </c>
      <c r="S352" s="307">
        <f t="shared" ca="1" si="166"/>
        <v>6.757741724354335</v>
      </c>
      <c r="T352" s="304">
        <f t="shared" ca="1" si="146"/>
        <v>66.293446315916029</v>
      </c>
      <c r="U352" s="311">
        <f t="shared" ca="1" si="147"/>
        <v>0</v>
      </c>
      <c r="V352" s="306">
        <f t="shared" ca="1" si="148"/>
        <v>1.1499043075754909</v>
      </c>
      <c r="W352" s="304">
        <f t="shared" ca="1" si="149"/>
        <v>319.96260820483616</v>
      </c>
      <c r="Y352" s="314" t="str">
        <f t="shared" ca="1" si="167"/>
        <v/>
      </c>
      <c r="Z352" s="315" t="str">
        <f t="shared" ca="1" si="168"/>
        <v/>
      </c>
      <c r="AA352" s="316" t="str">
        <f t="shared" ca="1" si="169"/>
        <v/>
      </c>
      <c r="AC352" s="310" t="e">
        <f t="shared" ca="1" si="170"/>
        <v>#N/A</v>
      </c>
      <c r="AD352" s="323" t="e">
        <f t="shared" ca="1" si="171"/>
        <v>#N/A</v>
      </c>
      <c r="AE352" s="324">
        <f t="shared" ca="1" si="150"/>
        <v>632.4102590994388</v>
      </c>
      <c r="AG352" s="306">
        <f t="shared" ca="1" si="172"/>
        <v>43.320743659516943</v>
      </c>
      <c r="AH352" s="304">
        <f t="shared" ca="1" si="173"/>
        <v>53.072863422565163</v>
      </c>
    </row>
    <row r="353" spans="1:34" x14ac:dyDescent="0.2">
      <c r="A353" s="347">
        <f t="shared" ca="1" si="151"/>
        <v>0.01</v>
      </c>
      <c r="B353" s="304">
        <f t="shared" ca="1" si="152"/>
        <v>3.4899999999999696</v>
      </c>
      <c r="D353" s="306">
        <f t="shared" ca="1" si="153"/>
        <v>5.7282087798253682</v>
      </c>
      <c r="E353" s="307">
        <f t="shared" ca="1" si="154"/>
        <v>42.672038001463669</v>
      </c>
      <c r="F353" s="304">
        <f t="shared" ca="1" si="155"/>
        <v>43.054793031945096</v>
      </c>
      <c r="G353" s="306">
        <f t="shared" ca="1" si="156"/>
        <v>34.736906897628991</v>
      </c>
      <c r="H353" s="307">
        <f t="shared" ca="1" si="157"/>
        <v>318.16258810121997</v>
      </c>
      <c r="I353" s="304">
        <f t="shared" ca="1" si="158"/>
        <v>320.05325364395389</v>
      </c>
      <c r="J353" s="306">
        <f t="shared" ca="1" si="159"/>
        <v>66.112713658625935</v>
      </c>
      <c r="K353" s="307">
        <f t="shared" ca="1" si="160"/>
        <v>635.58975137855089</v>
      </c>
      <c r="L353" s="304">
        <f t="shared" ca="1" si="145"/>
        <v>639.01895352544557</v>
      </c>
      <c r="M353" s="306">
        <f t="shared" ca="1" si="161"/>
        <v>1.4620473310466398</v>
      </c>
      <c r="N353" s="304">
        <f t="shared" ca="1" si="162"/>
        <v>83.769141517338753</v>
      </c>
      <c r="P353" s="310">
        <f t="shared" ca="1" si="163"/>
        <v>11</v>
      </c>
      <c r="Q353" s="304">
        <f t="shared" ca="1" si="164"/>
        <v>676.55000000000393</v>
      </c>
      <c r="R353" s="306">
        <f t="shared" ca="1" si="165"/>
        <v>0.33890572109841033</v>
      </c>
      <c r="S353" s="307">
        <f t="shared" ca="1" si="166"/>
        <v>6.7543526671433511</v>
      </c>
      <c r="T353" s="304">
        <f t="shared" ca="1" si="146"/>
        <v>66.260199664676279</v>
      </c>
      <c r="U353" s="311">
        <f t="shared" ca="1" si="147"/>
        <v>0</v>
      </c>
      <c r="V353" s="306">
        <f t="shared" ca="1" si="148"/>
        <v>1.1495383868530622</v>
      </c>
      <c r="W353" s="304">
        <f t="shared" ca="1" si="149"/>
        <v>320.722844165347</v>
      </c>
      <c r="Y353" s="314" t="str">
        <f t="shared" ca="1" si="167"/>
        <v/>
      </c>
      <c r="Z353" s="315" t="str">
        <f t="shared" ca="1" si="168"/>
        <v/>
      </c>
      <c r="AA353" s="316" t="str">
        <f t="shared" ca="1" si="169"/>
        <v/>
      </c>
      <c r="AC353" s="310" t="e">
        <f t="shared" ca="1" si="170"/>
        <v>#N/A</v>
      </c>
      <c r="AD353" s="323" t="e">
        <f t="shared" ca="1" si="171"/>
        <v>#N/A</v>
      </c>
      <c r="AE353" s="324">
        <f t="shared" ca="1" si="150"/>
        <v>635.58975137855089</v>
      </c>
      <c r="AG353" s="306">
        <f t="shared" ca="1" si="172"/>
        <v>43.041633935724718</v>
      </c>
      <c r="AH353" s="304">
        <f t="shared" ca="1" si="173"/>
        <v>52.793718268486693</v>
      </c>
    </row>
    <row r="354" spans="1:34" x14ac:dyDescent="0.2">
      <c r="A354" s="347">
        <f t="shared" ca="1" si="151"/>
        <v>0.01</v>
      </c>
      <c r="B354" s="304">
        <f t="shared" ca="1" si="152"/>
        <v>3.4999999999999694</v>
      </c>
      <c r="D354" s="306">
        <f t="shared" ca="1" si="153"/>
        <v>5.6997029041203309</v>
      </c>
      <c r="E354" s="307">
        <f t="shared" ca="1" si="154"/>
        <v>42.394769777781896</v>
      </c>
      <c r="F354" s="304">
        <f t="shared" ca="1" si="155"/>
        <v>42.776198027715914</v>
      </c>
      <c r="G354" s="306">
        <f t="shared" ca="1" si="156"/>
        <v>34.793903926670197</v>
      </c>
      <c r="H354" s="307">
        <f t="shared" ca="1" si="157"/>
        <v>318.58653579899777</v>
      </c>
      <c r="I354" s="304">
        <f t="shared" ca="1" si="158"/>
        <v>320.48088327209854</v>
      </c>
      <c r="J354" s="306">
        <f t="shared" ca="1" si="159"/>
        <v>66.460367712747427</v>
      </c>
      <c r="K354" s="307">
        <f t="shared" ca="1" si="160"/>
        <v>638.773496998052</v>
      </c>
      <c r="L354" s="304">
        <f t="shared" ca="1" si="145"/>
        <v>642.22158243369086</v>
      </c>
      <c r="M354" s="306">
        <f t="shared" ca="1" si="161"/>
        <v>1.4620141082814562</v>
      </c>
      <c r="N354" s="304">
        <f t="shared" ca="1" si="162"/>
        <v>83.767237993109973</v>
      </c>
      <c r="P354" s="310">
        <f t="shared" ca="1" si="163"/>
        <v>11</v>
      </c>
      <c r="Q354" s="304">
        <f t="shared" ca="1" si="164"/>
        <v>675.25000000000398</v>
      </c>
      <c r="R354" s="306">
        <f t="shared" ca="1" si="165"/>
        <v>0.33825450915926625</v>
      </c>
      <c r="S354" s="307">
        <f t="shared" ca="1" si="166"/>
        <v>6.7509701220517586</v>
      </c>
      <c r="T354" s="304">
        <f t="shared" ca="1" si="146"/>
        <v>66.227016897327758</v>
      </c>
      <c r="U354" s="311">
        <f t="shared" ca="1" si="147"/>
        <v>0</v>
      </c>
      <c r="V354" s="306">
        <f t="shared" ca="1" si="148"/>
        <v>1.1491720895927824</v>
      </c>
      <c r="W354" s="304">
        <f t="shared" ca="1" si="149"/>
        <v>321.47799455350258</v>
      </c>
      <c r="Y354" s="314" t="str">
        <f t="shared" ca="1" si="167"/>
        <v/>
      </c>
      <c r="Z354" s="315" t="str">
        <f t="shared" ca="1" si="168"/>
        <v/>
      </c>
      <c r="AA354" s="316" t="str">
        <f t="shared" ca="1" si="169"/>
        <v>Satellite</v>
      </c>
      <c r="AC354" s="310" t="e">
        <f t="shared" ca="1" si="170"/>
        <v>#N/A</v>
      </c>
      <c r="AD354" s="323" t="e">
        <f t="shared" ca="1" si="171"/>
        <v>#N/A</v>
      </c>
      <c r="AE354" s="324">
        <f t="shared" ca="1" si="150"/>
        <v>638.773496998052</v>
      </c>
      <c r="AG354" s="306">
        <f t="shared" ca="1" si="172"/>
        <v>42.76294512788995</v>
      </c>
      <c r="AH354" s="304">
        <f t="shared" ca="1" si="173"/>
        <v>52.514994056425905</v>
      </c>
    </row>
    <row r="355" spans="1:34" x14ac:dyDescent="0.2">
      <c r="A355" s="347">
        <f t="shared" ca="1" si="151"/>
        <v>0.01</v>
      </c>
      <c r="B355" s="304">
        <f t="shared" ca="1" si="152"/>
        <v>3.5099999999999691</v>
      </c>
      <c r="D355" s="306">
        <f t="shared" ca="1" si="153"/>
        <v>5.6712228276261962</v>
      </c>
      <c r="E355" s="307">
        <f t="shared" ca="1" si="154"/>
        <v>42.117925024035529</v>
      </c>
      <c r="F355" s="304">
        <f t="shared" ca="1" si="155"/>
        <v>42.498027915314687</v>
      </c>
      <c r="G355" s="306">
        <f t="shared" ca="1" si="156"/>
        <v>34.850616154946458</v>
      </c>
      <c r="H355" s="307">
        <f t="shared" ca="1" si="157"/>
        <v>319.00771504923813</v>
      </c>
      <c r="I355" s="304">
        <f t="shared" ca="1" si="158"/>
        <v>320.90573025004608</v>
      </c>
      <c r="J355" s="306">
        <f t="shared" ca="1" si="159"/>
        <v>66.808590313155506</v>
      </c>
      <c r="K355" s="307">
        <f t="shared" ca="1" si="160"/>
        <v>641.96146825229323</v>
      </c>
      <c r="L355" s="304">
        <f t="shared" ca="1" si="145"/>
        <v>645.4284735431736</v>
      </c>
      <c r="M355" s="306">
        <f t="shared" ca="1" si="161"/>
        <v>1.4619809194037854</v>
      </c>
      <c r="N355" s="304">
        <f t="shared" ca="1" si="162"/>
        <v>83.765336410492665</v>
      </c>
      <c r="P355" s="310">
        <f t="shared" ca="1" si="163"/>
        <v>11</v>
      </c>
      <c r="Q355" s="304">
        <f t="shared" ca="1" si="164"/>
        <v>673.95000000000402</v>
      </c>
      <c r="R355" s="306">
        <f t="shared" ca="1" si="165"/>
        <v>0.33760329722012222</v>
      </c>
      <c r="S355" s="307">
        <f t="shared" ca="1" si="166"/>
        <v>6.7475940890795574</v>
      </c>
      <c r="T355" s="304">
        <f t="shared" ca="1" si="146"/>
        <v>66.193898013870466</v>
      </c>
      <c r="U355" s="311">
        <f t="shared" ca="1" si="147"/>
        <v>0</v>
      </c>
      <c r="V355" s="306">
        <f t="shared" ca="1" si="148"/>
        <v>1.1488054193814325</v>
      </c>
      <c r="W355" s="304">
        <f t="shared" ca="1" si="149"/>
        <v>322.22804990690241</v>
      </c>
      <c r="Y355" s="314" t="str">
        <f t="shared" ca="1" si="167"/>
        <v/>
      </c>
      <c r="Z355" s="315" t="str">
        <f t="shared" ca="1" si="168"/>
        <v/>
      </c>
      <c r="AA355" s="316" t="str">
        <f t="shared" ca="1" si="169"/>
        <v/>
      </c>
      <c r="AC355" s="310" t="e">
        <f t="shared" ca="1" si="170"/>
        <v>#N/A</v>
      </c>
      <c r="AD355" s="323" t="e">
        <f t="shared" ca="1" si="171"/>
        <v>#N/A</v>
      </c>
      <c r="AE355" s="324">
        <f t="shared" ca="1" si="150"/>
        <v>641.96146825229323</v>
      </c>
      <c r="AG355" s="306">
        <f t="shared" ca="1" si="172"/>
        <v>42.484680120843734</v>
      </c>
      <c r="AH355" s="304">
        <f t="shared" ca="1" si="173"/>
        <v>52.236693670852141</v>
      </c>
    </row>
    <row r="356" spans="1:34" x14ac:dyDescent="0.2">
      <c r="A356" s="347">
        <f t="shared" ca="1" si="151"/>
        <v>0.01</v>
      </c>
      <c r="B356" s="304">
        <f t="shared" ca="1" si="152"/>
        <v>3.5199999999999689</v>
      </c>
      <c r="D356" s="306">
        <f t="shared" ca="1" si="153"/>
        <v>5.6427689489685759</v>
      </c>
      <c r="E356" s="307">
        <f t="shared" ca="1" si="154"/>
        <v>41.841506560401655</v>
      </c>
      <c r="F356" s="304">
        <f t="shared" ca="1" si="155"/>
        <v>42.220285558669289</v>
      </c>
      <c r="G356" s="306">
        <f t="shared" ca="1" si="156"/>
        <v>34.907043844436146</v>
      </c>
      <c r="H356" s="307">
        <f t="shared" ca="1" si="157"/>
        <v>319.42613011484212</v>
      </c>
      <c r="I356" s="304">
        <f t="shared" ca="1" si="158"/>
        <v>321.32779884426657</v>
      </c>
      <c r="J356" s="306">
        <f t="shared" ca="1" si="159"/>
        <v>67.157378613152417</v>
      </c>
      <c r="K356" s="307">
        <f t="shared" ca="1" si="160"/>
        <v>645.15363747811364</v>
      </c>
      <c r="L356" s="304">
        <f t="shared" ca="1" si="145"/>
        <v>648.63959904821684</v>
      </c>
      <c r="M356" s="306">
        <f t="shared" ca="1" si="161"/>
        <v>1.4619477640476617</v>
      </c>
      <c r="N356" s="304">
        <f t="shared" ca="1" si="162"/>
        <v>83.763436748518529</v>
      </c>
      <c r="P356" s="310">
        <f t="shared" ca="1" si="163"/>
        <v>11</v>
      </c>
      <c r="Q356" s="304">
        <f t="shared" ca="1" si="164"/>
        <v>672.65000000000407</v>
      </c>
      <c r="R356" s="306">
        <f t="shared" ca="1" si="165"/>
        <v>0.33695208528097814</v>
      </c>
      <c r="S356" s="307">
        <f t="shared" ca="1" si="166"/>
        <v>6.7442245682267474</v>
      </c>
      <c r="T356" s="304">
        <f t="shared" ca="1" si="146"/>
        <v>66.16084301430439</v>
      </c>
      <c r="U356" s="311">
        <f t="shared" ca="1" si="147"/>
        <v>0</v>
      </c>
      <c r="V356" s="306">
        <f t="shared" ca="1" si="148"/>
        <v>1.1484383797971844</v>
      </c>
      <c r="W356" s="304">
        <f t="shared" ca="1" si="149"/>
        <v>322.97300104548748</v>
      </c>
      <c r="Y356" s="314" t="str">
        <f t="shared" ca="1" si="167"/>
        <v/>
      </c>
      <c r="Z356" s="315" t="str">
        <f t="shared" ca="1" si="168"/>
        <v/>
      </c>
      <c r="AA356" s="316" t="str">
        <f t="shared" ca="1" si="169"/>
        <v/>
      </c>
      <c r="AC356" s="310" t="e">
        <f t="shared" ca="1" si="170"/>
        <v>#N/A</v>
      </c>
      <c r="AD356" s="323" t="e">
        <f t="shared" ca="1" si="171"/>
        <v>#N/A</v>
      </c>
      <c r="AE356" s="324">
        <f t="shared" ca="1" si="150"/>
        <v>645.15363747811364</v>
      </c>
      <c r="AG356" s="306">
        <f t="shared" ca="1" si="172"/>
        <v>42.206841760629644</v>
      </c>
      <c r="AH356" s="304">
        <f t="shared" ca="1" si="173"/>
        <v>51.95881995744957</v>
      </c>
    </row>
    <row r="357" spans="1:34" x14ac:dyDescent="0.2">
      <c r="A357" s="347">
        <f t="shared" ca="1" si="151"/>
        <v>0.01</v>
      </c>
      <c r="B357" s="304">
        <f t="shared" ca="1" si="152"/>
        <v>3.5299999999999687</v>
      </c>
      <c r="D357" s="306">
        <f t="shared" ca="1" si="153"/>
        <v>5.6143416623167326</v>
      </c>
      <c r="E357" s="307">
        <f t="shared" ca="1" si="154"/>
        <v>41.565517168641911</v>
      </c>
      <c r="F357" s="304">
        <f t="shared" ca="1" si="155"/>
        <v>41.942973783434702</v>
      </c>
      <c r="G357" s="306">
        <f t="shared" ca="1" si="156"/>
        <v>34.963187261059311</v>
      </c>
      <c r="H357" s="307">
        <f t="shared" ca="1" si="157"/>
        <v>319.84178528652853</v>
      </c>
      <c r="I357" s="304">
        <f t="shared" ca="1" si="158"/>
        <v>321.74709334930395</v>
      </c>
      <c r="J357" s="306">
        <f t="shared" ca="1" si="159"/>
        <v>67.50672976867989</v>
      </c>
      <c r="K357" s="307">
        <f t="shared" ca="1" si="160"/>
        <v>648.34997705512046</v>
      </c>
      <c r="L357" s="304">
        <f t="shared" ca="1" si="145"/>
        <v>651.85493118594786</v>
      </c>
      <c r="M357" s="306">
        <f t="shared" ca="1" si="161"/>
        <v>1.4619146418497595</v>
      </c>
      <c r="N357" s="304">
        <f t="shared" ca="1" si="162"/>
        <v>83.761538986370539</v>
      </c>
      <c r="P357" s="310">
        <f t="shared" ca="1" si="163"/>
        <v>11</v>
      </c>
      <c r="Q357" s="304">
        <f t="shared" ca="1" si="164"/>
        <v>671.35000000000412</v>
      </c>
      <c r="R357" s="306">
        <f t="shared" ca="1" si="165"/>
        <v>0.33630087334183406</v>
      </c>
      <c r="S357" s="307">
        <f t="shared" ca="1" si="166"/>
        <v>6.7408615594933288</v>
      </c>
      <c r="T357" s="304">
        <f t="shared" ca="1" si="146"/>
        <v>66.127851898629558</v>
      </c>
      <c r="U357" s="311">
        <f t="shared" ca="1" si="147"/>
        <v>0</v>
      </c>
      <c r="V357" s="306">
        <f t="shared" ca="1" si="148"/>
        <v>1.1480709744095694</v>
      </c>
      <c r="W357" s="304">
        <f t="shared" ca="1" si="149"/>
        <v>323.71283906986741</v>
      </c>
      <c r="Y357" s="314" t="str">
        <f t="shared" ca="1" si="167"/>
        <v/>
      </c>
      <c r="Z357" s="315" t="str">
        <f t="shared" ca="1" si="168"/>
        <v/>
      </c>
      <c r="AA357" s="316" t="str">
        <f t="shared" ca="1" si="169"/>
        <v/>
      </c>
      <c r="AC357" s="310" t="e">
        <f t="shared" ca="1" si="170"/>
        <v>#N/A</v>
      </c>
      <c r="AD357" s="323" t="e">
        <f t="shared" ca="1" si="171"/>
        <v>#N/A</v>
      </c>
      <c r="AE357" s="324">
        <f t="shared" ca="1" si="150"/>
        <v>648.34997705512046</v>
      </c>
      <c r="AG357" s="306">
        <f t="shared" ca="1" si="172"/>
        <v>41.929432854626015</v>
      </c>
      <c r="AH357" s="304">
        <f t="shared" ca="1" si="173"/>
        <v>51.681375723239462</v>
      </c>
    </row>
    <row r="358" spans="1:34" x14ac:dyDescent="0.2">
      <c r="A358" s="347">
        <f t="shared" ca="1" si="151"/>
        <v>0.01</v>
      </c>
      <c r="B358" s="304">
        <f t="shared" ca="1" si="152"/>
        <v>3.5399999999999685</v>
      </c>
      <c r="D358" s="306">
        <f t="shared" ca="1" si="153"/>
        <v>5.5859413573965595</v>
      </c>
      <c r="E358" s="307">
        <f t="shared" ca="1" si="154"/>
        <v>41.289959592226296</v>
      </c>
      <c r="F358" s="304">
        <f t="shared" ca="1" si="155"/>
        <v>41.666095377128315</v>
      </c>
      <c r="G358" s="306">
        <f t="shared" ca="1" si="156"/>
        <v>35.019046674633273</v>
      </c>
      <c r="H358" s="307">
        <f t="shared" ca="1" si="157"/>
        <v>320.25468488245082</v>
      </c>
      <c r="I358" s="304">
        <f t="shared" ca="1" si="158"/>
        <v>322.16361808739049</v>
      </c>
      <c r="J358" s="306">
        <f t="shared" ca="1" si="159"/>
        <v>67.856640938358353</v>
      </c>
      <c r="K358" s="307">
        <f t="shared" ca="1" si="160"/>
        <v>651.5504594059654</v>
      </c>
      <c r="L358" s="304">
        <f t="shared" ca="1" si="145"/>
        <v>655.07444223657649</v>
      </c>
      <c r="M358" s="306">
        <f t="shared" ca="1" si="161"/>
        <v>1.461881552449362</v>
      </c>
      <c r="N358" s="304">
        <f t="shared" ca="1" si="162"/>
        <v>83.759643103381137</v>
      </c>
      <c r="P358" s="310">
        <f t="shared" ca="1" si="163"/>
        <v>11</v>
      </c>
      <c r="Q358" s="304">
        <f t="shared" ca="1" si="164"/>
        <v>670.05000000000405</v>
      </c>
      <c r="R358" s="306">
        <f t="shared" ca="1" si="165"/>
        <v>0.33564966140268998</v>
      </c>
      <c r="S358" s="307">
        <f t="shared" ca="1" si="166"/>
        <v>6.7375050628793023</v>
      </c>
      <c r="T358" s="304">
        <f t="shared" ca="1" si="146"/>
        <v>66.094924666845955</v>
      </c>
      <c r="U358" s="311">
        <f t="shared" ca="1" si="147"/>
        <v>0</v>
      </c>
      <c r="V358" s="306">
        <f t="shared" ca="1" si="148"/>
        <v>1.1477032067794426</v>
      </c>
      <c r="W358" s="304">
        <f t="shared" ca="1" si="149"/>
        <v>324.44755535963725</v>
      </c>
      <c r="Y358" s="314" t="str">
        <f t="shared" ca="1" si="167"/>
        <v/>
      </c>
      <c r="Z358" s="315" t="str">
        <f t="shared" ca="1" si="168"/>
        <v/>
      </c>
      <c r="AA358" s="316" t="str">
        <f t="shared" ca="1" si="169"/>
        <v/>
      </c>
      <c r="AC358" s="310" t="e">
        <f t="shared" ca="1" si="170"/>
        <v>#N/A</v>
      </c>
      <c r="AD358" s="323" t="e">
        <f t="shared" ca="1" si="171"/>
        <v>#N/A</v>
      </c>
      <c r="AE358" s="324">
        <f t="shared" ca="1" si="150"/>
        <v>651.5504594059654</v>
      </c>
      <c r="AG358" s="306">
        <f t="shared" ca="1" si="172"/>
        <v>41.652456171670416</v>
      </c>
      <c r="AH358" s="304">
        <f t="shared" ca="1" si="173"/>
        <v>51.404363736704624</v>
      </c>
    </row>
    <row r="359" spans="1:34" x14ac:dyDescent="0.2">
      <c r="A359" s="347">
        <f t="shared" ca="1" si="151"/>
        <v>0.01</v>
      </c>
      <c r="B359" s="304">
        <f t="shared" ca="1" si="152"/>
        <v>3.5499999999999683</v>
      </c>
      <c r="D359" s="306">
        <f t="shared" ca="1" si="153"/>
        <v>5.5575684195039203</v>
      </c>
      <c r="E359" s="307">
        <f t="shared" ca="1" si="154"/>
        <v>41.014836536459647</v>
      </c>
      <c r="F359" s="304">
        <f t="shared" ca="1" si="155"/>
        <v>41.389653089268251</v>
      </c>
      <c r="G359" s="306">
        <f t="shared" ca="1" si="156"/>
        <v>35.074622358828314</v>
      </c>
      <c r="H359" s="307">
        <f t="shared" ca="1" si="157"/>
        <v>320.66483324781541</v>
      </c>
      <c r="I359" s="304">
        <f t="shared" ca="1" si="158"/>
        <v>322.57737740806266</v>
      </c>
      <c r="J359" s="306">
        <f t="shared" ca="1" si="159"/>
        <v>68.207109283525668</v>
      </c>
      <c r="K359" s="307">
        <f t="shared" ca="1" si="160"/>
        <v>654.75505699661676</v>
      </c>
      <c r="L359" s="304">
        <f t="shared" ca="1" si="145"/>
        <v>658.29810452367076</v>
      </c>
      <c r="M359" s="306">
        <f t="shared" ca="1" si="161"/>
        <v>1.4618484954883317</v>
      </c>
      <c r="N359" s="304">
        <f t="shared" ca="1" si="162"/>
        <v>83.757749079030575</v>
      </c>
      <c r="P359" s="310">
        <f t="shared" ca="1" si="163"/>
        <v>11</v>
      </c>
      <c r="Q359" s="304">
        <f t="shared" ca="1" si="164"/>
        <v>668.75000000000409</v>
      </c>
      <c r="R359" s="306">
        <f t="shared" ca="1" si="165"/>
        <v>0.3349984494635459</v>
      </c>
      <c r="S359" s="307">
        <f t="shared" ca="1" si="166"/>
        <v>6.7341550783846671</v>
      </c>
      <c r="T359" s="304">
        <f t="shared" ca="1" si="146"/>
        <v>66.062061318953582</v>
      </c>
      <c r="U359" s="311">
        <f t="shared" ca="1" si="147"/>
        <v>0</v>
      </c>
      <c r="V359" s="306">
        <f t="shared" ca="1" si="148"/>
        <v>1.1473350804589515</v>
      </c>
      <c r="W359" s="304">
        <f t="shared" ca="1" si="149"/>
        <v>325.17714157168615</v>
      </c>
      <c r="Y359" s="314" t="str">
        <f t="shared" ca="1" si="167"/>
        <v/>
      </c>
      <c r="Z359" s="315" t="str">
        <f t="shared" ca="1" si="168"/>
        <v/>
      </c>
      <c r="AA359" s="316" t="str">
        <f t="shared" ca="1" si="169"/>
        <v/>
      </c>
      <c r="AC359" s="310" t="e">
        <f t="shared" ca="1" si="170"/>
        <v>#N/A</v>
      </c>
      <c r="AD359" s="323" t="e">
        <f t="shared" ca="1" si="171"/>
        <v>#N/A</v>
      </c>
      <c r="AE359" s="324">
        <f t="shared" ca="1" si="150"/>
        <v>654.75505699661676</v>
      </c>
      <c r="AG359" s="306">
        <f t="shared" ca="1" si="172"/>
        <v>41.375914442186726</v>
      </c>
      <c r="AH359" s="304">
        <f t="shared" ca="1" si="173"/>
        <v>51.127786727916465</v>
      </c>
    </row>
    <row r="360" spans="1:34" x14ac:dyDescent="0.2">
      <c r="A360" s="347">
        <f t="shared" ca="1" si="151"/>
        <v>0.01</v>
      </c>
      <c r="B360" s="304">
        <f t="shared" ca="1" si="152"/>
        <v>3.5599999999999681</v>
      </c>
      <c r="D360" s="306">
        <f t="shared" ca="1" si="153"/>
        <v>5.5292232295180961</v>
      </c>
      <c r="E360" s="307">
        <f t="shared" ca="1" si="154"/>
        <v>40.740150668609971</v>
      </c>
      <c r="F360" s="304">
        <f t="shared" ca="1" si="155"/>
        <v>41.113649631513908</v>
      </c>
      <c r="G360" s="306">
        <f t="shared" ca="1" si="156"/>
        <v>35.129914591123494</v>
      </c>
      <c r="H360" s="307">
        <f t="shared" ca="1" si="157"/>
        <v>321.07223475450149</v>
      </c>
      <c r="I360" s="304">
        <f t="shared" ca="1" si="158"/>
        <v>322.98837568777822</v>
      </c>
      <c r="J360" s="306">
        <f t="shared" ca="1" si="159"/>
        <v>68.558131968275433</v>
      </c>
      <c r="K360" s="307">
        <f t="shared" ca="1" si="160"/>
        <v>657.96374233662834</v>
      </c>
      <c r="L360" s="304">
        <f t="shared" ca="1" si="145"/>
        <v>661.52589041442707</v>
      </c>
      <c r="M360" s="306">
        <f t="shared" ca="1" si="161"/>
        <v>1.4618154706110793</v>
      </c>
      <c r="N360" s="304">
        <f t="shared" ca="1" si="162"/>
        <v>83.755856892945076</v>
      </c>
      <c r="P360" s="310">
        <f t="shared" ca="1" si="163"/>
        <v>11</v>
      </c>
      <c r="Q360" s="304">
        <f t="shared" ca="1" si="164"/>
        <v>667.45000000000414</v>
      </c>
      <c r="R360" s="306">
        <f t="shared" ca="1" si="165"/>
        <v>0.33434723752440182</v>
      </c>
      <c r="S360" s="307">
        <f t="shared" ca="1" si="166"/>
        <v>6.7308116060094232</v>
      </c>
      <c r="T360" s="304">
        <f t="shared" ca="1" si="146"/>
        <v>66.029261854952438</v>
      </c>
      <c r="U360" s="311">
        <f t="shared" ca="1" si="147"/>
        <v>0</v>
      </c>
      <c r="V360" s="306">
        <f t="shared" ca="1" si="148"/>
        <v>1.1469665989915032</v>
      </c>
      <c r="W360" s="304">
        <f t="shared" ca="1" si="149"/>
        <v>325.90158963849751</v>
      </c>
      <c r="Y360" s="314" t="str">
        <f t="shared" ca="1" si="167"/>
        <v/>
      </c>
      <c r="Z360" s="315" t="str">
        <f t="shared" ca="1" si="168"/>
        <v/>
      </c>
      <c r="AA360" s="316" t="str">
        <f t="shared" ca="1" si="169"/>
        <v/>
      </c>
      <c r="AC360" s="310" t="e">
        <f t="shared" ca="1" si="170"/>
        <v>#N/A</v>
      </c>
      <c r="AD360" s="323" t="e">
        <f t="shared" ca="1" si="171"/>
        <v>#N/A</v>
      </c>
      <c r="AE360" s="324">
        <f t="shared" ca="1" si="150"/>
        <v>657.96374233662834</v>
      </c>
      <c r="AG360" s="306">
        <f t="shared" ca="1" si="172"/>
        <v>41.09981035831413</v>
      </c>
      <c r="AH360" s="304">
        <f t="shared" ca="1" si="173"/>
        <v>50.851647388663935</v>
      </c>
    </row>
    <row r="361" spans="1:34" x14ac:dyDescent="0.2">
      <c r="A361" s="347">
        <f t="shared" ca="1" si="151"/>
        <v>0.01</v>
      </c>
      <c r="B361" s="304">
        <f t="shared" ca="1" si="152"/>
        <v>3.5699999999999679</v>
      </c>
      <c r="D361" s="306">
        <f t="shared" ca="1" si="153"/>
        <v>5.500906163915583</v>
      </c>
      <c r="E361" s="307">
        <f t="shared" ca="1" si="154"/>
        <v>40.465904618039161</v>
      </c>
      <c r="F361" s="304">
        <f t="shared" ca="1" si="155"/>
        <v>40.838087677809398</v>
      </c>
      <c r="G361" s="306">
        <f t="shared" ca="1" si="156"/>
        <v>35.184923652762649</v>
      </c>
      <c r="H361" s="307">
        <f t="shared" ca="1" si="157"/>
        <v>321.47689380068186</v>
      </c>
      <c r="I361" s="304">
        <f t="shared" ca="1" si="158"/>
        <v>323.39661732953488</v>
      </c>
      <c r="J361" s="306">
        <f t="shared" ca="1" si="159"/>
        <v>68.90970615949486</v>
      </c>
      <c r="K361" s="307">
        <f t="shared" ca="1" si="160"/>
        <v>661.17648797940421</v>
      </c>
      <c r="L361" s="304">
        <f t="shared" ca="1" si="145"/>
        <v>664.75777231993845</v>
      </c>
      <c r="M361" s="306">
        <f t="shared" ca="1" si="161"/>
        <v>1.4617824774645352</v>
      </c>
      <c r="N361" s="304">
        <f t="shared" ca="1" si="162"/>
        <v>83.753966524895233</v>
      </c>
      <c r="P361" s="310">
        <f t="shared" ca="1" si="163"/>
        <v>11</v>
      </c>
      <c r="Q361" s="304">
        <f t="shared" ca="1" si="164"/>
        <v>666.15000000000418</v>
      </c>
      <c r="R361" s="306">
        <f t="shared" ca="1" si="165"/>
        <v>0.33369602558525779</v>
      </c>
      <c r="S361" s="307">
        <f t="shared" ca="1" si="166"/>
        <v>6.7274746457535706</v>
      </c>
      <c r="T361" s="304">
        <f t="shared" ca="1" si="146"/>
        <v>65.996526274842537</v>
      </c>
      <c r="U361" s="311">
        <f t="shared" ca="1" si="147"/>
        <v>0</v>
      </c>
      <c r="V361" s="306">
        <f t="shared" ca="1" si="148"/>
        <v>1.1465977659117341</v>
      </c>
      <c r="W361" s="304">
        <f t="shared" ca="1" si="149"/>
        <v>326.6208917664411</v>
      </c>
      <c r="Y361" s="314" t="str">
        <f t="shared" ca="1" si="167"/>
        <v/>
      </c>
      <c r="Z361" s="315" t="str">
        <f t="shared" ca="1" si="168"/>
        <v/>
      </c>
      <c r="AA361" s="316" t="str">
        <f t="shared" ca="1" si="169"/>
        <v/>
      </c>
      <c r="AC361" s="310" t="e">
        <f t="shared" ca="1" si="170"/>
        <v>#N/A</v>
      </c>
      <c r="AD361" s="323" t="e">
        <f t="shared" ca="1" si="171"/>
        <v>#N/A</v>
      </c>
      <c r="AE361" s="324">
        <f t="shared" ca="1" si="150"/>
        <v>661.17648797940421</v>
      </c>
      <c r="AG361" s="306">
        <f t="shared" ca="1" si="172"/>
        <v>40.824146574038522</v>
      </c>
      <c r="AH361" s="304">
        <f t="shared" ca="1" si="173"/>
        <v>50.575948372584932</v>
      </c>
    </row>
    <row r="362" spans="1:34" x14ac:dyDescent="0.2">
      <c r="A362" s="347">
        <f t="shared" ca="1" si="151"/>
        <v>0.01</v>
      </c>
      <c r="B362" s="304">
        <f t="shared" ca="1" si="152"/>
        <v>3.5799999999999677</v>
      </c>
      <c r="D362" s="306">
        <f t="shared" ca="1" si="153"/>
        <v>5.4726175947839604</v>
      </c>
      <c r="E362" s="307">
        <f t="shared" ca="1" si="154"/>
        <v>40.192100976335823</v>
      </c>
      <c r="F362" s="304">
        <f t="shared" ca="1" si="155"/>
        <v>40.562969864529322</v>
      </c>
      <c r="G362" s="306">
        <f t="shared" ca="1" si="156"/>
        <v>35.23964982871049</v>
      </c>
      <c r="H362" s="307">
        <f t="shared" ca="1" si="157"/>
        <v>321.87881481044525</v>
      </c>
      <c r="I362" s="304">
        <f t="shared" ca="1" si="158"/>
        <v>323.8021067624901</v>
      </c>
      <c r="J362" s="306">
        <f t="shared" ca="1" si="159"/>
        <v>69.26182902690222</v>
      </c>
      <c r="K362" s="307">
        <f t="shared" ca="1" si="160"/>
        <v>664.39326652245984</v>
      </c>
      <c r="L362" s="304">
        <f t="shared" ca="1" si="145"/>
        <v>667.99372269545779</v>
      </c>
      <c r="M362" s="306">
        <f t="shared" ca="1" si="161"/>
        <v>1.46174951569812</v>
      </c>
      <c r="N362" s="304">
        <f t="shared" ca="1" si="162"/>
        <v>83.752077954794345</v>
      </c>
      <c r="P362" s="310">
        <f t="shared" ca="1" si="163"/>
        <v>11</v>
      </c>
      <c r="Q362" s="304">
        <f t="shared" ca="1" si="164"/>
        <v>664.85000000000423</v>
      </c>
      <c r="R362" s="306">
        <f t="shared" ca="1" si="165"/>
        <v>0.33304481364611371</v>
      </c>
      <c r="S362" s="307">
        <f t="shared" ca="1" si="166"/>
        <v>6.7241441976171092</v>
      </c>
      <c r="T362" s="304">
        <f t="shared" ca="1" si="146"/>
        <v>65.963854578623838</v>
      </c>
      <c r="U362" s="311">
        <f t="shared" ca="1" si="147"/>
        <v>0</v>
      </c>
      <c r="V362" s="306">
        <f t="shared" ca="1" si="148"/>
        <v>1.1462285847454763</v>
      </c>
      <c r="W362" s="304">
        <f t="shared" ca="1" si="149"/>
        <v>327.33504043405651</v>
      </c>
      <c r="Y362" s="314" t="str">
        <f t="shared" ca="1" si="167"/>
        <v/>
      </c>
      <c r="Z362" s="315" t="str">
        <f t="shared" ca="1" si="168"/>
        <v/>
      </c>
      <c r="AA362" s="316" t="str">
        <f t="shared" ca="1" si="169"/>
        <v/>
      </c>
      <c r="AC362" s="310" t="e">
        <f t="shared" ca="1" si="170"/>
        <v>#N/A</v>
      </c>
      <c r="AD362" s="323" t="e">
        <f t="shared" ca="1" si="171"/>
        <v>#N/A</v>
      </c>
      <c r="AE362" s="324">
        <f t="shared" ca="1" si="150"/>
        <v>664.39326652245984</v>
      </c>
      <c r="AG362" s="306">
        <f t="shared" ca="1" si="172"/>
        <v>40.548925705325942</v>
      </c>
      <c r="AH362" s="304">
        <f t="shared" ca="1" si="173"/>
        <v>50.300692295299704</v>
      </c>
    </row>
    <row r="363" spans="1:34" x14ac:dyDescent="0.2">
      <c r="A363" s="347">
        <f t="shared" ca="1" si="151"/>
        <v>0.01</v>
      </c>
      <c r="B363" s="304">
        <f t="shared" ca="1" si="152"/>
        <v>3.5899999999999674</v>
      </c>
      <c r="D363" s="306">
        <f t="shared" ca="1" si="153"/>
        <v>5.4443578898360734</v>
      </c>
      <c r="E363" s="307">
        <f t="shared" ca="1" si="154"/>
        <v>39.918742297450251</v>
      </c>
      <c r="F363" s="304">
        <f t="shared" ca="1" si="155"/>
        <v>40.288298790627337</v>
      </c>
      <c r="G363" s="306">
        <f t="shared" ca="1" si="156"/>
        <v>35.294093407608848</v>
      </c>
      <c r="H363" s="307">
        <f t="shared" ca="1" si="157"/>
        <v>322.27800223341973</v>
      </c>
      <c r="I363" s="304">
        <f t="shared" ca="1" si="158"/>
        <v>324.20484844158193</v>
      </c>
      <c r="J363" s="306">
        <f t="shared" ca="1" si="159"/>
        <v>69.614497743083817</v>
      </c>
      <c r="K363" s="307">
        <f t="shared" ca="1" si="160"/>
        <v>667.61405060767913</v>
      </c>
      <c r="L363" s="304">
        <f t="shared" ca="1" si="145"/>
        <v>671.23371404065711</v>
      </c>
      <c r="M363" s="306">
        <f t="shared" ca="1" si="161"/>
        <v>1.4617165849637157</v>
      </c>
      <c r="N363" s="304">
        <f t="shared" ca="1" si="162"/>
        <v>83.750191162696723</v>
      </c>
      <c r="P363" s="310">
        <f t="shared" ca="1" si="163"/>
        <v>11</v>
      </c>
      <c r="Q363" s="304">
        <f t="shared" ca="1" si="164"/>
        <v>663.55000000000427</v>
      </c>
      <c r="R363" s="306">
        <f t="shared" ca="1" si="165"/>
        <v>0.33239360170696963</v>
      </c>
      <c r="S363" s="307">
        <f t="shared" ca="1" si="166"/>
        <v>6.7208202616000392</v>
      </c>
      <c r="T363" s="304">
        <f t="shared" ca="1" si="146"/>
        <v>65.931246766296383</v>
      </c>
      <c r="U363" s="311">
        <f t="shared" ca="1" si="147"/>
        <v>0</v>
      </c>
      <c r="V363" s="306">
        <f t="shared" ca="1" si="148"/>
        <v>1.14585905900973</v>
      </c>
      <c r="W363" s="304">
        <f t="shared" ca="1" si="149"/>
        <v>328.04402839032934</v>
      </c>
      <c r="Y363" s="314" t="str">
        <f t="shared" ca="1" si="167"/>
        <v/>
      </c>
      <c r="Z363" s="315" t="str">
        <f t="shared" ca="1" si="168"/>
        <v/>
      </c>
      <c r="AA363" s="316" t="str">
        <f t="shared" ca="1" si="169"/>
        <v/>
      </c>
      <c r="AC363" s="310" t="e">
        <f t="shared" ca="1" si="170"/>
        <v>#N/A</v>
      </c>
      <c r="AD363" s="323" t="e">
        <f t="shared" ca="1" si="171"/>
        <v>#N/A</v>
      </c>
      <c r="AE363" s="324">
        <f t="shared" ca="1" si="150"/>
        <v>667.61405060767913</v>
      </c>
      <c r="AG363" s="306">
        <f t="shared" ca="1" si="172"/>
        <v>40.274150330258308</v>
      </c>
      <c r="AH363" s="304">
        <f t="shared" ca="1" si="173"/>
        <v>50.025881734546552</v>
      </c>
    </row>
    <row r="364" spans="1:34" x14ac:dyDescent="0.2">
      <c r="A364" s="347">
        <f t="shared" ca="1" si="151"/>
        <v>0.01</v>
      </c>
      <c r="B364" s="304">
        <f t="shared" ca="1" si="152"/>
        <v>3.5999999999999672</v>
      </c>
      <c r="D364" s="306">
        <f t="shared" ca="1" si="153"/>
        <v>5.4161274124243866</v>
      </c>
      <c r="E364" s="307">
        <f t="shared" ca="1" si="154"/>
        <v>39.64583109783149</v>
      </c>
      <c r="F364" s="304">
        <f t="shared" ca="1" si="155"/>
        <v>40.014077017787095</v>
      </c>
      <c r="G364" s="306">
        <f t="shared" ca="1" si="156"/>
        <v>35.348254681733088</v>
      </c>
      <c r="H364" s="307">
        <f t="shared" ca="1" si="157"/>
        <v>322.67446054439802</v>
      </c>
      <c r="I364" s="304">
        <f t="shared" ca="1" si="158"/>
        <v>324.60484684715192</v>
      </c>
      <c r="J364" s="306">
        <f t="shared" ca="1" si="159"/>
        <v>69.967709483530527</v>
      </c>
      <c r="K364" s="307">
        <f t="shared" ca="1" si="160"/>
        <v>670.83881292156821</v>
      </c>
      <c r="L364" s="304">
        <f t="shared" ca="1" si="145"/>
        <v>674.47771889988371</v>
      </c>
      <c r="M364" s="306">
        <f t="shared" ca="1" si="161"/>
        <v>1.461683684915638</v>
      </c>
      <c r="N364" s="304">
        <f t="shared" ca="1" si="162"/>
        <v>83.748306128796088</v>
      </c>
      <c r="P364" s="310">
        <f t="shared" ca="1" si="163"/>
        <v>11</v>
      </c>
      <c r="Q364" s="304">
        <f t="shared" ca="1" si="164"/>
        <v>662.25000000000421</v>
      </c>
      <c r="R364" s="306">
        <f t="shared" ca="1" si="165"/>
        <v>0.33174238976782555</v>
      </c>
      <c r="S364" s="307">
        <f t="shared" ca="1" si="166"/>
        <v>6.7175028377023613</v>
      </c>
      <c r="T364" s="304">
        <f t="shared" ca="1" si="146"/>
        <v>65.898702837860171</v>
      </c>
      <c r="U364" s="311">
        <f t="shared" ca="1" si="147"/>
        <v>0</v>
      </c>
      <c r="V364" s="306">
        <f t="shared" ca="1" si="148"/>
        <v>1.1454891922126338</v>
      </c>
      <c r="W364" s="304">
        <f t="shared" ca="1" si="149"/>
        <v>328.74784865296135</v>
      </c>
      <c r="Y364" s="314" t="str">
        <f t="shared" ca="1" si="167"/>
        <v/>
      </c>
      <c r="Z364" s="315" t="str">
        <f t="shared" ca="1" si="168"/>
        <v/>
      </c>
      <c r="AA364" s="316" t="str">
        <f t="shared" ca="1" si="169"/>
        <v/>
      </c>
      <c r="AC364" s="310" t="e">
        <f t="shared" ca="1" si="170"/>
        <v>#N/A</v>
      </c>
      <c r="AD364" s="323" t="e">
        <f t="shared" ca="1" si="171"/>
        <v>#N/A</v>
      </c>
      <c r="AE364" s="324">
        <f t="shared" ca="1" si="150"/>
        <v>670.83881292156821</v>
      </c>
      <c r="AG364" s="306">
        <f t="shared" ca="1" si="172"/>
        <v>39.999822989171143</v>
      </c>
      <c r="AH364" s="304">
        <f t="shared" ca="1" si="173"/>
        <v>49.751519230319502</v>
      </c>
    </row>
    <row r="365" spans="1:34" x14ac:dyDescent="0.2">
      <c r="A365" s="347">
        <f t="shared" ca="1" si="151"/>
        <v>0.01</v>
      </c>
      <c r="B365" s="304">
        <f t="shared" ca="1" si="152"/>
        <v>3.609999999999967</v>
      </c>
      <c r="D365" s="306">
        <f t="shared" ca="1" si="153"/>
        <v>5.3879265215555083</v>
      </c>
      <c r="E365" s="307">
        <f t="shared" ca="1" si="154"/>
        <v>39.373369856566306</v>
      </c>
      <c r="F365" s="304">
        <f t="shared" ca="1" si="155"/>
        <v>39.740307070575653</v>
      </c>
      <c r="G365" s="306">
        <f t="shared" ca="1" si="156"/>
        <v>35.402133946948645</v>
      </c>
      <c r="H365" s="307">
        <f t="shared" ca="1" si="157"/>
        <v>323.06819424296367</v>
      </c>
      <c r="I365" s="304">
        <f t="shared" ca="1" si="158"/>
        <v>325.0021064845688</v>
      </c>
      <c r="J365" s="306">
        <f t="shared" ca="1" si="159"/>
        <v>70.321461426673935</v>
      </c>
      <c r="K365" s="307">
        <f t="shared" ca="1" si="160"/>
        <v>674.06752619550502</v>
      </c>
      <c r="L365" s="304">
        <f t="shared" ca="1" si="145"/>
        <v>677.7257098624126</v>
      </c>
      <c r="M365" s="306">
        <f t="shared" ca="1" si="161"/>
        <v>1.4616508152106071</v>
      </c>
      <c r="N365" s="304">
        <f t="shared" ca="1" si="162"/>
        <v>83.746422833423978</v>
      </c>
      <c r="P365" s="310">
        <f t="shared" ca="1" si="163"/>
        <v>11</v>
      </c>
      <c r="Q365" s="304">
        <f t="shared" ca="1" si="164"/>
        <v>660.95000000000425</v>
      </c>
      <c r="R365" s="306">
        <f t="shared" ca="1" si="165"/>
        <v>0.33109117782868147</v>
      </c>
      <c r="S365" s="307">
        <f t="shared" ca="1" si="166"/>
        <v>6.7141919259240748</v>
      </c>
      <c r="T365" s="304">
        <f t="shared" ca="1" si="146"/>
        <v>65.866222793315174</v>
      </c>
      <c r="U365" s="311">
        <f t="shared" ca="1" si="147"/>
        <v>0</v>
      </c>
      <c r="V365" s="306">
        <f t="shared" ca="1" si="148"/>
        <v>1.1451189878534322</v>
      </c>
      <c r="W365" s="304">
        <f t="shared" ca="1" si="149"/>
        <v>329.44649450663042</v>
      </c>
      <c r="Y365" s="314" t="str">
        <f t="shared" ca="1" si="167"/>
        <v/>
      </c>
      <c r="Z365" s="315" t="str">
        <f t="shared" ca="1" si="168"/>
        <v/>
      </c>
      <c r="AA365" s="316" t="str">
        <f t="shared" ca="1" si="169"/>
        <v/>
      </c>
      <c r="AC365" s="310" t="e">
        <f t="shared" ca="1" si="170"/>
        <v>#N/A</v>
      </c>
      <c r="AD365" s="323" t="e">
        <f t="shared" ca="1" si="171"/>
        <v>#N/A</v>
      </c>
      <c r="AE365" s="324">
        <f t="shared" ca="1" si="150"/>
        <v>674.06752619550502</v>
      </c>
      <c r="AG365" s="306">
        <f t="shared" ca="1" si="172"/>
        <v>39.72594618479323</v>
      </c>
      <c r="AH365" s="304">
        <f t="shared" ca="1" si="173"/>
        <v>49.477607285007998</v>
      </c>
    </row>
    <row r="366" spans="1:34" x14ac:dyDescent="0.2">
      <c r="A366" s="347">
        <f t="shared" ca="1" si="151"/>
        <v>0.01</v>
      </c>
      <c r="B366" s="304">
        <f t="shared" ca="1" si="152"/>
        <v>3.6199999999999668</v>
      </c>
      <c r="D366" s="306">
        <f t="shared" ca="1" si="153"/>
        <v>5.3597555719050165</v>
      </c>
      <c r="E366" s="307">
        <f t="shared" ca="1" si="154"/>
        <v>39.101361015520432</v>
      </c>
      <c r="F366" s="304">
        <f t="shared" ca="1" si="155"/>
        <v>39.466991436599621</v>
      </c>
      <c r="G366" s="306">
        <f t="shared" ca="1" si="156"/>
        <v>35.455731502667696</v>
      </c>
      <c r="H366" s="307">
        <f t="shared" ca="1" si="157"/>
        <v>323.45920785311887</v>
      </c>
      <c r="I366" s="304">
        <f t="shared" ca="1" si="158"/>
        <v>325.39663188385407</v>
      </c>
      <c r="J366" s="306">
        <f t="shared" ca="1" si="159"/>
        <v>70.675750753922017</v>
      </c>
      <c r="K366" s="307">
        <f t="shared" ca="1" si="160"/>
        <v>677.30016320598543</v>
      </c>
      <c r="L366" s="304">
        <f t="shared" ca="1" si="145"/>
        <v>680.9776595626945</v>
      </c>
      <c r="M366" s="306">
        <f t="shared" ca="1" si="161"/>
        <v>1.4616179755077217</v>
      </c>
      <c r="N366" s="304">
        <f t="shared" ca="1" si="162"/>
        <v>83.744541257048184</v>
      </c>
      <c r="P366" s="310">
        <f t="shared" ca="1" si="163"/>
        <v>11</v>
      </c>
      <c r="Q366" s="304">
        <f t="shared" ca="1" si="164"/>
        <v>659.6500000000043</v>
      </c>
      <c r="R366" s="306">
        <f t="shared" ca="1" si="165"/>
        <v>0.33043996588953739</v>
      </c>
      <c r="S366" s="307">
        <f t="shared" ca="1" si="166"/>
        <v>6.7108875262651795</v>
      </c>
      <c r="T366" s="304">
        <f t="shared" ca="1" si="146"/>
        <v>65.833806632661421</v>
      </c>
      <c r="U366" s="311">
        <f t="shared" ca="1" si="147"/>
        <v>0</v>
      </c>
      <c r="V366" s="306">
        <f t="shared" ca="1" si="148"/>
        <v>1.1447484494224522</v>
      </c>
      <c r="W366" s="304">
        <f t="shared" ca="1" si="149"/>
        <v>330.13995950124769</v>
      </c>
      <c r="Y366" s="314" t="str">
        <f t="shared" ca="1" si="167"/>
        <v/>
      </c>
      <c r="Z366" s="315" t="str">
        <f t="shared" ca="1" si="168"/>
        <v/>
      </c>
      <c r="AA366" s="316" t="str">
        <f t="shared" ca="1" si="169"/>
        <v/>
      </c>
      <c r="AC366" s="310" t="e">
        <f t="shared" ca="1" si="170"/>
        <v>#N/A</v>
      </c>
      <c r="AD366" s="323" t="e">
        <f t="shared" ca="1" si="171"/>
        <v>#N/A</v>
      </c>
      <c r="AE366" s="324">
        <f t="shared" ca="1" si="150"/>
        <v>677.30016320598543</v>
      </c>
      <c r="AG366" s="306">
        <f t="shared" ca="1" si="172"/>
        <v>39.452522382388587</v>
      </c>
      <c r="AH366" s="304">
        <f t="shared" ca="1" si="173"/>
        <v>49.204148363538813</v>
      </c>
    </row>
    <row r="367" spans="1:34" x14ac:dyDescent="0.2">
      <c r="A367" s="347">
        <f t="shared" ca="1" si="151"/>
        <v>0.01</v>
      </c>
      <c r="B367" s="304">
        <f t="shared" ca="1" si="152"/>
        <v>3.6299999999999666</v>
      </c>
      <c r="D367" s="306">
        <f t="shared" ca="1" si="153"/>
        <v>5.331614913832313</v>
      </c>
      <c r="E367" s="307">
        <f t="shared" ca="1" si="154"/>
        <v>38.829806979481397</v>
      </c>
      <c r="F367" s="304">
        <f t="shared" ca="1" si="155"/>
        <v>39.194132566663363</v>
      </c>
      <c r="G367" s="306">
        <f t="shared" ca="1" si="156"/>
        <v>35.509047651806021</v>
      </c>
      <c r="H367" s="307">
        <f t="shared" ca="1" si="157"/>
        <v>323.84750592291368</v>
      </c>
      <c r="I367" s="304">
        <f t="shared" ca="1" si="158"/>
        <v>325.78842759930848</v>
      </c>
      <c r="J367" s="306">
        <f t="shared" ca="1" si="159"/>
        <v>71.030574649694387</v>
      </c>
      <c r="K367" s="307">
        <f t="shared" ca="1" si="160"/>
        <v>680.53669677486562</v>
      </c>
      <c r="L367" s="304">
        <f t="shared" ca="1" si="145"/>
        <v>684.23354068060064</v>
      </c>
      <c r="M367" s="306">
        <f t="shared" ca="1" si="161"/>
        <v>1.4615851654684302</v>
      </c>
      <c r="N367" s="304">
        <f t="shared" ca="1" si="162"/>
        <v>83.742661380271116</v>
      </c>
      <c r="P367" s="310">
        <f t="shared" ca="1" si="163"/>
        <v>11</v>
      </c>
      <c r="Q367" s="304">
        <f t="shared" ca="1" si="164"/>
        <v>658.35000000000434</v>
      </c>
      <c r="R367" s="306">
        <f t="shared" ca="1" si="165"/>
        <v>0.32978875395039337</v>
      </c>
      <c r="S367" s="307">
        <f t="shared" ca="1" si="166"/>
        <v>6.7075896387256755</v>
      </c>
      <c r="T367" s="304">
        <f t="shared" ca="1" si="146"/>
        <v>65.801454355898883</v>
      </c>
      <c r="U367" s="311">
        <f t="shared" ca="1" si="147"/>
        <v>0</v>
      </c>
      <c r="V367" s="306">
        <f t="shared" ca="1" si="148"/>
        <v>1.1443775804010714</v>
      </c>
      <c r="W367" s="304">
        <f t="shared" ca="1" si="149"/>
        <v>330.8282374502046</v>
      </c>
      <c r="Y367" s="314" t="str">
        <f t="shared" ca="1" si="167"/>
        <v/>
      </c>
      <c r="Z367" s="315" t="str">
        <f t="shared" ca="1" si="168"/>
        <v/>
      </c>
      <c r="AA367" s="316" t="str">
        <f t="shared" ca="1" si="169"/>
        <v/>
      </c>
      <c r="AC367" s="310" t="e">
        <f t="shared" ca="1" si="170"/>
        <v>#N/A</v>
      </c>
      <c r="AD367" s="323" t="e">
        <f t="shared" ca="1" si="171"/>
        <v>#N/A</v>
      </c>
      <c r="AE367" s="324">
        <f t="shared" ca="1" si="150"/>
        <v>680.53669677486562</v>
      </c>
      <c r="AG367" s="306">
        <f t="shared" ca="1" si="172"/>
        <v>39.179554009900031</v>
      </c>
      <c r="AH367" s="304">
        <f t="shared" ca="1" si="173"/>
        <v>48.931144893519573</v>
      </c>
    </row>
    <row r="368" spans="1:34" x14ac:dyDescent="0.2">
      <c r="A368" s="347">
        <f t="shared" ca="1" si="151"/>
        <v>0.01</v>
      </c>
      <c r="B368" s="304">
        <f t="shared" ca="1" si="152"/>
        <v>3.6399999999999664</v>
      </c>
      <c r="D368" s="306">
        <f t="shared" ca="1" si="153"/>
        <v>5.3035048933958668</v>
      </c>
      <c r="E368" s="307">
        <f t="shared" ca="1" si="154"/>
        <v>38.5587101163037</v>
      </c>
      <c r="F368" s="304">
        <f t="shared" ca="1" si="155"/>
        <v>38.921732874930107</v>
      </c>
      <c r="G368" s="306">
        <f t="shared" ca="1" si="156"/>
        <v>35.562082700739978</v>
      </c>
      <c r="H368" s="307">
        <f t="shared" ca="1" si="157"/>
        <v>324.23309302407671</v>
      </c>
      <c r="I368" s="304">
        <f t="shared" ca="1" si="158"/>
        <v>326.17749820914048</v>
      </c>
      <c r="J368" s="306">
        <f t="shared" ca="1" si="159"/>
        <v>71.385930301457122</v>
      </c>
      <c r="K368" s="307">
        <f t="shared" ca="1" si="160"/>
        <v>683.77709976960057</v>
      </c>
      <c r="L368" s="304">
        <f t="shared" ca="1" si="145"/>
        <v>687.49332594166378</v>
      </c>
      <c r="M368" s="306">
        <f t="shared" ca="1" si="161"/>
        <v>1.4615523847565051</v>
      </c>
      <c r="N368" s="304">
        <f t="shared" ca="1" si="162"/>
        <v>83.74078318382837</v>
      </c>
      <c r="P368" s="310">
        <f t="shared" ca="1" si="163"/>
        <v>11</v>
      </c>
      <c r="Q368" s="304">
        <f t="shared" ca="1" si="164"/>
        <v>657.05000000000439</v>
      </c>
      <c r="R368" s="306">
        <f t="shared" ca="1" si="165"/>
        <v>0.32913754201124928</v>
      </c>
      <c r="S368" s="307">
        <f t="shared" ca="1" si="166"/>
        <v>6.7042982633055628</v>
      </c>
      <c r="T368" s="304">
        <f t="shared" ca="1" si="146"/>
        <v>65.769165963027575</v>
      </c>
      <c r="U368" s="311">
        <f t="shared" ca="1" si="147"/>
        <v>0</v>
      </c>
      <c r="V368" s="306">
        <f t="shared" ca="1" si="148"/>
        <v>1.1440063842616939</v>
      </c>
      <c r="W368" s="304">
        <f t="shared" ca="1" si="149"/>
        <v>331.5113224286165</v>
      </c>
      <c r="Y368" s="314" t="str">
        <f t="shared" ca="1" si="167"/>
        <v/>
      </c>
      <c r="Z368" s="315" t="str">
        <f t="shared" ca="1" si="168"/>
        <v/>
      </c>
      <c r="AA368" s="316" t="str">
        <f t="shared" ca="1" si="169"/>
        <v/>
      </c>
      <c r="AC368" s="310" t="e">
        <f t="shared" ca="1" si="170"/>
        <v>#N/A</v>
      </c>
      <c r="AD368" s="323" t="e">
        <f t="shared" ca="1" si="171"/>
        <v>#N/A</v>
      </c>
      <c r="AE368" s="324">
        <f t="shared" ca="1" si="150"/>
        <v>683.77709976960057</v>
      </c>
      <c r="AG368" s="306">
        <f t="shared" ca="1" si="172"/>
        <v>38.907043458095075</v>
      </c>
      <c r="AH368" s="304">
        <f t="shared" ca="1" si="173"/>
        <v>48.658599265384673</v>
      </c>
    </row>
    <row r="369" spans="1:34" x14ac:dyDescent="0.2">
      <c r="A369" s="347">
        <f t="shared" ca="1" si="151"/>
        <v>0.01</v>
      </c>
      <c r="B369" s="304">
        <f t="shared" ca="1" si="152"/>
        <v>3.6499999999999662</v>
      </c>
      <c r="D369" s="306">
        <f t="shared" ca="1" si="153"/>
        <v>5.2754258523684978</v>
      </c>
      <c r="E369" s="307">
        <f t="shared" ca="1" si="154"/>
        <v>38.288072757055488</v>
      </c>
      <c r="F369" s="304">
        <f t="shared" ca="1" si="155"/>
        <v>38.649794739085131</v>
      </c>
      <c r="G369" s="306">
        <f t="shared" ca="1" si="156"/>
        <v>35.614836959263663</v>
      </c>
      <c r="H369" s="307">
        <f t="shared" ca="1" si="157"/>
        <v>324.61597375164729</v>
      </c>
      <c r="I369" s="304">
        <f t="shared" ca="1" si="158"/>
        <v>326.5638483150961</v>
      </c>
      <c r="J369" s="306">
        <f t="shared" ca="1" si="159"/>
        <v>71.741814899757145</v>
      </c>
      <c r="K369" s="307">
        <f t="shared" ca="1" si="160"/>
        <v>687.02134510347923</v>
      </c>
      <c r="L369" s="304">
        <f t="shared" ca="1" si="145"/>
        <v>690.75698811731536</v>
      </c>
      <c r="M369" s="306">
        <f t="shared" ca="1" si="161"/>
        <v>1.4615196330380151</v>
      </c>
      <c r="N369" s="304">
        <f t="shared" ca="1" si="162"/>
        <v>83.738906648587104</v>
      </c>
      <c r="P369" s="310">
        <f t="shared" ca="1" si="163"/>
        <v>11</v>
      </c>
      <c r="Q369" s="304">
        <f t="shared" ca="1" si="164"/>
        <v>655.75000000000443</v>
      </c>
      <c r="R369" s="306">
        <f t="shared" ca="1" si="165"/>
        <v>0.3284863300721052</v>
      </c>
      <c r="S369" s="307">
        <f t="shared" ca="1" si="166"/>
        <v>6.7010134000048414</v>
      </c>
      <c r="T369" s="304">
        <f t="shared" ca="1" si="146"/>
        <v>65.736941454047496</v>
      </c>
      <c r="U369" s="311">
        <f t="shared" ca="1" si="147"/>
        <v>0</v>
      </c>
      <c r="V369" s="306">
        <f t="shared" ca="1" si="148"/>
        <v>1.1436348644677197</v>
      </c>
      <c r="W369" s="304">
        <f t="shared" ca="1" si="149"/>
        <v>332.1892087715583</v>
      </c>
      <c r="Y369" s="314" t="str">
        <f t="shared" ca="1" si="167"/>
        <v/>
      </c>
      <c r="Z369" s="315" t="str">
        <f t="shared" ca="1" si="168"/>
        <v/>
      </c>
      <c r="AA369" s="316" t="str">
        <f t="shared" ca="1" si="169"/>
        <v/>
      </c>
      <c r="AC369" s="310" t="e">
        <f t="shared" ca="1" si="170"/>
        <v>#N/A</v>
      </c>
      <c r="AD369" s="323" t="e">
        <f t="shared" ca="1" si="171"/>
        <v>#N/A</v>
      </c>
      <c r="AE369" s="324">
        <f t="shared" ca="1" si="150"/>
        <v>687.02134510347923</v>
      </c>
      <c r="AG369" s="306">
        <f t="shared" ca="1" si="172"/>
        <v>38.634993080713372</v>
      </c>
      <c r="AH369" s="304">
        <f t="shared" ca="1" si="173"/>
        <v>48.386513832542654</v>
      </c>
    </row>
    <row r="370" spans="1:34" x14ac:dyDescent="0.2">
      <c r="A370" s="347">
        <f t="shared" ca="1" si="151"/>
        <v>0.01</v>
      </c>
      <c r="B370" s="304">
        <f t="shared" ca="1" si="152"/>
        <v>3.6599999999999659</v>
      </c>
      <c r="D370" s="306">
        <f t="shared" ca="1" si="153"/>
        <v>5.2561187907203433</v>
      </c>
      <c r="E370" s="307">
        <f t="shared" ca="1" si="154"/>
        <v>38.097565079003232</v>
      </c>
      <c r="F370" s="304">
        <f t="shared" ca="1" si="155"/>
        <v>38.458435351572092</v>
      </c>
      <c r="G370" s="306">
        <f t="shared" ca="1" si="156"/>
        <v>35.667398147170864</v>
      </c>
      <c r="H370" s="307">
        <f t="shared" ca="1" si="157"/>
        <v>324.99694940243734</v>
      </c>
      <c r="I370" s="304">
        <f t="shared" ca="1" si="158"/>
        <v>326.94828400142922</v>
      </c>
      <c r="J370" s="306">
        <f t="shared" ca="1" si="159"/>
        <v>72.098226075289318</v>
      </c>
      <c r="K370" s="307">
        <f t="shared" ca="1" si="160"/>
        <v>690.26940971924967</v>
      </c>
      <c r="L370" s="304">
        <f t="shared" ca="1" si="145"/>
        <v>694.02450403236116</v>
      </c>
      <c r="M370" s="306">
        <f t="shared" ca="1" si="161"/>
        <v>1.461486910061516</v>
      </c>
      <c r="N370" s="304">
        <f t="shared" ca="1" si="162"/>
        <v>83.737031760140596</v>
      </c>
      <c r="P370" s="310">
        <f t="shared" ca="1" si="163"/>
        <v>12</v>
      </c>
      <c r="Q370" s="304">
        <f t="shared" ca="1" si="164"/>
        <v>654.98666666666747</v>
      </c>
      <c r="R370" s="306">
        <f t="shared" ca="1" si="165"/>
        <v>0.32810395177963164</v>
      </c>
      <c r="S370" s="307">
        <f t="shared" ca="1" si="166"/>
        <v>6.6977323604870449</v>
      </c>
      <c r="T370" s="304">
        <f t="shared" ca="1" si="146"/>
        <v>65.704754456377913</v>
      </c>
      <c r="U370" s="311">
        <f t="shared" ca="1" si="147"/>
        <v>0</v>
      </c>
      <c r="V370" s="306">
        <f t="shared" ca="1" si="148"/>
        <v>1.1432630240175732</v>
      </c>
      <c r="W370" s="304">
        <f t="shared" ca="1" si="149"/>
        <v>332.86352285667317</v>
      </c>
      <c r="Y370" s="314" t="str">
        <f t="shared" ca="1" si="167"/>
        <v/>
      </c>
      <c r="Z370" s="315" t="str">
        <f t="shared" ca="1" si="168"/>
        <v/>
      </c>
      <c r="AA370" s="316" t="str">
        <f t="shared" ca="1" si="169"/>
        <v/>
      </c>
      <c r="AC370" s="310" t="e">
        <f t="shared" ca="1" si="170"/>
        <v>#N/A</v>
      </c>
      <c r="AD370" s="323" t="e">
        <f t="shared" ca="1" si="171"/>
        <v>#N/A</v>
      </c>
      <c r="AE370" s="324">
        <f t="shared" ca="1" si="150"/>
        <v>690.26940971924967</v>
      </c>
      <c r="AG370" s="306">
        <f t="shared" ca="1" si="172"/>
        <v>38.443551128611155</v>
      </c>
      <c r="AH370" s="304">
        <f t="shared" ca="1" si="173"/>
        <v>48.195036845520654</v>
      </c>
    </row>
    <row r="371" spans="1:34" x14ac:dyDescent="0.2">
      <c r="A371" s="347">
        <f t="shared" ca="1" si="151"/>
        <v>0.01</v>
      </c>
      <c r="B371" s="304">
        <f t="shared" ca="1" si="152"/>
        <v>3.6699999999999657</v>
      </c>
      <c r="D371" s="306">
        <f t="shared" ca="1" si="153"/>
        <v>5.2455801789142402</v>
      </c>
      <c r="E371" s="307">
        <f t="shared" ca="1" si="154"/>
        <v>37.987082056803835</v>
      </c>
      <c r="F371" s="304">
        <f t="shared" ca="1" si="155"/>
        <v>38.347549003864195</v>
      </c>
      <c r="G371" s="306">
        <f t="shared" ca="1" si="156"/>
        <v>35.719853948960008</v>
      </c>
      <c r="H371" s="307">
        <f t="shared" ca="1" si="157"/>
        <v>325.37682022300538</v>
      </c>
      <c r="I371" s="304">
        <f t="shared" ca="1" si="158"/>
        <v>327.3316103045488</v>
      </c>
      <c r="J371" s="306">
        <f t="shared" ca="1" si="159"/>
        <v>72.45516233576997</v>
      </c>
      <c r="K371" s="307">
        <f t="shared" ca="1" si="160"/>
        <v>693.52127856737684</v>
      </c>
      <c r="L371" s="304">
        <f t="shared" ca="1" si="145"/>
        <v>697.29585856710196</v>
      </c>
      <c r="M371" s="306">
        <f t="shared" ca="1" si="161"/>
        <v>1.4614542156572863</v>
      </c>
      <c r="N371" s="304">
        <f t="shared" ca="1" si="162"/>
        <v>83.735158508764542</v>
      </c>
      <c r="P371" s="310">
        <f t="shared" ca="1" si="163"/>
        <v>12</v>
      </c>
      <c r="Q371" s="304">
        <f t="shared" ca="1" si="164"/>
        <v>654.76000000000079</v>
      </c>
      <c r="R371" s="306">
        <f t="shared" ca="1" si="165"/>
        <v>0.32799040713383215</v>
      </c>
      <c r="S371" s="307">
        <f t="shared" ca="1" si="166"/>
        <v>6.6944524564157062</v>
      </c>
      <c r="T371" s="304">
        <f t="shared" ca="1" si="146"/>
        <v>65.672578597438076</v>
      </c>
      <c r="U371" s="311">
        <f t="shared" ca="1" si="147"/>
        <v>0</v>
      </c>
      <c r="V371" s="306">
        <f t="shared" ca="1" si="148"/>
        <v>1.1428908649901994</v>
      </c>
      <c r="W371" s="304">
        <f t="shared" ca="1" si="149"/>
        <v>333.5358943711301</v>
      </c>
      <c r="Y371" s="314" t="str">
        <f t="shared" ca="1" si="167"/>
        <v/>
      </c>
      <c r="Z371" s="315" t="str">
        <f t="shared" ca="1" si="168"/>
        <v/>
      </c>
      <c r="AA371" s="316" t="str">
        <f t="shared" ca="1" si="169"/>
        <v/>
      </c>
      <c r="AC371" s="310" t="e">
        <f t="shared" ca="1" si="170"/>
        <v>#N/A</v>
      </c>
      <c r="AD371" s="323" t="e">
        <f t="shared" ca="1" si="171"/>
        <v>#N/A</v>
      </c>
      <c r="AE371" s="324">
        <f t="shared" ca="1" si="150"/>
        <v>693.52127856737684</v>
      </c>
      <c r="AG371" s="306">
        <f t="shared" ca="1" si="172"/>
        <v>38.332612817324858</v>
      </c>
      <c r="AH371" s="304">
        <f t="shared" ca="1" si="173"/>
        <v>48.084063519613828</v>
      </c>
    </row>
    <row r="372" spans="1:34" x14ac:dyDescent="0.2">
      <c r="A372" s="347">
        <f t="shared" ca="1" si="151"/>
        <v>0.01</v>
      </c>
      <c r="B372" s="304">
        <f t="shared" ca="1" si="152"/>
        <v>3.6799999999999655</v>
      </c>
      <c r="D372" s="306">
        <f t="shared" ca="1" si="153"/>
        <v>5.2350518998826461</v>
      </c>
      <c r="E372" s="307">
        <f t="shared" ca="1" si="154"/>
        <v>37.876772272925628</v>
      </c>
      <c r="F372" s="304">
        <f t="shared" ca="1" si="155"/>
        <v>38.236836247387579</v>
      </c>
      <c r="G372" s="306">
        <f t="shared" ca="1" si="156"/>
        <v>35.772204467958836</v>
      </c>
      <c r="H372" s="307">
        <f t="shared" ca="1" si="157"/>
        <v>325.75558794573465</v>
      </c>
      <c r="I372" s="304">
        <f t="shared" ca="1" si="158"/>
        <v>327.7138289580846</v>
      </c>
      <c r="J372" s="306">
        <f t="shared" ca="1" si="159"/>
        <v>72.812622627854566</v>
      </c>
      <c r="K372" s="307">
        <f t="shared" ca="1" si="160"/>
        <v>696.77694060822057</v>
      </c>
      <c r="L372" s="304">
        <f t="shared" ca="1" si="145"/>
        <v>700.57104063563611</v>
      </c>
      <c r="M372" s="306">
        <f t="shared" ca="1" si="161"/>
        <v>1.4614215496566128</v>
      </c>
      <c r="N372" s="304">
        <f t="shared" ca="1" si="162"/>
        <v>83.733286884792378</v>
      </c>
      <c r="P372" s="310">
        <f t="shared" ca="1" si="163"/>
        <v>12</v>
      </c>
      <c r="Q372" s="304">
        <f t="shared" ca="1" si="164"/>
        <v>654.5333333333341</v>
      </c>
      <c r="R372" s="306">
        <f t="shared" ca="1" si="165"/>
        <v>0.32787686248803266</v>
      </c>
      <c r="S372" s="307">
        <f t="shared" ca="1" si="166"/>
        <v>6.6911736877908261</v>
      </c>
      <c r="T372" s="304">
        <f t="shared" ca="1" si="146"/>
        <v>65.640413877228013</v>
      </c>
      <c r="U372" s="311">
        <f t="shared" ca="1" si="147"/>
        <v>0</v>
      </c>
      <c r="V372" s="306">
        <f t="shared" ca="1" si="148"/>
        <v>1.1425183890038113</v>
      </c>
      <c r="W372" s="304">
        <f t="shared" ca="1" si="149"/>
        <v>334.20632004096933</v>
      </c>
      <c r="Y372" s="314" t="str">
        <f t="shared" ca="1" si="167"/>
        <v/>
      </c>
      <c r="Z372" s="315" t="str">
        <f t="shared" ca="1" si="168"/>
        <v/>
      </c>
      <c r="AA372" s="316" t="str">
        <f t="shared" ca="1" si="169"/>
        <v/>
      </c>
      <c r="AC372" s="310" t="e">
        <f t="shared" ca="1" si="170"/>
        <v>#N/A</v>
      </c>
      <c r="AD372" s="323" t="e">
        <f t="shared" ca="1" si="171"/>
        <v>#N/A</v>
      </c>
      <c r="AE372" s="324">
        <f t="shared" ca="1" si="150"/>
        <v>696.77694060822057</v>
      </c>
      <c r="AG372" s="306">
        <f t="shared" ca="1" si="172"/>
        <v>38.2218478689365</v>
      </c>
      <c r="AH372" s="304">
        <f t="shared" ca="1" si="173"/>
        <v>47.973263576750057</v>
      </c>
    </row>
    <row r="373" spans="1:34" x14ac:dyDescent="0.2">
      <c r="A373" s="347">
        <f t="shared" ca="1" si="151"/>
        <v>0.01</v>
      </c>
      <c r="B373" s="304">
        <f t="shared" ca="1" si="152"/>
        <v>3.6899999999999653</v>
      </c>
      <c r="D373" s="306">
        <f t="shared" ca="1" si="153"/>
        <v>5.2245340754810972</v>
      </c>
      <c r="E373" s="307">
        <f t="shared" ca="1" si="154"/>
        <v>37.76663652027041</v>
      </c>
      <c r="F373" s="304">
        <f t="shared" ca="1" si="155"/>
        <v>38.126297884269931</v>
      </c>
      <c r="G373" s="306">
        <f t="shared" ca="1" si="156"/>
        <v>35.824449808713645</v>
      </c>
      <c r="H373" s="307">
        <f t="shared" ca="1" si="157"/>
        <v>326.13325431093733</v>
      </c>
      <c r="I373" s="304">
        <f t="shared" ca="1" si="158"/>
        <v>328.09494170367753</v>
      </c>
      <c r="J373" s="306">
        <f t="shared" ca="1" si="159"/>
        <v>73.170605899237927</v>
      </c>
      <c r="K373" s="307">
        <f t="shared" ca="1" si="160"/>
        <v>700.03638481950395</v>
      </c>
      <c r="L373" s="304">
        <f t="shared" ca="1" si="145"/>
        <v>703.85003916943992</v>
      </c>
      <c r="M373" s="306">
        <f t="shared" ca="1" si="161"/>
        <v>1.4613889118917827</v>
      </c>
      <c r="N373" s="304">
        <f t="shared" ca="1" si="162"/>
        <v>83.731416878614866</v>
      </c>
      <c r="P373" s="310">
        <f t="shared" ca="1" si="163"/>
        <v>12</v>
      </c>
      <c r="Q373" s="304">
        <f t="shared" ca="1" si="164"/>
        <v>654.30666666666752</v>
      </c>
      <c r="R373" s="306">
        <f t="shared" ca="1" si="165"/>
        <v>0.32776331784223323</v>
      </c>
      <c r="S373" s="307">
        <f t="shared" ca="1" si="166"/>
        <v>6.6878960546124038</v>
      </c>
      <c r="T373" s="304">
        <f t="shared" ca="1" si="146"/>
        <v>65.608260295747684</v>
      </c>
      <c r="U373" s="311">
        <f t="shared" ca="1" si="147"/>
        <v>0</v>
      </c>
      <c r="V373" s="306">
        <f t="shared" ca="1" si="148"/>
        <v>1.1421455976731734</v>
      </c>
      <c r="W373" s="304">
        <f t="shared" ca="1" si="149"/>
        <v>334.8747966593852</v>
      </c>
      <c r="Y373" s="314" t="str">
        <f t="shared" ca="1" si="167"/>
        <v/>
      </c>
      <c r="Z373" s="315" t="str">
        <f t="shared" ca="1" si="168"/>
        <v/>
      </c>
      <c r="AA373" s="316" t="str">
        <f t="shared" ca="1" si="169"/>
        <v/>
      </c>
      <c r="AC373" s="310" t="e">
        <f t="shared" ca="1" si="170"/>
        <v>#N/A</v>
      </c>
      <c r="AD373" s="323" t="e">
        <f t="shared" ca="1" si="171"/>
        <v>#N/A</v>
      </c>
      <c r="AE373" s="324">
        <f t="shared" ca="1" si="150"/>
        <v>700.03638481950395</v>
      </c>
      <c r="AG373" s="306">
        <f t="shared" ca="1" si="172"/>
        <v>38.111257084573381</v>
      </c>
      <c r="AH373" s="304">
        <f t="shared" ca="1" si="173"/>
        <v>47.862637817903341</v>
      </c>
    </row>
    <row r="374" spans="1:34" x14ac:dyDescent="0.2">
      <c r="A374" s="347">
        <f t="shared" ca="1" si="151"/>
        <v>0.01</v>
      </c>
      <c r="B374" s="304">
        <f t="shared" ca="1" si="152"/>
        <v>3.6999999999999651</v>
      </c>
      <c r="D374" s="306">
        <f t="shared" ca="1" si="153"/>
        <v>5.2140268265728267</v>
      </c>
      <c r="E374" s="307">
        <f t="shared" ca="1" si="154"/>
        <v>37.656675583140945</v>
      </c>
      <c r="F374" s="304">
        <f t="shared" ca="1" si="155"/>
        <v>38.015934707989814</v>
      </c>
      <c r="G374" s="306">
        <f t="shared" ca="1" si="156"/>
        <v>35.876590076979376</v>
      </c>
      <c r="H374" s="307">
        <f t="shared" ca="1" si="157"/>
        <v>326.50982106676872</v>
      </c>
      <c r="I374" s="304">
        <f t="shared" ca="1" si="158"/>
        <v>328.4749502908935</v>
      </c>
      <c r="J374" s="306">
        <f t="shared" ca="1" si="159"/>
        <v>73.529111098666391</v>
      </c>
      <c r="K374" s="307">
        <f t="shared" ca="1" si="160"/>
        <v>703.29960019639248</v>
      </c>
      <c r="L374" s="304">
        <f t="shared" ca="1" si="145"/>
        <v>707.13284311744815</v>
      </c>
      <c r="M374" s="306">
        <f t="shared" ca="1" si="161"/>
        <v>1.4613563021960758</v>
      </c>
      <c r="N374" s="304">
        <f t="shared" ca="1" si="162"/>
        <v>83.729548480679654</v>
      </c>
      <c r="P374" s="310">
        <f t="shared" ca="1" si="163"/>
        <v>12</v>
      </c>
      <c r="Q374" s="304">
        <f t="shared" ca="1" si="164"/>
        <v>654.08000000000084</v>
      </c>
      <c r="R374" s="306">
        <f t="shared" ca="1" si="165"/>
        <v>0.32764977319643374</v>
      </c>
      <c r="S374" s="307">
        <f t="shared" ca="1" si="166"/>
        <v>6.6846195568804392</v>
      </c>
      <c r="T374" s="304">
        <f t="shared" ca="1" si="146"/>
        <v>65.576117852997115</v>
      </c>
      <c r="U374" s="311">
        <f t="shared" ca="1" si="147"/>
        <v>0</v>
      </c>
      <c r="V374" s="306">
        <f t="shared" ca="1" si="148"/>
        <v>1.1417724926095929</v>
      </c>
      <c r="W374" s="304">
        <f t="shared" ca="1" si="149"/>
        <v>335.54132108641346</v>
      </c>
      <c r="Y374" s="314" t="str">
        <f t="shared" ca="1" si="167"/>
        <v/>
      </c>
      <c r="Z374" s="315" t="str">
        <f t="shared" ca="1" si="168"/>
        <v/>
      </c>
      <c r="AA374" s="316" t="str">
        <f t="shared" ca="1" si="169"/>
        <v/>
      </c>
      <c r="AC374" s="310" t="e">
        <f t="shared" ca="1" si="170"/>
        <v>#N/A</v>
      </c>
      <c r="AD374" s="323" t="e">
        <f t="shared" ca="1" si="171"/>
        <v>#N/A</v>
      </c>
      <c r="AE374" s="324">
        <f t="shared" ca="1" si="150"/>
        <v>703.29960019639248</v>
      </c>
      <c r="AG374" s="306">
        <f t="shared" ca="1" si="172"/>
        <v>38.000841256709521</v>
      </c>
      <c r="AH374" s="304">
        <f t="shared" ca="1" si="173"/>
        <v>47.752187035395245</v>
      </c>
    </row>
    <row r="375" spans="1:34" x14ac:dyDescent="0.2">
      <c r="A375" s="347">
        <f t="shared" ca="1" si="151"/>
        <v>0.01</v>
      </c>
      <c r="B375" s="304">
        <f t="shared" ca="1" si="152"/>
        <v>3.7099999999999649</v>
      </c>
      <c r="D375" s="306">
        <f t="shared" ca="1" si="153"/>
        <v>5.2035302730310189</v>
      </c>
      <c r="E375" s="307">
        <f t="shared" ca="1" si="154"/>
        <v>37.546890237265259</v>
      </c>
      <c r="F375" s="304">
        <f t="shared" ca="1" si="155"/>
        <v>37.905747503401059</v>
      </c>
      <c r="G375" s="306">
        <f t="shared" ca="1" si="156"/>
        <v>35.928625379709686</v>
      </c>
      <c r="H375" s="307">
        <f t="shared" ca="1" si="157"/>
        <v>326.88528996914135</v>
      </c>
      <c r="I375" s="304">
        <f t="shared" ca="1" si="158"/>
        <v>328.85385647713656</v>
      </c>
      <c r="J375" s="306">
        <f t="shared" ca="1" si="159"/>
        <v>73.888137175949836</v>
      </c>
      <c r="K375" s="307">
        <f t="shared" ca="1" si="160"/>
        <v>706.56657575157203</v>
      </c>
      <c r="L375" s="304">
        <f t="shared" ca="1" si="145"/>
        <v>710.41944144613183</v>
      </c>
      <c r="M375" s="306">
        <f t="shared" ca="1" si="161"/>
        <v>1.4613237204037577</v>
      </c>
      <c r="N375" s="304">
        <f t="shared" ca="1" si="162"/>
        <v>83.727681681490864</v>
      </c>
      <c r="P375" s="310">
        <f t="shared" ca="1" si="163"/>
        <v>12</v>
      </c>
      <c r="Q375" s="304">
        <f t="shared" ca="1" si="164"/>
        <v>653.85333333333415</v>
      </c>
      <c r="R375" s="306">
        <f t="shared" ca="1" si="165"/>
        <v>0.32753622855063425</v>
      </c>
      <c r="S375" s="307">
        <f t="shared" ca="1" si="166"/>
        <v>6.6813441945949332</v>
      </c>
      <c r="T375" s="304">
        <f t="shared" ca="1" si="146"/>
        <v>65.543986548976292</v>
      </c>
      <c r="U375" s="311">
        <f t="shared" ca="1" si="147"/>
        <v>0</v>
      </c>
      <c r="V375" s="306">
        <f t="shared" ca="1" si="148"/>
        <v>1.1413990754209085</v>
      </c>
      <c r="W375" s="304">
        <f t="shared" ca="1" si="149"/>
        <v>336.20589024861397</v>
      </c>
      <c r="Y375" s="314" t="str">
        <f t="shared" ca="1" si="167"/>
        <v/>
      </c>
      <c r="Z375" s="315" t="str">
        <f t="shared" ca="1" si="168"/>
        <v/>
      </c>
      <c r="AA375" s="316" t="str">
        <f t="shared" ca="1" si="169"/>
        <v/>
      </c>
      <c r="AC375" s="310" t="e">
        <f t="shared" ca="1" si="170"/>
        <v>#N/A</v>
      </c>
      <c r="AD375" s="323" t="e">
        <f t="shared" ca="1" si="171"/>
        <v>#N/A</v>
      </c>
      <c r="AE375" s="324">
        <f t="shared" ca="1" si="150"/>
        <v>706.56657575157203</v>
      </c>
      <c r="AG375" s="306">
        <f t="shared" ca="1" si="172"/>
        <v>37.890601169190049</v>
      </c>
      <c r="AH375" s="304">
        <f t="shared" ca="1" si="173"/>
        <v>47.641912012919256</v>
      </c>
    </row>
    <row r="376" spans="1:34" x14ac:dyDescent="0.2">
      <c r="A376" s="347">
        <f t="shared" ca="1" si="151"/>
        <v>0.01</v>
      </c>
      <c r="B376" s="304">
        <f t="shared" ca="1" si="152"/>
        <v>3.7199999999999647</v>
      </c>
      <c r="D376" s="306">
        <f t="shared" ca="1" si="153"/>
        <v>5.1930445337410811</v>
      </c>
      <c r="E376" s="307">
        <f t="shared" ca="1" si="154"/>
        <v>37.43728124982151</v>
      </c>
      <c r="F376" s="304">
        <f t="shared" ca="1" si="155"/>
        <v>37.795737046757736</v>
      </c>
      <c r="G376" s="306">
        <f t="shared" ca="1" si="156"/>
        <v>35.980555825047098</v>
      </c>
      <c r="H376" s="307">
        <f t="shared" ca="1" si="157"/>
        <v>327.25966278163958</v>
      </c>
      <c r="I376" s="304">
        <f t="shared" ca="1" si="158"/>
        <v>329.23166202756346</v>
      </c>
      <c r="J376" s="306">
        <f t="shared" ca="1" si="159"/>
        <v>74.247683081973619</v>
      </c>
      <c r="K376" s="307">
        <f t="shared" ca="1" si="160"/>
        <v>709.83730051532598</v>
      </c>
      <c r="L376" s="304">
        <f t="shared" ca="1" si="145"/>
        <v>713.70982313957711</v>
      </c>
      <c r="M376" s="306">
        <f t="shared" ca="1" si="161"/>
        <v>1.4612911663500712</v>
      </c>
      <c r="N376" s="304">
        <f t="shared" ca="1" si="162"/>
        <v>83.725816471608582</v>
      </c>
      <c r="P376" s="310">
        <f t="shared" ca="1" si="163"/>
        <v>12</v>
      </c>
      <c r="Q376" s="304">
        <f t="shared" ca="1" si="164"/>
        <v>653.62666666666746</v>
      </c>
      <c r="R376" s="306">
        <f t="shared" ca="1" si="165"/>
        <v>0.32742268390483475</v>
      </c>
      <c r="S376" s="307">
        <f t="shared" ca="1" si="166"/>
        <v>6.678069967755885</v>
      </c>
      <c r="T376" s="304">
        <f t="shared" ca="1" si="146"/>
        <v>65.511866383685231</v>
      </c>
      <c r="U376" s="311">
        <f t="shared" ca="1" si="147"/>
        <v>0</v>
      </c>
      <c r="V376" s="306">
        <f t="shared" ca="1" si="148"/>
        <v>1.1410253477114822</v>
      </c>
      <c r="W376" s="304">
        <f t="shared" ca="1" si="149"/>
        <v>336.86850113875596</v>
      </c>
      <c r="Y376" s="314" t="str">
        <f t="shared" ca="1" si="167"/>
        <v/>
      </c>
      <c r="Z376" s="315" t="str">
        <f t="shared" ca="1" si="168"/>
        <v/>
      </c>
      <c r="AA376" s="316" t="str">
        <f t="shared" ca="1" si="169"/>
        <v/>
      </c>
      <c r="AC376" s="310" t="e">
        <f t="shared" ca="1" si="170"/>
        <v>#N/A</v>
      </c>
      <c r="AD376" s="323" t="e">
        <f t="shared" ca="1" si="171"/>
        <v>#N/A</v>
      </c>
      <c r="AE376" s="324">
        <f t="shared" ca="1" si="150"/>
        <v>709.83730051532598</v>
      </c>
      <c r="AG376" s="306">
        <f t="shared" ca="1" si="172"/>
        <v>37.780537597256149</v>
      </c>
      <c r="AH376" s="304">
        <f t="shared" ca="1" si="173"/>
        <v>47.531813525565731</v>
      </c>
    </row>
    <row r="377" spans="1:34" x14ac:dyDescent="0.2">
      <c r="A377" s="347">
        <f t="shared" ca="1" si="151"/>
        <v>0.01</v>
      </c>
      <c r="B377" s="304">
        <f t="shared" ca="1" si="152"/>
        <v>3.7299999999999645</v>
      </c>
      <c r="D377" s="306">
        <f t="shared" ca="1" si="153"/>
        <v>5.1825697266029547</v>
      </c>
      <c r="E377" s="307">
        <f t="shared" ca="1" si="154"/>
        <v>37.327849379462627</v>
      </c>
      <c r="F377" s="304">
        <f t="shared" ca="1" si="155"/>
        <v>37.685904105738928</v>
      </c>
      <c r="G377" s="306">
        <f t="shared" ca="1" si="156"/>
        <v>36.032381522313131</v>
      </c>
      <c r="H377" s="307">
        <f t="shared" ca="1" si="157"/>
        <v>327.63294127543418</v>
      </c>
      <c r="I377" s="304">
        <f t="shared" ca="1" si="158"/>
        <v>329.60836871499731</v>
      </c>
      <c r="J377" s="306">
        <f t="shared" ca="1" si="159"/>
        <v>74.607747768710425</v>
      </c>
      <c r="K377" s="307">
        <f t="shared" ca="1" si="160"/>
        <v>713.11176353561132</v>
      </c>
      <c r="L377" s="304">
        <f t="shared" ca="1" si="145"/>
        <v>717.0039771995614</v>
      </c>
      <c r="M377" s="306">
        <f t="shared" ca="1" si="161"/>
        <v>1.4612586398712302</v>
      </c>
      <c r="N377" s="304">
        <f t="shared" ca="1" si="162"/>
        <v>83.723952841648568</v>
      </c>
      <c r="P377" s="310">
        <f t="shared" ca="1" si="163"/>
        <v>12</v>
      </c>
      <c r="Q377" s="304">
        <f t="shared" ca="1" si="164"/>
        <v>653.40000000000089</v>
      </c>
      <c r="R377" s="306">
        <f t="shared" ca="1" si="165"/>
        <v>0.32730913925903532</v>
      </c>
      <c r="S377" s="307">
        <f t="shared" ca="1" si="166"/>
        <v>6.6747968763632946</v>
      </c>
      <c r="T377" s="304">
        <f t="shared" ca="1" si="146"/>
        <v>65.47975735712393</v>
      </c>
      <c r="U377" s="311">
        <f t="shared" ca="1" si="147"/>
        <v>0</v>
      </c>
      <c r="V377" s="306">
        <f t="shared" ca="1" si="148"/>
        <v>1.1406513110821921</v>
      </c>
      <c r="W377" s="304">
        <f t="shared" ca="1" si="149"/>
        <v>337.52915081550003</v>
      </c>
      <c r="Y377" s="314" t="str">
        <f t="shared" ca="1" si="167"/>
        <v/>
      </c>
      <c r="Z377" s="315" t="str">
        <f t="shared" ca="1" si="168"/>
        <v/>
      </c>
      <c r="AA377" s="316" t="str">
        <f t="shared" ca="1" si="169"/>
        <v/>
      </c>
      <c r="AC377" s="310" t="e">
        <f t="shared" ca="1" si="170"/>
        <v>#N/A</v>
      </c>
      <c r="AD377" s="323" t="e">
        <f t="shared" ca="1" si="171"/>
        <v>#N/A</v>
      </c>
      <c r="AE377" s="324">
        <f t="shared" ca="1" si="150"/>
        <v>713.11176353561132</v>
      </c>
      <c r="AG377" s="306">
        <f t="shared" ca="1" si="172"/>
        <v>37.670651307569798</v>
      </c>
      <c r="AH377" s="304">
        <f t="shared" ca="1" si="173"/>
        <v>47.421892339846657</v>
      </c>
    </row>
    <row r="378" spans="1:34" x14ac:dyDescent="0.2">
      <c r="A378" s="347">
        <f t="shared" ca="1" si="151"/>
        <v>0.01</v>
      </c>
      <c r="B378" s="304">
        <f t="shared" ca="1" si="152"/>
        <v>3.7399999999999642</v>
      </c>
      <c r="D378" s="306">
        <f t="shared" ca="1" si="153"/>
        <v>5.1721059685334065</v>
      </c>
      <c r="E378" s="307">
        <f t="shared" ca="1" si="154"/>
        <v>37.218595376341526</v>
      </c>
      <c r="F378" s="304">
        <f t="shared" ca="1" si="155"/>
        <v>37.57624943947399</v>
      </c>
      <c r="G378" s="306">
        <f t="shared" ca="1" si="156"/>
        <v>36.084102581998465</v>
      </c>
      <c r="H378" s="307">
        <f t="shared" ca="1" si="157"/>
        <v>328.00512722919757</v>
      </c>
      <c r="I378" s="304">
        <f t="shared" ca="1" si="158"/>
        <v>329.98397831984249</v>
      </c>
      <c r="J378" s="306">
        <f t="shared" ca="1" si="159"/>
        <v>74.968330189231978</v>
      </c>
      <c r="K378" s="307">
        <f t="shared" ca="1" si="160"/>
        <v>716.38995387813452</v>
      </c>
      <c r="L378" s="304">
        <f t="shared" ca="1" si="145"/>
        <v>720.30189264563057</v>
      </c>
      <c r="M378" s="306">
        <f t="shared" ca="1" si="161"/>
        <v>1.4612261408044114</v>
      </c>
      <c r="N378" s="304">
        <f t="shared" ca="1" si="162"/>
        <v>83.72209078228174</v>
      </c>
      <c r="P378" s="310">
        <f t="shared" ca="1" si="163"/>
        <v>12</v>
      </c>
      <c r="Q378" s="304">
        <f t="shared" ca="1" si="164"/>
        <v>653.1733333333342</v>
      </c>
      <c r="R378" s="306">
        <f t="shared" ca="1" si="165"/>
        <v>0.32719559461323577</v>
      </c>
      <c r="S378" s="307">
        <f t="shared" ca="1" si="166"/>
        <v>6.6715249204171618</v>
      </c>
      <c r="T378" s="304">
        <f t="shared" ca="1" si="146"/>
        <v>65.447659469292361</v>
      </c>
      <c r="U378" s="311">
        <f t="shared" ca="1" si="147"/>
        <v>0</v>
      </c>
      <c r="V378" s="306">
        <f t="shared" ca="1" si="148"/>
        <v>1.1402769671304214</v>
      </c>
      <c r="W378" s="304">
        <f t="shared" ca="1" si="149"/>
        <v>338.18783640307953</v>
      </c>
      <c r="Y378" s="314" t="str">
        <f t="shared" ca="1" si="167"/>
        <v/>
      </c>
      <c r="Z378" s="315" t="str">
        <f t="shared" ca="1" si="168"/>
        <v/>
      </c>
      <c r="AA378" s="316" t="str">
        <f t="shared" ca="1" si="169"/>
        <v/>
      </c>
      <c r="AC378" s="310" t="e">
        <f t="shared" ca="1" si="170"/>
        <v>#N/A</v>
      </c>
      <c r="AD378" s="323" t="e">
        <f t="shared" ca="1" si="171"/>
        <v>#N/A</v>
      </c>
      <c r="AE378" s="324">
        <f t="shared" ca="1" si="150"/>
        <v>716.38995387813452</v>
      </c>
      <c r="AG378" s="306">
        <f t="shared" ca="1" si="172"/>
        <v>37.560943058239054</v>
      </c>
      <c r="AH378" s="304">
        <f t="shared" ca="1" si="173"/>
        <v>47.312149213720893</v>
      </c>
    </row>
    <row r="379" spans="1:34" x14ac:dyDescent="0.2">
      <c r="A379" s="347">
        <f t="shared" ca="1" si="151"/>
        <v>0.01</v>
      </c>
      <c r="B379" s="304">
        <f t="shared" ca="1" si="152"/>
        <v>3.749999999999964</v>
      </c>
      <c r="D379" s="306">
        <f t="shared" ca="1" si="153"/>
        <v>5.1616533754684379</v>
      </c>
      <c r="E379" s="307">
        <f t="shared" ca="1" si="154"/>
        <v>37.10951998213654</v>
      </c>
      <c r="F379" s="304">
        <f t="shared" ca="1" si="155"/>
        <v>37.466773798568191</v>
      </c>
      <c r="G379" s="306">
        <f t="shared" ca="1" si="156"/>
        <v>36.135719115753147</v>
      </c>
      <c r="H379" s="307">
        <f t="shared" ca="1" si="157"/>
        <v>328.37622242901892</v>
      </c>
      <c r="I379" s="304">
        <f t="shared" ca="1" si="158"/>
        <v>330.35849262999903</v>
      </c>
      <c r="J379" s="306">
        <f t="shared" ca="1" si="159"/>
        <v>75.329429297720736</v>
      </c>
      <c r="K379" s="307">
        <f t="shared" ca="1" si="160"/>
        <v>719.67186062642566</v>
      </c>
      <c r="L379" s="304">
        <f t="shared" ca="1" si="145"/>
        <v>723.60355851517329</v>
      </c>
      <c r="M379" s="306">
        <f t="shared" ca="1" si="161"/>
        <v>1.4611936689877481</v>
      </c>
      <c r="N379" s="304">
        <f t="shared" ca="1" si="162"/>
        <v>83.720230284233807</v>
      </c>
      <c r="P379" s="310">
        <f t="shared" ca="1" si="163"/>
        <v>12</v>
      </c>
      <c r="Q379" s="304">
        <f t="shared" ca="1" si="164"/>
        <v>652.94666666666751</v>
      </c>
      <c r="R379" s="306">
        <f t="shared" ca="1" si="165"/>
        <v>0.32708204996743628</v>
      </c>
      <c r="S379" s="307">
        <f t="shared" ca="1" si="166"/>
        <v>6.6682540999174877</v>
      </c>
      <c r="T379" s="304">
        <f t="shared" ca="1" si="146"/>
        <v>65.415572720190553</v>
      </c>
      <c r="U379" s="311">
        <f t="shared" ca="1" si="147"/>
        <v>0</v>
      </c>
      <c r="V379" s="306">
        <f t="shared" ca="1" si="148"/>
        <v>1.1399023174500489</v>
      </c>
      <c r="W379" s="304">
        <f t="shared" ca="1" si="149"/>
        <v>338.84455509097967</v>
      </c>
      <c r="Y379" s="314" t="str">
        <f t="shared" ca="1" si="167"/>
        <v/>
      </c>
      <c r="Z379" s="315" t="str">
        <f t="shared" ca="1" si="168"/>
        <v/>
      </c>
      <c r="AA379" s="316" t="str">
        <f t="shared" ca="1" si="169"/>
        <v/>
      </c>
      <c r="AC379" s="310" t="e">
        <f t="shared" ca="1" si="170"/>
        <v>#N/A</v>
      </c>
      <c r="AD379" s="323" t="e">
        <f t="shared" ca="1" si="171"/>
        <v>#N/A</v>
      </c>
      <c r="AE379" s="324">
        <f t="shared" ca="1" si="150"/>
        <v>719.67186062642566</v>
      </c>
      <c r="AG379" s="306">
        <f t="shared" ca="1" si="172"/>
        <v>37.451413598843629</v>
      </c>
      <c r="AH379" s="304">
        <f t="shared" ca="1" si="173"/>
        <v>47.202584896619754</v>
      </c>
    </row>
    <row r="380" spans="1:34" x14ac:dyDescent="0.2">
      <c r="A380" s="347">
        <f t="shared" ca="1" si="151"/>
        <v>0.01</v>
      </c>
      <c r="B380" s="304">
        <f t="shared" ca="1" si="152"/>
        <v>3.7599999999999638</v>
      </c>
      <c r="D380" s="306">
        <f t="shared" ca="1" si="153"/>
        <v>5.151212062365647</v>
      </c>
      <c r="E380" s="307">
        <f t="shared" ca="1" si="154"/>
        <v>37.000623930077317</v>
      </c>
      <c r="F380" s="304">
        <f t="shared" ca="1" si="155"/>
        <v>37.357477925128613</v>
      </c>
      <c r="G380" s="306">
        <f t="shared" ca="1" si="156"/>
        <v>36.187231236376803</v>
      </c>
      <c r="H380" s="307">
        <f t="shared" ca="1" si="157"/>
        <v>328.7462286683197</v>
      </c>
      <c r="I380" s="304">
        <f t="shared" ca="1" si="158"/>
        <v>330.73191344077782</v>
      </c>
      <c r="J380" s="306">
        <f t="shared" ca="1" si="159"/>
        <v>75.691044049481391</v>
      </c>
      <c r="K380" s="307">
        <f t="shared" ca="1" si="160"/>
        <v>722.95747288191239</v>
      </c>
      <c r="L380" s="304">
        <f t="shared" ca="1" si="145"/>
        <v>726.90896386349618</v>
      </c>
      <c r="M380" s="306">
        <f t="shared" ca="1" si="161"/>
        <v>1.461161224260322</v>
      </c>
      <c r="N380" s="304">
        <f t="shared" ca="1" si="162"/>
        <v>83.71837133828484</v>
      </c>
      <c r="P380" s="310">
        <f t="shared" ca="1" si="163"/>
        <v>12</v>
      </c>
      <c r="Q380" s="304">
        <f t="shared" ca="1" si="164"/>
        <v>652.72000000000082</v>
      </c>
      <c r="R380" s="306">
        <f t="shared" ca="1" si="165"/>
        <v>0.32696850532163679</v>
      </c>
      <c r="S380" s="307">
        <f t="shared" ca="1" si="166"/>
        <v>6.6649844148642714</v>
      </c>
      <c r="T380" s="304">
        <f t="shared" ca="1" si="146"/>
        <v>65.383497109818506</v>
      </c>
      <c r="U380" s="311">
        <f t="shared" ca="1" si="147"/>
        <v>0</v>
      </c>
      <c r="V380" s="306">
        <f t="shared" ca="1" si="148"/>
        <v>1.139527363631444</v>
      </c>
      <c r="W380" s="304">
        <f t="shared" ca="1" si="149"/>
        <v>339.49930413361852</v>
      </c>
      <c r="Y380" s="314" t="str">
        <f t="shared" ca="1" si="167"/>
        <v/>
      </c>
      <c r="Z380" s="315" t="str">
        <f t="shared" ca="1" si="168"/>
        <v/>
      </c>
      <c r="AA380" s="316" t="str">
        <f t="shared" ca="1" si="169"/>
        <v/>
      </c>
      <c r="AC380" s="310" t="e">
        <f t="shared" ca="1" si="170"/>
        <v>#N/A</v>
      </c>
      <c r="AD380" s="323" t="e">
        <f t="shared" ca="1" si="171"/>
        <v>#N/A</v>
      </c>
      <c r="AE380" s="324">
        <f t="shared" ca="1" si="150"/>
        <v>722.95747288191239</v>
      </c>
      <c r="AG380" s="306">
        <f t="shared" ca="1" si="172"/>
        <v>37.342063670460789</v>
      </c>
      <c r="AH380" s="304">
        <f t="shared" ca="1" si="173"/>
        <v>47.093200129472926</v>
      </c>
    </row>
    <row r="381" spans="1:34" x14ac:dyDescent="0.2">
      <c r="A381" s="347">
        <f t="shared" ca="1" si="151"/>
        <v>0.01</v>
      </c>
      <c r="B381" s="304">
        <f t="shared" ca="1" si="152"/>
        <v>3.7699999999999636</v>
      </c>
      <c r="D381" s="306">
        <f t="shared" ca="1" si="153"/>
        <v>5.1407821432066489</v>
      </c>
      <c r="E381" s="307">
        <f t="shared" ca="1" si="154"/>
        <v>36.891907944970406</v>
      </c>
      <c r="F381" s="304">
        <f t="shared" ca="1" si="155"/>
        <v>37.248362552789928</v>
      </c>
      <c r="G381" s="306">
        <f t="shared" ca="1" si="156"/>
        <v>36.238639057808868</v>
      </c>
      <c r="H381" s="307">
        <f t="shared" ca="1" si="157"/>
        <v>329.11514774776941</v>
      </c>
      <c r="I381" s="304">
        <f t="shared" ca="1" si="158"/>
        <v>331.1042425548157</v>
      </c>
      <c r="J381" s="306">
        <f t="shared" ca="1" si="159"/>
        <v>76.053173400952318</v>
      </c>
      <c r="K381" s="307">
        <f t="shared" ca="1" si="160"/>
        <v>726.24677976399289</v>
      </c>
      <c r="L381" s="304">
        <f t="shared" ca="1" si="145"/>
        <v>730.21809776389739</v>
      </c>
      <c r="M381" s="306">
        <f t="shared" ca="1" si="161"/>
        <v>1.4611288064621573</v>
      </c>
      <c r="N381" s="304">
        <f t="shared" ca="1" si="162"/>
        <v>83.716513935268893</v>
      </c>
      <c r="P381" s="310">
        <f t="shared" ca="1" si="163"/>
        <v>12</v>
      </c>
      <c r="Q381" s="304">
        <f t="shared" ca="1" si="164"/>
        <v>652.49333333333425</v>
      </c>
      <c r="R381" s="306">
        <f t="shared" ca="1" si="165"/>
        <v>0.32685496067583736</v>
      </c>
      <c r="S381" s="307">
        <f t="shared" ca="1" si="166"/>
        <v>6.6617158652575128</v>
      </c>
      <c r="T381" s="304">
        <f t="shared" ca="1" si="146"/>
        <v>65.351432638176206</v>
      </c>
      <c r="U381" s="311">
        <f t="shared" ca="1" si="147"/>
        <v>0</v>
      </c>
      <c r="V381" s="306">
        <f t="shared" ca="1" si="148"/>
        <v>1.1391521072614559</v>
      </c>
      <c r="W381" s="304">
        <f t="shared" ca="1" si="149"/>
        <v>340.15208085002354</v>
      </c>
      <c r="Y381" s="314" t="str">
        <f t="shared" ca="1" si="167"/>
        <v/>
      </c>
      <c r="Z381" s="315" t="str">
        <f t="shared" ca="1" si="168"/>
        <v/>
      </c>
      <c r="AA381" s="316" t="str">
        <f t="shared" ca="1" si="169"/>
        <v/>
      </c>
      <c r="AC381" s="310" t="e">
        <f t="shared" ca="1" si="170"/>
        <v>#N/A</v>
      </c>
      <c r="AD381" s="323" t="e">
        <f t="shared" ca="1" si="171"/>
        <v>#N/A</v>
      </c>
      <c r="AE381" s="324">
        <f t="shared" ca="1" si="150"/>
        <v>726.24677976399289</v>
      </c>
      <c r="AG381" s="306">
        <f t="shared" ca="1" si="172"/>
        <v>37.232894005691136</v>
      </c>
      <c r="AH381" s="304">
        <f t="shared" ca="1" si="173"/>
        <v>46.9839956447342</v>
      </c>
    </row>
    <row r="382" spans="1:34" x14ac:dyDescent="0.2">
      <c r="A382" s="347">
        <f t="shared" ca="1" si="151"/>
        <v>0.01</v>
      </c>
      <c r="B382" s="304">
        <f t="shared" ca="1" si="152"/>
        <v>3.7799999999999634</v>
      </c>
      <c r="D382" s="306">
        <f t="shared" ca="1" si="153"/>
        <v>5.1303637309995205</v>
      </c>
      <c r="E382" s="307">
        <f t="shared" ca="1" si="154"/>
        <v>36.783372743225669</v>
      </c>
      <c r="F382" s="304">
        <f t="shared" ca="1" si="155"/>
        <v>37.139428406740898</v>
      </c>
      <c r="G382" s="306">
        <f t="shared" ca="1" si="156"/>
        <v>36.28994269511886</v>
      </c>
      <c r="H382" s="307">
        <f t="shared" ca="1" si="157"/>
        <v>329.48298147520165</v>
      </c>
      <c r="I382" s="304">
        <f t="shared" ca="1" si="158"/>
        <v>331.47548178199105</v>
      </c>
      <c r="J382" s="306">
        <f t="shared" ca="1" si="159"/>
        <v>76.415816309716959</v>
      </c>
      <c r="K382" s="307">
        <f t="shared" ca="1" si="160"/>
        <v>729.53977041010774</v>
      </c>
      <c r="L382" s="304">
        <f t="shared" ca="1" si="145"/>
        <v>733.53094930773921</v>
      </c>
      <c r="M382" s="306">
        <f t="shared" ca="1" si="161"/>
        <v>1.4610964154342123</v>
      </c>
      <c r="N382" s="304">
        <f t="shared" ca="1" si="162"/>
        <v>83.714658066073554</v>
      </c>
      <c r="P382" s="310">
        <f t="shared" ca="1" si="163"/>
        <v>12</v>
      </c>
      <c r="Q382" s="304">
        <f t="shared" ca="1" si="164"/>
        <v>652.26666666666756</v>
      </c>
      <c r="R382" s="306">
        <f t="shared" ca="1" si="165"/>
        <v>0.32674141603003787</v>
      </c>
      <c r="S382" s="307">
        <f t="shared" ca="1" si="166"/>
        <v>6.6584484510972128</v>
      </c>
      <c r="T382" s="304">
        <f t="shared" ca="1" si="146"/>
        <v>65.319379305263666</v>
      </c>
      <c r="U382" s="311">
        <f t="shared" ca="1" si="147"/>
        <v>0</v>
      </c>
      <c r="V382" s="306">
        <f t="shared" ca="1" si="148"/>
        <v>1.1387765499234042</v>
      </c>
      <c r="W382" s="304">
        <f t="shared" ca="1" si="149"/>
        <v>340.80288262350871</v>
      </c>
      <c r="Y382" s="314" t="str">
        <f t="shared" ca="1" si="167"/>
        <v/>
      </c>
      <c r="Z382" s="315" t="str">
        <f t="shared" ca="1" si="168"/>
        <v/>
      </c>
      <c r="AA382" s="316" t="str">
        <f t="shared" ca="1" si="169"/>
        <v/>
      </c>
      <c r="AC382" s="310" t="e">
        <f t="shared" ca="1" si="170"/>
        <v>#N/A</v>
      </c>
      <c r="AD382" s="323" t="e">
        <f t="shared" ca="1" si="171"/>
        <v>#N/A</v>
      </c>
      <c r="AE382" s="324">
        <f t="shared" ca="1" si="150"/>
        <v>729.53977041010774</v>
      </c>
      <c r="AG382" s="306">
        <f t="shared" ca="1" si="172"/>
        <v>37.123905328685069</v>
      </c>
      <c r="AH382" s="304">
        <f t="shared" ca="1" si="173"/>
        <v>46.874972166407957</v>
      </c>
    </row>
    <row r="383" spans="1:34" x14ac:dyDescent="0.2">
      <c r="A383" s="347">
        <f t="shared" ca="1" si="151"/>
        <v>0.01</v>
      </c>
      <c r="B383" s="304">
        <f t="shared" ca="1" si="152"/>
        <v>3.7899999999999632</v>
      </c>
      <c r="D383" s="306">
        <f t="shared" ca="1" si="153"/>
        <v>5.1199569377813035</v>
      </c>
      <c r="E383" s="307">
        <f t="shared" ca="1" si="154"/>
        <v>36.675019032882844</v>
      </c>
      <c r="F383" s="304">
        <f t="shared" ca="1" si="155"/>
        <v>37.030676203751042</v>
      </c>
      <c r="G383" s="306">
        <f t="shared" ca="1" si="156"/>
        <v>36.341142264496675</v>
      </c>
      <c r="H383" s="307">
        <f t="shared" ca="1" si="157"/>
        <v>329.8497316655305</v>
      </c>
      <c r="I383" s="304">
        <f t="shared" ca="1" si="158"/>
        <v>331.84563293933951</v>
      </c>
      <c r="J383" s="306">
        <f t="shared" ca="1" si="159"/>
        <v>76.778971734515039</v>
      </c>
      <c r="K383" s="307">
        <f t="shared" ca="1" si="160"/>
        <v>732.83643397581136</v>
      </c>
      <c r="L383" s="304">
        <f t="shared" ca="1" si="145"/>
        <v>736.84750760451993</v>
      </c>
      <c r="M383" s="306">
        <f t="shared" ca="1" si="161"/>
        <v>1.4610640510183739</v>
      </c>
      <c r="N383" s="304">
        <f t="shared" ca="1" si="162"/>
        <v>83.712803721639617</v>
      </c>
      <c r="P383" s="310">
        <f t="shared" ca="1" si="163"/>
        <v>12</v>
      </c>
      <c r="Q383" s="304">
        <f t="shared" ca="1" si="164"/>
        <v>652.04000000000087</v>
      </c>
      <c r="R383" s="306">
        <f t="shared" ca="1" si="165"/>
        <v>0.32662787138423838</v>
      </c>
      <c r="S383" s="307">
        <f t="shared" ca="1" si="166"/>
        <v>6.6551821723833706</v>
      </c>
      <c r="T383" s="304">
        <f t="shared" ca="1" si="146"/>
        <v>65.287337111080873</v>
      </c>
      <c r="U383" s="311">
        <f t="shared" ca="1" si="147"/>
        <v>0</v>
      </c>
      <c r="V383" s="306">
        <f t="shared" ca="1" si="148"/>
        <v>1.1384006931970747</v>
      </c>
      <c r="W383" s="304">
        <f t="shared" ca="1" si="149"/>
        <v>341.4517069013516</v>
      </c>
      <c r="Y383" s="314" t="str">
        <f t="shared" ca="1" si="167"/>
        <v/>
      </c>
      <c r="Z383" s="315" t="str">
        <f t="shared" ca="1" si="168"/>
        <v/>
      </c>
      <c r="AA383" s="316" t="str">
        <f t="shared" ca="1" si="169"/>
        <v/>
      </c>
      <c r="AC383" s="310" t="e">
        <f t="shared" ca="1" si="170"/>
        <v>#N/A</v>
      </c>
      <c r="AD383" s="323" t="e">
        <f t="shared" ca="1" si="171"/>
        <v>#N/A</v>
      </c>
      <c r="AE383" s="324">
        <f t="shared" ca="1" si="150"/>
        <v>732.83643397581136</v>
      </c>
      <c r="AG383" s="306">
        <f t="shared" ca="1" si="172"/>
        <v>37.015098355169407</v>
      </c>
      <c r="AH383" s="304">
        <f t="shared" ca="1" si="173"/>
        <v>46.766130410075782</v>
      </c>
    </row>
    <row r="384" spans="1:34" x14ac:dyDescent="0.2">
      <c r="A384" s="347">
        <f t="shared" ca="1" si="151"/>
        <v>0.01</v>
      </c>
      <c r="B384" s="304">
        <f t="shared" ca="1" si="152"/>
        <v>3.799999999999963</v>
      </c>
      <c r="D384" s="306">
        <f t="shared" ca="1" si="153"/>
        <v>5.1095618746204652</v>
      </c>
      <c r="E384" s="307">
        <f t="shared" ca="1" si="154"/>
        <v>36.566847513637946</v>
      </c>
      <c r="F384" s="304">
        <f t="shared" ca="1" si="155"/>
        <v>36.922106652197201</v>
      </c>
      <c r="G384" s="306">
        <f t="shared" ca="1" si="156"/>
        <v>36.392237883242878</v>
      </c>
      <c r="H384" s="307">
        <f t="shared" ca="1" si="157"/>
        <v>330.21540014066687</v>
      </c>
      <c r="I384" s="304">
        <f t="shared" ca="1" si="158"/>
        <v>332.21469785096997</v>
      </c>
      <c r="J384" s="306">
        <f t="shared" ca="1" si="159"/>
        <v>77.142638635253732</v>
      </c>
      <c r="K384" s="307">
        <f t="shared" ca="1" si="160"/>
        <v>736.13675963484229</v>
      </c>
      <c r="L384" s="304">
        <f t="shared" ca="1" si="145"/>
        <v>740.1677617819455</v>
      </c>
      <c r="M384" s="306">
        <f t="shared" ca="1" si="161"/>
        <v>1.4610317130574497</v>
      </c>
      <c r="N384" s="304">
        <f t="shared" ca="1" si="162"/>
        <v>83.710950892960597</v>
      </c>
      <c r="P384" s="310">
        <f t="shared" ca="1" si="163"/>
        <v>12</v>
      </c>
      <c r="Q384" s="304">
        <f t="shared" ca="1" si="164"/>
        <v>651.81333333333419</v>
      </c>
      <c r="R384" s="306">
        <f t="shared" ca="1" si="165"/>
        <v>0.32651432673843889</v>
      </c>
      <c r="S384" s="307">
        <f t="shared" ca="1" si="166"/>
        <v>6.6519170291159861</v>
      </c>
      <c r="T384" s="304">
        <f t="shared" ca="1" si="146"/>
        <v>65.255306055627827</v>
      </c>
      <c r="U384" s="311">
        <f t="shared" ca="1" si="147"/>
        <v>0</v>
      </c>
      <c r="V384" s="306">
        <f t="shared" ca="1" si="148"/>
        <v>1.1380245386587082</v>
      </c>
      <c r="W384" s="304">
        <f t="shared" ca="1" si="149"/>
        <v>342.09855119446712</v>
      </c>
      <c r="Y384" s="314" t="str">
        <f t="shared" ca="1" si="167"/>
        <v/>
      </c>
      <c r="Z384" s="315" t="str">
        <f t="shared" ca="1" si="168"/>
        <v/>
      </c>
      <c r="AA384" s="316" t="str">
        <f t="shared" ca="1" si="169"/>
        <v/>
      </c>
      <c r="AC384" s="310" t="e">
        <f t="shared" ca="1" si="170"/>
        <v>#N/A</v>
      </c>
      <c r="AD384" s="323" t="e">
        <f t="shared" ca="1" si="171"/>
        <v>#N/A</v>
      </c>
      <c r="AE384" s="324">
        <f t="shared" ca="1" si="150"/>
        <v>736.13675963484229</v>
      </c>
      <c r="AG384" s="306">
        <f t="shared" ca="1" si="172"/>
        <v>36.906473792473996</v>
      </c>
      <c r="AH384" s="304">
        <f t="shared" ca="1" si="173"/>
        <v>46.65747108292306</v>
      </c>
    </row>
    <row r="385" spans="1:34" x14ac:dyDescent="0.2">
      <c r="A385" s="347">
        <f t="shared" ca="1" si="151"/>
        <v>0.01</v>
      </c>
      <c r="B385" s="304">
        <f t="shared" ca="1" si="152"/>
        <v>3.8099999999999627</v>
      </c>
      <c r="D385" s="306">
        <f t="shared" ca="1" si="153"/>
        <v>5.0896751825051227</v>
      </c>
      <c r="E385" s="307">
        <f t="shared" ca="1" si="154"/>
        <v>36.372626426247862</v>
      </c>
      <c r="F385" s="304">
        <f t="shared" ca="1" si="155"/>
        <v>36.727002962490594</v>
      </c>
      <c r="G385" s="306">
        <f t="shared" ca="1" si="156"/>
        <v>36.443134635067928</v>
      </c>
      <c r="H385" s="307">
        <f t="shared" ca="1" si="157"/>
        <v>330.57912640492935</v>
      </c>
      <c r="I385" s="304">
        <f t="shared" ca="1" si="158"/>
        <v>332.5818108025091</v>
      </c>
      <c r="J385" s="306">
        <f t="shared" ca="1" si="159"/>
        <v>77.506815497845281</v>
      </c>
      <c r="K385" s="307">
        <f t="shared" ca="1" si="160"/>
        <v>739.4407322675703</v>
      </c>
      <c r="L385" s="304">
        <f t="shared" ca="1" si="145"/>
        <v>743.49169664833357</v>
      </c>
      <c r="M385" s="306">
        <f t="shared" ca="1" si="161"/>
        <v>1.4609994013108762</v>
      </c>
      <c r="N385" s="304">
        <f t="shared" ca="1" si="162"/>
        <v>83.709099566253244</v>
      </c>
      <c r="P385" s="310">
        <f t="shared" ca="1" si="163"/>
        <v>13</v>
      </c>
      <c r="Q385" s="304">
        <f t="shared" ca="1" si="164"/>
        <v>651.01000000000511</v>
      </c>
      <c r="R385" s="306">
        <f t="shared" ca="1" si="165"/>
        <v>0.32611191115553406</v>
      </c>
      <c r="S385" s="307">
        <f t="shared" ca="1" si="166"/>
        <v>6.6486559100044307</v>
      </c>
      <c r="T385" s="304">
        <f t="shared" ca="1" si="146"/>
        <v>65.223314477143475</v>
      </c>
      <c r="U385" s="311">
        <f t="shared" ca="1" si="147"/>
        <v>0</v>
      </c>
      <c r="V385" s="306">
        <f t="shared" ca="1" si="148"/>
        <v>1.1376480883721756</v>
      </c>
      <c r="W385" s="304">
        <f t="shared" ca="1" si="149"/>
        <v>342.74162512767998</v>
      </c>
      <c r="Y385" s="314" t="str">
        <f t="shared" ca="1" si="167"/>
        <v/>
      </c>
      <c r="Z385" s="315" t="str">
        <f t="shared" ca="1" si="168"/>
        <v/>
      </c>
      <c r="AA385" s="316" t="str">
        <f t="shared" ca="1" si="169"/>
        <v/>
      </c>
      <c r="AC385" s="310" t="e">
        <f t="shared" ca="1" si="170"/>
        <v>#N/A</v>
      </c>
      <c r="AD385" s="323" t="e">
        <f t="shared" ca="1" si="171"/>
        <v>#N/A</v>
      </c>
      <c r="AE385" s="324">
        <f t="shared" ca="1" si="150"/>
        <v>739.4407322675703</v>
      </c>
      <c r="AG385" s="306">
        <f t="shared" ca="1" si="172"/>
        <v>36.711277792325973</v>
      </c>
      <c r="AH385" s="304">
        <f t="shared" ca="1" si="173"/>
        <v>46.462240336533242</v>
      </c>
    </row>
    <row r="386" spans="1:34" x14ac:dyDescent="0.2">
      <c r="A386" s="347">
        <f t="shared" ca="1" si="151"/>
        <v>0.01</v>
      </c>
      <c r="B386" s="304">
        <f t="shared" ca="1" si="152"/>
        <v>3.8199999999999625</v>
      </c>
      <c r="D386" s="306">
        <f t="shared" ca="1" si="153"/>
        <v>5.0603019350954037</v>
      </c>
      <c r="E386" s="307">
        <f t="shared" ca="1" si="154"/>
        <v>36.092478197891047</v>
      </c>
      <c r="F386" s="304">
        <f t="shared" ca="1" si="155"/>
        <v>36.445488584179671</v>
      </c>
      <c r="G386" s="306">
        <f t="shared" ca="1" si="156"/>
        <v>36.493737654418879</v>
      </c>
      <c r="H386" s="307">
        <f t="shared" ca="1" si="157"/>
        <v>330.94005118690825</v>
      </c>
      <c r="I386" s="304">
        <f t="shared" ca="1" si="158"/>
        <v>332.94610730204221</v>
      </c>
      <c r="J386" s="306">
        <f t="shared" ca="1" si="159"/>
        <v>77.871499859292712</v>
      </c>
      <c r="K386" s="307">
        <f t="shared" ca="1" si="160"/>
        <v>742.74832815552952</v>
      </c>
      <c r="L386" s="304">
        <f t="shared" ca="1" si="145"/>
        <v>746.81928836109341</v>
      </c>
      <c r="M386" s="306">
        <f t="shared" ca="1" si="161"/>
        <v>1.4609671154554462</v>
      </c>
      <c r="N386" s="304">
        <f t="shared" ca="1" si="162"/>
        <v>83.707249722999137</v>
      </c>
      <c r="P386" s="310">
        <f t="shared" ca="1" si="163"/>
        <v>13</v>
      </c>
      <c r="Q386" s="304">
        <f t="shared" ca="1" si="164"/>
        <v>649.63000000000523</v>
      </c>
      <c r="R386" s="306">
        <f t="shared" ca="1" si="165"/>
        <v>0.32542062463551963</v>
      </c>
      <c r="S386" s="307">
        <f t="shared" ca="1" si="166"/>
        <v>6.6454017037580755</v>
      </c>
      <c r="T386" s="304">
        <f t="shared" ca="1" si="146"/>
        <v>65.191390713866724</v>
      </c>
      <c r="U386" s="311">
        <f t="shared" ca="1" si="147"/>
        <v>0</v>
      </c>
      <c r="V386" s="306">
        <f t="shared" ca="1" si="148"/>
        <v>1.1372713453785197</v>
      </c>
      <c r="W386" s="304">
        <f t="shared" ca="1" si="149"/>
        <v>343.37913570231404</v>
      </c>
      <c r="Y386" s="314" t="str">
        <f t="shared" ca="1" si="167"/>
        <v/>
      </c>
      <c r="Z386" s="315" t="str">
        <f t="shared" ca="1" si="168"/>
        <v/>
      </c>
      <c r="AA386" s="316" t="str">
        <f t="shared" ca="1" si="169"/>
        <v/>
      </c>
      <c r="AC386" s="310" t="e">
        <f t="shared" ca="1" si="170"/>
        <v>#N/A</v>
      </c>
      <c r="AD386" s="323" t="e">
        <f t="shared" ca="1" si="171"/>
        <v>#N/A</v>
      </c>
      <c r="AE386" s="324">
        <f t="shared" ca="1" si="150"/>
        <v>742.74832815552952</v>
      </c>
      <c r="AG386" s="306">
        <f t="shared" ca="1" si="172"/>
        <v>36.429632600554569</v>
      </c>
      <c r="AH386" s="304">
        <f t="shared" ca="1" si="173"/>
        <v>46.180560416502018</v>
      </c>
    </row>
    <row r="387" spans="1:34" x14ac:dyDescent="0.2">
      <c r="A387" s="347">
        <f t="shared" ca="1" si="151"/>
        <v>0.01</v>
      </c>
      <c r="B387" s="304">
        <f t="shared" ca="1" si="152"/>
        <v>3.8299999999999623</v>
      </c>
      <c r="D387" s="306">
        <f t="shared" ca="1" si="153"/>
        <v>5.0309657251527069</v>
      </c>
      <c r="E387" s="307">
        <f t="shared" ca="1" si="154"/>
        <v>35.812842756420594</v>
      </c>
      <c r="F387" s="304">
        <f t="shared" ca="1" si="155"/>
        <v>36.164489799024793</v>
      </c>
      <c r="G387" s="306">
        <f t="shared" ca="1" si="156"/>
        <v>36.544047311670404</v>
      </c>
      <c r="H387" s="307">
        <f t="shared" ca="1" si="157"/>
        <v>331.29817961447247</v>
      </c>
      <c r="I387" s="304">
        <f t="shared" ca="1" si="158"/>
        <v>333.30759248745125</v>
      </c>
      <c r="J387" s="306">
        <f t="shared" ca="1" si="159"/>
        <v>78.23668878412316</v>
      </c>
      <c r="K387" s="307">
        <f t="shared" ca="1" si="160"/>
        <v>746.05951930953643</v>
      </c>
      <c r="L387" s="304">
        <f t="shared" ca="1" si="145"/>
        <v>750.15050878092484</v>
      </c>
      <c r="M387" s="306">
        <f t="shared" ca="1" si="161"/>
        <v>1.4609348551700716</v>
      </c>
      <c r="N387" s="304">
        <f t="shared" ca="1" si="162"/>
        <v>83.705401344801274</v>
      </c>
      <c r="P387" s="310">
        <f t="shared" ca="1" si="163"/>
        <v>13</v>
      </c>
      <c r="Q387" s="304">
        <f t="shared" ca="1" si="164"/>
        <v>648.25000000000523</v>
      </c>
      <c r="R387" s="306">
        <f t="shared" ca="1" si="165"/>
        <v>0.32472933811550514</v>
      </c>
      <c r="S387" s="307">
        <f t="shared" ca="1" si="166"/>
        <v>6.6421544103769206</v>
      </c>
      <c r="T387" s="304">
        <f t="shared" ca="1" si="146"/>
        <v>65.159534765797588</v>
      </c>
      <c r="U387" s="311">
        <f t="shared" ca="1" si="147"/>
        <v>0</v>
      </c>
      <c r="V387" s="306">
        <f t="shared" ca="1" si="148"/>
        <v>1.1368943132016429</v>
      </c>
      <c r="W387" s="304">
        <f t="shared" ca="1" si="149"/>
        <v>344.01107989125251</v>
      </c>
      <c r="Y387" s="314" t="str">
        <f t="shared" ca="1" si="167"/>
        <v/>
      </c>
      <c r="Z387" s="315" t="str">
        <f t="shared" ca="1" si="168"/>
        <v/>
      </c>
      <c r="AA387" s="316" t="str">
        <f t="shared" ca="1" si="169"/>
        <v/>
      </c>
      <c r="AC387" s="310" t="e">
        <f t="shared" ca="1" si="170"/>
        <v>#N/A</v>
      </c>
      <c r="AD387" s="323" t="e">
        <f t="shared" ca="1" si="171"/>
        <v>#N/A</v>
      </c>
      <c r="AE387" s="324">
        <f t="shared" ca="1" si="150"/>
        <v>746.05951930953643</v>
      </c>
      <c r="AG387" s="306">
        <f t="shared" ca="1" si="172"/>
        <v>36.148501196808567</v>
      </c>
      <c r="AH387" s="304">
        <f t="shared" ca="1" si="173"/>
        <v>45.899394302155457</v>
      </c>
    </row>
    <row r="388" spans="1:34" x14ac:dyDescent="0.2">
      <c r="A388" s="347">
        <f t="shared" ca="1" si="151"/>
        <v>0.01</v>
      </c>
      <c r="B388" s="304">
        <f t="shared" ca="1" si="152"/>
        <v>3.8399999999999621</v>
      </c>
      <c r="D388" s="306">
        <f t="shared" ca="1" si="153"/>
        <v>5.0016668674717986</v>
      </c>
      <c r="E388" s="307">
        <f t="shared" ca="1" si="154"/>
        <v>35.533722169006936</v>
      </c>
      <c r="F388" s="304">
        <f t="shared" ca="1" si="155"/>
        <v>35.884008731429937</v>
      </c>
      <c r="G388" s="306">
        <f t="shared" ca="1" si="156"/>
        <v>36.594063980345119</v>
      </c>
      <c r="H388" s="307">
        <f t="shared" ca="1" si="157"/>
        <v>331.65351683616257</v>
      </c>
      <c r="I388" s="304">
        <f t="shared" ca="1" si="158"/>
        <v>333.6662715175035</v>
      </c>
      <c r="J388" s="306">
        <f t="shared" ca="1" si="159"/>
        <v>78.602379340583241</v>
      </c>
      <c r="K388" s="307">
        <f t="shared" ca="1" si="160"/>
        <v>749.37427779178961</v>
      </c>
      <c r="L388" s="304">
        <f t="shared" ref="L388:L451" ca="1" si="174">SQRT(pos_x^2+pos_z^2)</f>
        <v>753.48532982000859</v>
      </c>
      <c r="M388" s="306">
        <f t="shared" ca="1" si="161"/>
        <v>1.4609026201357584</v>
      </c>
      <c r="N388" s="304">
        <f t="shared" ca="1" si="162"/>
        <v>83.703554413382676</v>
      </c>
      <c r="P388" s="310">
        <f t="shared" ca="1" si="163"/>
        <v>13</v>
      </c>
      <c r="Q388" s="304">
        <f t="shared" ca="1" si="164"/>
        <v>646.87000000000523</v>
      </c>
      <c r="R388" s="306">
        <f t="shared" ca="1" si="165"/>
        <v>0.32403805159549065</v>
      </c>
      <c r="S388" s="307">
        <f t="shared" ca="1" si="166"/>
        <v>6.6389140298609659</v>
      </c>
      <c r="T388" s="304">
        <f t="shared" ref="T388:T451" ca="1" si="175">m*g</f>
        <v>65.127746632936081</v>
      </c>
      <c r="U388" s="311">
        <f t="shared" ref="U388:U451" ca="1" si="176">IF(pos_xz&lt;L_rampe,Poids*COS(Beta),0)</f>
        <v>0</v>
      </c>
      <c r="V388" s="306">
        <f t="shared" ref="V388:V451" ca="1" si="177">Rho_moyen*(20000-Alt_rampe-pos_z)/(20000+Alt_rampe+pos_z)</f>
        <v>1.1365169953556173</v>
      </c>
      <c r="W388" s="304">
        <f t="shared" ref="W388:W451" ca="1" si="178">1/2*Rho*Sref*Cx*vit_xz^2</f>
        <v>344.63745492860323</v>
      </c>
      <c r="Y388" s="314" t="str">
        <f t="shared" ca="1" si="167"/>
        <v/>
      </c>
      <c r="Z388" s="315" t="str">
        <f t="shared" ca="1" si="168"/>
        <v/>
      </c>
      <c r="AA388" s="316" t="str">
        <f t="shared" ca="1" si="169"/>
        <v/>
      </c>
      <c r="AC388" s="310" t="e">
        <f t="shared" ca="1" si="170"/>
        <v>#N/A</v>
      </c>
      <c r="AD388" s="323" t="e">
        <f t="shared" ca="1" si="171"/>
        <v>#N/A</v>
      </c>
      <c r="AE388" s="324">
        <f t="shared" ref="AE388:AE451" ca="1" si="179">IF(t&lt;T_para, pos_z, NA())</f>
        <v>749.37427779178961</v>
      </c>
      <c r="AG388" s="306">
        <f t="shared" ca="1" si="172"/>
        <v>35.867885669632997</v>
      </c>
      <c r="AH388" s="304">
        <f t="shared" ca="1" si="173"/>
        <v>45.618744081717729</v>
      </c>
    </row>
    <row r="389" spans="1:34" x14ac:dyDescent="0.2">
      <c r="A389" s="347">
        <f t="shared" ref="A389:A452" ca="1" si="180">IF(B388+0.01&lt;=T_ini+ROUNDUP(Temps_fin_propu,0), 0.01, IF(K388&gt;0, 0.1, 0.0001))</f>
        <v>0.01</v>
      </c>
      <c r="B389" s="304">
        <f t="shared" ref="B389:B452" ca="1" si="181">B388+pas</f>
        <v>3.8499999999999619</v>
      </c>
      <c r="D389" s="306">
        <f t="shared" ref="D389:D452" ca="1" si="182">IF(AND(L388&lt;L_rampe,Poussee&lt;Poids*SIN(M388)),0,(-W388+Poussee)/m*COS(M388)-U388/m*SIN(M388))</f>
        <v>4.9724056723596268</v>
      </c>
      <c r="E389" s="307">
        <f t="shared" ref="E389:E452" ca="1" si="183">IF(AND(L388&lt;L_rampe,Poussee&lt;Poids*SIN(M388)),0,(-W388+Poussee)/m*SIN(M388)+U388/m*COS(M388)-Poids/m)</f>
        <v>35.255118464565804</v>
      </c>
      <c r="F389" s="304">
        <f t="shared" ref="F389:F452" ca="1" si="184">SQRT(acc_x^2+acc_z^2)</f>
        <v>35.604047468245561</v>
      </c>
      <c r="G389" s="306">
        <f t="shared" ref="G389:G452" ca="1" si="185">G388+acc_x*pas</f>
        <v>36.643788037068717</v>
      </c>
      <c r="H389" s="307">
        <f t="shared" ref="H389:H452" ca="1" si="186">H388+acc_z*pas</f>
        <v>332.00606802080824</v>
      </c>
      <c r="I389" s="304">
        <f t="shared" ref="I389:I452" ca="1" si="187">SQRT(vit_x^2+vit_z^2)</f>
        <v>334.02214957146657</v>
      </c>
      <c r="J389" s="306">
        <f t="shared" ref="J389:J452" ca="1" si="188">J388+0.5*(vit_x+G388)*pas*(K388&gt;=0)</f>
        <v>78.968568600670309</v>
      </c>
      <c r="K389" s="307">
        <f t="shared" ref="K389:K452" ca="1" si="189">K388+0.5*(vit_z+H388)*pas</f>
        <v>752.69257571607443</v>
      </c>
      <c r="L389" s="304">
        <f t="shared" ca="1" si="174"/>
        <v>756.82372344221426</v>
      </c>
      <c r="M389" s="306">
        <f t="shared" ref="M389:M452" ca="1" si="190">IF(AND(L388&gt;L_rampe,G389&gt;0),ATAN2(G389,H389),$M$4)</f>
        <v>1.4608704100355832</v>
      </c>
      <c r="N389" s="304">
        <f t="shared" ref="N389:N452" ca="1" si="191">DEGREES(Beta)</f>
        <v>83.701708910584941</v>
      </c>
      <c r="P389" s="310">
        <f t="shared" ref="P389:P452" ca="1" si="192">MATCH(t-pas/2-T_ini,CdP_t)</f>
        <v>13</v>
      </c>
      <c r="Q389" s="304">
        <f t="shared" ref="Q389:Q452" ca="1" si="193">(INDEX(CdP,2,i_P+1)-INDEX(CdP,2,i_P+0))/(INDEX(CdP,1,i_P+1)-INDEX(CdP,1,i_P+0))*(t-pas/2-T_ini-INDEX(CdP,1,i_P+0))+INDEX(CdP,2,i_P+0)</f>
        <v>645.49000000000524</v>
      </c>
      <c r="R389" s="306">
        <f t="shared" ref="R389:R452" ca="1" si="194">Poussee/(g*ISP)</f>
        <v>0.32334676507547616</v>
      </c>
      <c r="S389" s="307">
        <f t="shared" ref="S389:S452" ca="1" si="195">S388-Débit*pas</f>
        <v>6.6356805622102115</v>
      </c>
      <c r="T389" s="304">
        <f t="shared" ca="1" si="175"/>
        <v>65.096026315282174</v>
      </c>
      <c r="U389" s="311">
        <f t="shared" ca="1" si="176"/>
        <v>0</v>
      </c>
      <c r="V389" s="306">
        <f t="shared" ca="1" si="177"/>
        <v>1.1361393953446663</v>
      </c>
      <c r="W389" s="304">
        <f t="shared" ca="1" si="178"/>
        <v>345.2582583076761</v>
      </c>
      <c r="Y389" s="314" t="str">
        <f t="shared" ref="Y389:Y452" ca="1" si="196">IF(AND(pos_z&lt;=0,K388&gt;0),"Impact balistique","") &amp; IF(AND(H390&lt;0,vit_z&gt;=0),"Apogée","") &amp; IF(AND(Poussee=0,Q388&gt;0),"Fin de propulsion","") &amp; IF(AND(L390&gt;L_rampe,pos_xz&lt;=L_rampe),"Sortie de rampe","")</f>
        <v/>
      </c>
      <c r="Z389" s="315" t="str">
        <f t="shared" ref="Z389:Z452" ca="1" si="197">IF(ABS(t-T_para)&lt;pas/2,"Para","")</f>
        <v/>
      </c>
      <c r="AA389" s="316" t="str">
        <f t="shared" ref="AA389:AA452" ca="1" si="198">IF(ABS(t-T_satellite)&lt;pas/2,"Satellite","")</f>
        <v/>
      </c>
      <c r="AC389" s="310" t="e">
        <f t="shared" ref="AC389:AC452" ca="1" si="199">IF(ABS(t-ROUND(t,0))&lt;0.001,t,NA())</f>
        <v>#N/A</v>
      </c>
      <c r="AD389" s="323" t="e">
        <f t="shared" ref="AD389:AD452" ca="1" si="200">IF(ABS(t-ROUND(t,0))&lt;0.001,pos_x,NA())</f>
        <v>#N/A</v>
      </c>
      <c r="AE389" s="324">
        <f t="shared" ca="1" si="179"/>
        <v>752.69257571607443</v>
      </c>
      <c r="AG389" s="306">
        <f t="shared" ref="AG389:AG452" ca="1" si="201">IF(AND(L388&lt;L_rampe,Poussee&lt;Poids*SIN(M388)),0,(-W388+Poussee)/m-Poids*SIN(M388)/m)</f>
        <v>35.587788069062981</v>
      </c>
      <c r="AH389" s="304">
        <f t="shared" ref="AH389:AH452" ca="1" si="202">IF(AND(L388&lt;L_rampe,Poussee&lt;Poids*SIN(M388)), g*SIN(M388), (-W388+Poussee)/m)</f>
        <v>45.338611804904922</v>
      </c>
    </row>
    <row r="390" spans="1:34" x14ac:dyDescent="0.2">
      <c r="A390" s="347">
        <f t="shared" ca="1" si="180"/>
        <v>0.01</v>
      </c>
      <c r="B390" s="304">
        <f t="shared" ca="1" si="181"/>
        <v>3.8599999999999617</v>
      </c>
      <c r="D390" s="306">
        <f t="shared" ca="1" si="182"/>
        <v>4.9431824456550562</v>
      </c>
      <c r="E390" s="307">
        <f t="shared" ca="1" si="183"/>
        <v>34.97703363394691</v>
      </c>
      <c r="F390" s="304">
        <f t="shared" ca="1" si="184"/>
        <v>35.324608058990343</v>
      </c>
      <c r="G390" s="306">
        <f t="shared" ca="1" si="185"/>
        <v>36.693219861525264</v>
      </c>
      <c r="H390" s="307">
        <f t="shared" ca="1" si="186"/>
        <v>332.35583835714772</v>
      </c>
      <c r="I390" s="304">
        <f t="shared" ca="1" si="187"/>
        <v>334.37523184872521</v>
      </c>
      <c r="J390" s="306">
        <f t="shared" ca="1" si="188"/>
        <v>79.335253640163273</v>
      </c>
      <c r="K390" s="307">
        <f t="shared" ca="1" si="189"/>
        <v>756.01438524796424</v>
      </c>
      <c r="L390" s="304">
        <f t="shared" ca="1" si="174"/>
        <v>760.16566166330233</v>
      </c>
      <c r="M390" s="306">
        <f t="shared" ca="1" si="190"/>
        <v>1.4608382245546685</v>
      </c>
      <c r="N390" s="304">
        <f t="shared" ca="1" si="191"/>
        <v>83.699864818366933</v>
      </c>
      <c r="P390" s="310">
        <f t="shared" ca="1" si="192"/>
        <v>13</v>
      </c>
      <c r="Q390" s="304">
        <f t="shared" ca="1" si="193"/>
        <v>644.11000000000524</v>
      </c>
      <c r="R390" s="306">
        <f t="shared" ca="1" si="194"/>
        <v>0.32265547855546167</v>
      </c>
      <c r="S390" s="307">
        <f t="shared" ca="1" si="195"/>
        <v>6.6324540074246565</v>
      </c>
      <c r="T390" s="304">
        <f t="shared" ca="1" si="175"/>
        <v>65.064373812835882</v>
      </c>
      <c r="U390" s="311">
        <f t="shared" ca="1" si="176"/>
        <v>0</v>
      </c>
      <c r="V390" s="306">
        <f t="shared" ca="1" si="177"/>
        <v>1.1357615166631434</v>
      </c>
      <c r="W390" s="304">
        <f t="shared" ca="1" si="178"/>
        <v>345.87348777895807</v>
      </c>
      <c r="Y390" s="314" t="str">
        <f t="shared" ca="1" si="196"/>
        <v/>
      </c>
      <c r="Z390" s="315" t="str">
        <f t="shared" ca="1" si="197"/>
        <v/>
      </c>
      <c r="AA390" s="316" t="str">
        <f t="shared" ca="1" si="198"/>
        <v/>
      </c>
      <c r="AC390" s="310" t="e">
        <f t="shared" ca="1" si="199"/>
        <v>#N/A</v>
      </c>
      <c r="AD390" s="323" t="e">
        <f t="shared" ca="1" si="200"/>
        <v>#N/A</v>
      </c>
      <c r="AE390" s="324">
        <f t="shared" ca="1" si="179"/>
        <v>756.01438524796424</v>
      </c>
      <c r="AG390" s="306">
        <f t="shared" ca="1" si="201"/>
        <v>35.308210406813345</v>
      </c>
      <c r="AH390" s="304">
        <f t="shared" ca="1" si="202"/>
        <v>45.058999483114626</v>
      </c>
    </row>
    <row r="391" spans="1:34" x14ac:dyDescent="0.2">
      <c r="A391" s="347">
        <f t="shared" ca="1" si="180"/>
        <v>0.01</v>
      </c>
      <c r="B391" s="304">
        <f t="shared" ca="1" si="181"/>
        <v>3.8699999999999615</v>
      </c>
      <c r="D391" s="306">
        <f t="shared" ca="1" si="182"/>
        <v>4.9139974887487901</v>
      </c>
      <c r="E391" s="307">
        <f t="shared" ca="1" si="183"/>
        <v>34.699469630124007</v>
      </c>
      <c r="F391" s="304">
        <f t="shared" ca="1" si="184"/>
        <v>35.045692516075746</v>
      </c>
      <c r="G391" s="306">
        <f t="shared" ca="1" si="185"/>
        <v>36.742359836412753</v>
      </c>
      <c r="H391" s="307">
        <f t="shared" ca="1" si="186"/>
        <v>332.70283305344896</v>
      </c>
      <c r="I391" s="304">
        <f t="shared" ca="1" si="187"/>
        <v>334.72552356840009</v>
      </c>
      <c r="J391" s="306">
        <f t="shared" ca="1" si="188"/>
        <v>79.702431538652959</v>
      </c>
      <c r="K391" s="307">
        <f t="shared" ca="1" si="189"/>
        <v>759.33967860501718</v>
      </c>
      <c r="L391" s="304">
        <f t="shared" ca="1" si="174"/>
        <v>763.51111655112425</v>
      </c>
      <c r="M391" s="306">
        <f t="shared" ca="1" si="190"/>
        <v>1.4608060633801605</v>
      </c>
      <c r="N391" s="304">
        <f t="shared" ca="1" si="191"/>
        <v>83.698022118803436</v>
      </c>
      <c r="P391" s="310">
        <f t="shared" ca="1" si="192"/>
        <v>13</v>
      </c>
      <c r="Q391" s="304">
        <f t="shared" ca="1" si="193"/>
        <v>642.73000000000536</v>
      </c>
      <c r="R391" s="306">
        <f t="shared" ca="1" si="194"/>
        <v>0.32196419203544724</v>
      </c>
      <c r="S391" s="307">
        <f t="shared" ca="1" si="195"/>
        <v>6.6292343655043018</v>
      </c>
      <c r="T391" s="304">
        <f t="shared" ca="1" si="175"/>
        <v>65.032789125597205</v>
      </c>
      <c r="U391" s="311">
        <f t="shared" ca="1" si="176"/>
        <v>0</v>
      </c>
      <c r="V391" s="306">
        <f t="shared" ca="1" si="177"/>
        <v>1.1353833627955112</v>
      </c>
      <c r="W391" s="304">
        <f t="shared" ca="1" si="178"/>
        <v>346.48314134808504</v>
      </c>
      <c r="Y391" s="314" t="str">
        <f t="shared" ca="1" si="196"/>
        <v/>
      </c>
      <c r="Z391" s="315" t="str">
        <f t="shared" ca="1" si="197"/>
        <v/>
      </c>
      <c r="AA391" s="316" t="str">
        <f t="shared" ca="1" si="198"/>
        <v/>
      </c>
      <c r="AC391" s="310" t="e">
        <f t="shared" ca="1" si="199"/>
        <v>#N/A</v>
      </c>
      <c r="AD391" s="323" t="e">
        <f t="shared" ca="1" si="200"/>
        <v>#N/A</v>
      </c>
      <c r="AE391" s="324">
        <f t="shared" ca="1" si="179"/>
        <v>759.33967860501718</v>
      </c>
      <c r="AG391" s="306">
        <f t="shared" ca="1" si="201"/>
        <v>35.029154656469657</v>
      </c>
      <c r="AH391" s="304">
        <f t="shared" ca="1" si="202"/>
        <v>44.779909089616972</v>
      </c>
    </row>
    <row r="392" spans="1:34" x14ac:dyDescent="0.2">
      <c r="A392" s="347">
        <f t="shared" ca="1" si="180"/>
        <v>0.01</v>
      </c>
      <c r="B392" s="304">
        <f t="shared" ca="1" si="181"/>
        <v>3.8799999999999613</v>
      </c>
      <c r="D392" s="306">
        <f t="shared" ca="1" si="182"/>
        <v>4.8848510986034146</v>
      </c>
      <c r="E392" s="307">
        <f t="shared" ca="1" si="183"/>
        <v>34.422428368386491</v>
      </c>
      <c r="F392" s="304">
        <f t="shared" ca="1" si="184"/>
        <v>34.767302815033354</v>
      </c>
      <c r="G392" s="306">
        <f t="shared" ca="1" si="185"/>
        <v>36.791208347398786</v>
      </c>
      <c r="H392" s="307">
        <f t="shared" ca="1" si="186"/>
        <v>333.0470573371328</v>
      </c>
      <c r="I392" s="304">
        <f t="shared" ca="1" si="187"/>
        <v>335.07302996896829</v>
      </c>
      <c r="J392" s="306">
        <f t="shared" ca="1" si="188"/>
        <v>80.070099379572014</v>
      </c>
      <c r="K392" s="307">
        <f t="shared" ca="1" si="189"/>
        <v>762.66842805697013</v>
      </c>
      <c r="L392" s="304">
        <f t="shared" ca="1" si="174"/>
        <v>766.86006022581739</v>
      </c>
      <c r="M392" s="306">
        <f t="shared" ca="1" si="190"/>
        <v>1.4607739262012049</v>
      </c>
      <c r="N392" s="304">
        <f t="shared" ca="1" si="191"/>
        <v>83.69618079408383</v>
      </c>
      <c r="P392" s="310">
        <f t="shared" ca="1" si="192"/>
        <v>13</v>
      </c>
      <c r="Q392" s="304">
        <f t="shared" ca="1" si="193"/>
        <v>641.35000000000537</v>
      </c>
      <c r="R392" s="306">
        <f t="shared" ca="1" si="194"/>
        <v>0.32127290551543275</v>
      </c>
      <c r="S392" s="307">
        <f t="shared" ca="1" si="195"/>
        <v>6.6260216364491473</v>
      </c>
      <c r="T392" s="304">
        <f t="shared" ca="1" si="175"/>
        <v>65.001272253566142</v>
      </c>
      <c r="U392" s="311">
        <f t="shared" ca="1" si="176"/>
        <v>0</v>
      </c>
      <c r="V392" s="306">
        <f t="shared" ca="1" si="177"/>
        <v>1.1350049372163267</v>
      </c>
      <c r="W392" s="304">
        <f t="shared" ca="1" si="178"/>
        <v>347.08721727381254</v>
      </c>
      <c r="Y392" s="314" t="str">
        <f t="shared" ca="1" si="196"/>
        <v/>
      </c>
      <c r="Z392" s="315" t="str">
        <f t="shared" ca="1" si="197"/>
        <v/>
      </c>
      <c r="AA392" s="316" t="str">
        <f t="shared" ca="1" si="198"/>
        <v/>
      </c>
      <c r="AC392" s="310" t="e">
        <f t="shared" ca="1" si="199"/>
        <v>#N/A</v>
      </c>
      <c r="AD392" s="323" t="e">
        <f t="shared" ca="1" si="200"/>
        <v>#N/A</v>
      </c>
      <c r="AE392" s="324">
        <f t="shared" ca="1" si="179"/>
        <v>762.66842805697013</v>
      </c>
      <c r="AG392" s="306">
        <f t="shared" ca="1" si="201"/>
        <v>34.750622753680844</v>
      </c>
      <c r="AH392" s="304">
        <f t="shared" ca="1" si="202"/>
        <v>44.501342559747215</v>
      </c>
    </row>
    <row r="393" spans="1:34" x14ac:dyDescent="0.2">
      <c r="A393" s="347">
        <f t="shared" ca="1" si="180"/>
        <v>0.01</v>
      </c>
      <c r="B393" s="304">
        <f t="shared" ca="1" si="181"/>
        <v>3.889999999999961</v>
      </c>
      <c r="D393" s="306">
        <f t="shared" ca="1" si="182"/>
        <v>4.855743567773656</v>
      </c>
      <c r="E393" s="307">
        <f t="shared" ca="1" si="183"/>
        <v>34.145911726532539</v>
      </c>
      <c r="F393" s="304">
        <f t="shared" ca="1" si="184"/>
        <v>34.489440894745272</v>
      </c>
      <c r="G393" s="306">
        <f t="shared" ca="1" si="185"/>
        <v>36.839765783076523</v>
      </c>
      <c r="H393" s="307">
        <f t="shared" ca="1" si="186"/>
        <v>333.38851645439814</v>
      </c>
      <c r="I393" s="304">
        <f t="shared" ca="1" si="187"/>
        <v>335.41775630788607</v>
      </c>
      <c r="J393" s="306">
        <f t="shared" ca="1" si="188"/>
        <v>80.438254250224389</v>
      </c>
      <c r="K393" s="307">
        <f t="shared" ca="1" si="189"/>
        <v>766.00060592592774</v>
      </c>
      <c r="L393" s="304">
        <f t="shared" ca="1" si="174"/>
        <v>770.21246485999711</v>
      </c>
      <c r="M393" s="306">
        <f t="shared" ca="1" si="190"/>
        <v>1.460741812708924</v>
      </c>
      <c r="N393" s="304">
        <f t="shared" ca="1" si="191"/>
        <v>83.694340826510697</v>
      </c>
      <c r="P393" s="310">
        <f t="shared" ca="1" si="192"/>
        <v>13</v>
      </c>
      <c r="Q393" s="304">
        <f t="shared" ca="1" si="193"/>
        <v>639.97000000000537</v>
      </c>
      <c r="R393" s="306">
        <f t="shared" ca="1" si="194"/>
        <v>0.32058161899541826</v>
      </c>
      <c r="S393" s="307">
        <f t="shared" ca="1" si="195"/>
        <v>6.6228158202591931</v>
      </c>
      <c r="T393" s="304">
        <f t="shared" ca="1" si="175"/>
        <v>64.969823196742695</v>
      </c>
      <c r="U393" s="311">
        <f t="shared" ca="1" si="176"/>
        <v>0</v>
      </c>
      <c r="V393" s="306">
        <f t="shared" ca="1" si="177"/>
        <v>1.1346262433902186</v>
      </c>
      <c r="W393" s="304">
        <f t="shared" ca="1" si="178"/>
        <v>347.68571406598346</v>
      </c>
      <c r="Y393" s="314" t="str">
        <f t="shared" ca="1" si="196"/>
        <v/>
      </c>
      <c r="Z393" s="315" t="str">
        <f t="shared" ca="1" si="197"/>
        <v/>
      </c>
      <c r="AA393" s="316" t="str">
        <f t="shared" ca="1" si="198"/>
        <v/>
      </c>
      <c r="AC393" s="310" t="e">
        <f t="shared" ca="1" si="199"/>
        <v>#N/A</v>
      </c>
      <c r="AD393" s="323" t="e">
        <f t="shared" ca="1" si="200"/>
        <v>#N/A</v>
      </c>
      <c r="AE393" s="324">
        <f t="shared" ca="1" si="179"/>
        <v>766.00060592592774</v>
      </c>
      <c r="AG393" s="306">
        <f t="shared" ca="1" si="201"/>
        <v>34.472616596353348</v>
      </c>
      <c r="AH393" s="304">
        <f t="shared" ca="1" si="202"/>
        <v>44.223301791099857</v>
      </c>
    </row>
    <row r="394" spans="1:34" x14ac:dyDescent="0.2">
      <c r="A394" s="347">
        <f t="shared" ca="1" si="180"/>
        <v>0.01</v>
      </c>
      <c r="B394" s="304">
        <f t="shared" ca="1" si="181"/>
        <v>3.8999999999999608</v>
      </c>
      <c r="D394" s="306">
        <f t="shared" ca="1" si="182"/>
        <v>4.8266751844267803</v>
      </c>
      <c r="E394" s="307">
        <f t="shared" ca="1" si="183"/>
        <v>33.869921545063647</v>
      </c>
      <c r="F394" s="304">
        <f t="shared" ca="1" si="184"/>
        <v>34.21210865767744</v>
      </c>
      <c r="G394" s="306">
        <f t="shared" ca="1" si="185"/>
        <v>36.888032534920789</v>
      </c>
      <c r="H394" s="307">
        <f t="shared" ca="1" si="186"/>
        <v>333.72721566984876</v>
      </c>
      <c r="I394" s="304">
        <f t="shared" ca="1" si="187"/>
        <v>335.75970786121303</v>
      </c>
      <c r="J394" s="306">
        <f t="shared" ca="1" si="188"/>
        <v>80.806893241814379</v>
      </c>
      <c r="K394" s="307">
        <f t="shared" ca="1" si="189"/>
        <v>769.33618458654894</v>
      </c>
      <c r="L394" s="304">
        <f t="shared" ca="1" si="174"/>
        <v>773.56830267894418</v>
      </c>
      <c r="M394" s="306">
        <f t="shared" ca="1" si="190"/>
        <v>1.4607097225963948</v>
      </c>
      <c r="N394" s="304">
        <f t="shared" ca="1" si="191"/>
        <v>83.692502198498673</v>
      </c>
      <c r="P394" s="310">
        <f t="shared" ca="1" si="192"/>
        <v>13</v>
      </c>
      <c r="Q394" s="304">
        <f t="shared" ca="1" si="193"/>
        <v>638.59000000000538</v>
      </c>
      <c r="R394" s="306">
        <f t="shared" ca="1" si="194"/>
        <v>0.31989033247540377</v>
      </c>
      <c r="S394" s="307">
        <f t="shared" ca="1" si="195"/>
        <v>6.6196169169344392</v>
      </c>
      <c r="T394" s="304">
        <f t="shared" ca="1" si="175"/>
        <v>64.938441955126848</v>
      </c>
      <c r="U394" s="311">
        <f t="shared" ca="1" si="176"/>
        <v>0</v>
      </c>
      <c r="V394" s="306">
        <f t="shared" ca="1" si="177"/>
        <v>1.1342472847718719</v>
      </c>
      <c r="W394" s="304">
        <f t="shared" ca="1" si="178"/>
        <v>348.27863048349514</v>
      </c>
      <c r="Y394" s="314" t="str">
        <f t="shared" ca="1" si="196"/>
        <v/>
      </c>
      <c r="Z394" s="315" t="str">
        <f t="shared" ca="1" si="197"/>
        <v/>
      </c>
      <c r="AA394" s="316" t="str">
        <f t="shared" ca="1" si="198"/>
        <v/>
      </c>
      <c r="AC394" s="310" t="e">
        <f t="shared" ca="1" si="199"/>
        <v>#N/A</v>
      </c>
      <c r="AD394" s="323" t="e">
        <f t="shared" ca="1" si="200"/>
        <v>#N/A</v>
      </c>
      <c r="AE394" s="324">
        <f t="shared" ca="1" si="179"/>
        <v>769.33618458654894</v>
      </c>
      <c r="AG394" s="306">
        <f t="shared" ca="1" si="201"/>
        <v>34.195138044846651</v>
      </c>
      <c r="AH394" s="304">
        <f t="shared" ca="1" si="202"/>
        <v>43.945788643724178</v>
      </c>
    </row>
    <row r="395" spans="1:34" x14ac:dyDescent="0.2">
      <c r="A395" s="347">
        <f t="shared" ca="1" si="180"/>
        <v>0.01</v>
      </c>
      <c r="B395" s="304">
        <f t="shared" ca="1" si="181"/>
        <v>3.9099999999999606</v>
      </c>
      <c r="D395" s="306">
        <f t="shared" ca="1" si="182"/>
        <v>4.7976462323630775</v>
      </c>
      <c r="E395" s="307">
        <f t="shared" ca="1" si="183"/>
        <v>33.594459627380544</v>
      </c>
      <c r="F395" s="304">
        <f t="shared" ca="1" si="184"/>
        <v>33.935307970115865</v>
      </c>
      <c r="G395" s="306">
        <f t="shared" ca="1" si="185"/>
        <v>36.936008997244421</v>
      </c>
      <c r="H395" s="307">
        <f t="shared" ca="1" si="186"/>
        <v>334.06316026612257</v>
      </c>
      <c r="I395" s="304">
        <f t="shared" ca="1" si="187"/>
        <v>336.09888992323914</v>
      </c>
      <c r="J395" s="306">
        <f t="shared" ca="1" si="188"/>
        <v>81.176013449475207</v>
      </c>
      <c r="K395" s="307">
        <f t="shared" ca="1" si="189"/>
        <v>772.67513646622876</v>
      </c>
      <c r="L395" s="304">
        <f t="shared" ca="1" si="174"/>
        <v>776.92754596078942</v>
      </c>
      <c r="M395" s="306">
        <f t="shared" ca="1" si="190"/>
        <v>1.4606776555586261</v>
      </c>
      <c r="N395" s="304">
        <f t="shared" ca="1" si="191"/>
        <v>83.690664892573039</v>
      </c>
      <c r="P395" s="310">
        <f t="shared" ca="1" si="192"/>
        <v>13</v>
      </c>
      <c r="Q395" s="304">
        <f t="shared" ca="1" si="193"/>
        <v>637.21000000000549</v>
      </c>
      <c r="R395" s="306">
        <f t="shared" ca="1" si="194"/>
        <v>0.31919904595538934</v>
      </c>
      <c r="S395" s="307">
        <f t="shared" ca="1" si="195"/>
        <v>6.6164249264748856</v>
      </c>
      <c r="T395" s="304">
        <f t="shared" ca="1" si="175"/>
        <v>64.90712852871863</v>
      </c>
      <c r="U395" s="311">
        <f t="shared" ca="1" si="176"/>
        <v>0</v>
      </c>
      <c r="V395" s="306">
        <f t="shared" ca="1" si="177"/>
        <v>1.1338680648060091</v>
      </c>
      <c r="W395" s="304">
        <f t="shared" ca="1" si="178"/>
        <v>348.86596553226462</v>
      </c>
      <c r="Y395" s="314" t="str">
        <f t="shared" ca="1" si="196"/>
        <v/>
      </c>
      <c r="Z395" s="315" t="str">
        <f t="shared" ca="1" si="197"/>
        <v/>
      </c>
      <c r="AA395" s="316" t="str">
        <f t="shared" ca="1" si="198"/>
        <v/>
      </c>
      <c r="AC395" s="310" t="e">
        <f t="shared" ca="1" si="199"/>
        <v>#N/A</v>
      </c>
      <c r="AD395" s="323" t="e">
        <f t="shared" ca="1" si="200"/>
        <v>#N/A</v>
      </c>
      <c r="AE395" s="324">
        <f t="shared" ca="1" si="179"/>
        <v>772.67513646622876</v>
      </c>
      <c r="AG395" s="306">
        <f t="shared" ca="1" si="201"/>
        <v>33.918188922170216</v>
      </c>
      <c r="AH395" s="304">
        <f t="shared" ca="1" si="202"/>
        <v>43.668804940321131</v>
      </c>
    </row>
    <row r="396" spans="1:34" x14ac:dyDescent="0.2">
      <c r="A396" s="347">
        <f t="shared" ca="1" si="180"/>
        <v>0.01</v>
      </c>
      <c r="B396" s="304">
        <f t="shared" ca="1" si="181"/>
        <v>3.9199999999999604</v>
      </c>
      <c r="D396" s="306">
        <f t="shared" ca="1" si="182"/>
        <v>4.7686569910365728</v>
      </c>
      <c r="E396" s="307">
        <f t="shared" ca="1" si="183"/>
        <v>33.319527739980366</v>
      </c>
      <c r="F396" s="304">
        <f t="shared" ca="1" si="184"/>
        <v>33.659040662405737</v>
      </c>
      <c r="G396" s="306">
        <f t="shared" ca="1" si="185"/>
        <v>36.98369556715479</v>
      </c>
      <c r="H396" s="307">
        <f t="shared" ca="1" si="186"/>
        <v>334.39635554352236</v>
      </c>
      <c r="I396" s="304">
        <f t="shared" ca="1" si="187"/>
        <v>336.43530780611269</v>
      </c>
      <c r="J396" s="306">
        <f t="shared" ca="1" si="188"/>
        <v>81.545611972297209</v>
      </c>
      <c r="K396" s="307">
        <f t="shared" ca="1" si="189"/>
        <v>776.01743404527701</v>
      </c>
      <c r="L396" s="304">
        <f t="shared" ca="1" si="174"/>
        <v>780.29016703669436</v>
      </c>
      <c r="M396" s="306">
        <f t="shared" ca="1" si="190"/>
        <v>1.4606456112925359</v>
      </c>
      <c r="N396" s="304">
        <f t="shared" ca="1" si="191"/>
        <v>83.688828891368487</v>
      </c>
      <c r="P396" s="310">
        <f t="shared" ca="1" si="192"/>
        <v>13</v>
      </c>
      <c r="Q396" s="304">
        <f t="shared" ca="1" si="193"/>
        <v>635.8300000000055</v>
      </c>
      <c r="R396" s="306">
        <f t="shared" ca="1" si="194"/>
        <v>0.31850775943537485</v>
      </c>
      <c r="S396" s="307">
        <f t="shared" ca="1" si="195"/>
        <v>6.6132398488805322</v>
      </c>
      <c r="T396" s="304">
        <f t="shared" ca="1" si="175"/>
        <v>64.875882917518027</v>
      </c>
      <c r="U396" s="311">
        <f t="shared" ca="1" si="176"/>
        <v>0</v>
      </c>
      <c r="V396" s="306">
        <f t="shared" ca="1" si="177"/>
        <v>1.1334885869273774</v>
      </c>
      <c r="W396" s="304">
        <f t="shared" ca="1" si="178"/>
        <v>349.44771846319395</v>
      </c>
      <c r="Y396" s="314" t="str">
        <f t="shared" ca="1" si="196"/>
        <v/>
      </c>
      <c r="Z396" s="315" t="str">
        <f t="shared" ca="1" si="197"/>
        <v/>
      </c>
      <c r="AA396" s="316" t="str">
        <f t="shared" ca="1" si="198"/>
        <v/>
      </c>
      <c r="AC396" s="310" t="e">
        <f t="shared" ca="1" si="199"/>
        <v>#N/A</v>
      </c>
      <c r="AD396" s="323" t="e">
        <f t="shared" ca="1" si="200"/>
        <v>#N/A</v>
      </c>
      <c r="AE396" s="324">
        <f t="shared" ca="1" si="179"/>
        <v>776.01743404527701</v>
      </c>
      <c r="AG396" s="306">
        <f t="shared" ca="1" si="201"/>
        <v>33.641771014181714</v>
      </c>
      <c r="AH396" s="304">
        <f t="shared" ca="1" si="202"/>
        <v>43.392352466441572</v>
      </c>
    </row>
    <row r="397" spans="1:34" x14ac:dyDescent="0.2">
      <c r="A397" s="347">
        <f t="shared" ca="1" si="180"/>
        <v>0.01</v>
      </c>
      <c r="B397" s="304">
        <f t="shared" ca="1" si="181"/>
        <v>3.9299999999999602</v>
      </c>
      <c r="D397" s="306">
        <f t="shared" ca="1" si="182"/>
        <v>4.7397077355758688</v>
      </c>
      <c r="E397" s="307">
        <f t="shared" ca="1" si="183"/>
        <v>33.045127612655236</v>
      </c>
      <c r="F397" s="304">
        <f t="shared" ca="1" si="184"/>
        <v>33.383308529193854</v>
      </c>
      <c r="G397" s="306">
        <f t="shared" ca="1" si="185"/>
        <v>37.031092644510551</v>
      </c>
      <c r="H397" s="307">
        <f t="shared" ca="1" si="186"/>
        <v>334.72680681964891</v>
      </c>
      <c r="I397" s="304">
        <f t="shared" ca="1" si="187"/>
        <v>336.76896683947126</v>
      </c>
      <c r="J397" s="306">
        <f t="shared" ca="1" si="188"/>
        <v>81.915685913355532</v>
      </c>
      <c r="K397" s="307">
        <f t="shared" ca="1" si="189"/>
        <v>779.36304985709285</v>
      </c>
      <c r="L397" s="304">
        <f t="shared" ca="1" si="174"/>
        <v>783.65613829102676</v>
      </c>
      <c r="M397" s="306">
        <f t="shared" ca="1" si="190"/>
        <v>1.4606135894969312</v>
      </c>
      <c r="N397" s="304">
        <f t="shared" ca="1" si="191"/>
        <v>83.686994177627909</v>
      </c>
      <c r="P397" s="310">
        <f t="shared" ca="1" si="192"/>
        <v>13</v>
      </c>
      <c r="Q397" s="304">
        <f t="shared" ca="1" si="193"/>
        <v>634.4500000000055</v>
      </c>
      <c r="R397" s="306">
        <f t="shared" ca="1" si="194"/>
        <v>0.31781647291536036</v>
      </c>
      <c r="S397" s="307">
        <f t="shared" ca="1" si="195"/>
        <v>6.6100616841513782</v>
      </c>
      <c r="T397" s="304">
        <f t="shared" ca="1" si="175"/>
        <v>64.844705121525024</v>
      </c>
      <c r="U397" s="311">
        <f t="shared" ca="1" si="176"/>
        <v>0</v>
      </c>
      <c r="V397" s="306">
        <f t="shared" ca="1" si="177"/>
        <v>1.1331088545607269</v>
      </c>
      <c r="W397" s="304">
        <f t="shared" ca="1" si="178"/>
        <v>350.0238887701326</v>
      </c>
      <c r="Y397" s="314" t="str">
        <f t="shared" ca="1" si="196"/>
        <v/>
      </c>
      <c r="Z397" s="315" t="str">
        <f t="shared" ca="1" si="197"/>
        <v/>
      </c>
      <c r="AA397" s="316" t="str">
        <f t="shared" ca="1" si="198"/>
        <v/>
      </c>
      <c r="AC397" s="310" t="e">
        <f t="shared" ca="1" si="199"/>
        <v>#N/A</v>
      </c>
      <c r="AD397" s="323" t="e">
        <f t="shared" ca="1" si="200"/>
        <v>#N/A</v>
      </c>
      <c r="AE397" s="324">
        <f t="shared" ca="1" si="179"/>
        <v>779.36304985709285</v>
      </c>
      <c r="AG397" s="306">
        <f t="shared" ca="1" si="201"/>
        <v>33.36588606978664</v>
      </c>
      <c r="AH397" s="304">
        <f t="shared" ca="1" si="202"/>
        <v>43.116432970685821</v>
      </c>
    </row>
    <row r="398" spans="1:34" x14ac:dyDescent="0.2">
      <c r="A398" s="347">
        <f t="shared" ca="1" si="180"/>
        <v>0.01</v>
      </c>
      <c r="B398" s="304">
        <f t="shared" ca="1" si="181"/>
        <v>3.93999999999996</v>
      </c>
      <c r="D398" s="306">
        <f t="shared" ca="1" si="182"/>
        <v>4.7107987368050459</v>
      </c>
      <c r="E398" s="307">
        <f t="shared" ca="1" si="183"/>
        <v>32.771260938692166</v>
      </c>
      <c r="F398" s="304">
        <f t="shared" ca="1" si="184"/>
        <v>33.108113329673962</v>
      </c>
      <c r="G398" s="306">
        <f t="shared" ca="1" si="185"/>
        <v>37.078200631878602</v>
      </c>
      <c r="H398" s="307">
        <f t="shared" ca="1" si="186"/>
        <v>335.05451942903585</v>
      </c>
      <c r="I398" s="304">
        <f t="shared" ca="1" si="187"/>
        <v>337.09987237007374</v>
      </c>
      <c r="J398" s="306">
        <f t="shared" ca="1" si="188"/>
        <v>82.286232379737484</v>
      </c>
      <c r="K398" s="307">
        <f t="shared" ca="1" si="189"/>
        <v>782.71195648833623</v>
      </c>
      <c r="L398" s="304">
        <f t="shared" ca="1" si="174"/>
        <v>787.02543216153526</v>
      </c>
      <c r="M398" s="306">
        <f t="shared" ca="1" si="190"/>
        <v>1.4605815898724848</v>
      </c>
      <c r="N398" s="304">
        <f t="shared" ca="1" si="191"/>
        <v>83.685160734201119</v>
      </c>
      <c r="P398" s="310">
        <f t="shared" ca="1" si="192"/>
        <v>13</v>
      </c>
      <c r="Q398" s="304">
        <f t="shared" ca="1" si="193"/>
        <v>633.07000000000551</v>
      </c>
      <c r="R398" s="306">
        <f t="shared" ca="1" si="194"/>
        <v>0.31712518639534587</v>
      </c>
      <c r="S398" s="307">
        <f t="shared" ca="1" si="195"/>
        <v>6.6068904322874245</v>
      </c>
      <c r="T398" s="304">
        <f t="shared" ca="1" si="175"/>
        <v>64.813595140739636</v>
      </c>
      <c r="U398" s="311">
        <f t="shared" ca="1" si="176"/>
        <v>0</v>
      </c>
      <c r="V398" s="306">
        <f t="shared" ca="1" si="177"/>
        <v>1.1327288711208001</v>
      </c>
      <c r="W398" s="304">
        <f t="shared" ca="1" si="178"/>
        <v>350.59447618784145</v>
      </c>
      <c r="Y398" s="314" t="str">
        <f t="shared" ca="1" si="196"/>
        <v/>
      </c>
      <c r="Z398" s="315" t="str">
        <f t="shared" ca="1" si="197"/>
        <v/>
      </c>
      <c r="AA398" s="316" t="str">
        <f t="shared" ca="1" si="198"/>
        <v/>
      </c>
      <c r="AC398" s="310" t="e">
        <f t="shared" ca="1" si="199"/>
        <v>#N/A</v>
      </c>
      <c r="AD398" s="323" t="e">
        <f t="shared" ca="1" si="200"/>
        <v>#N/A</v>
      </c>
      <c r="AE398" s="324">
        <f t="shared" ca="1" si="179"/>
        <v>782.71195648833623</v>
      </c>
      <c r="AG398" s="306">
        <f t="shared" ca="1" si="201"/>
        <v>33.090535801139225</v>
      </c>
      <c r="AH398" s="304">
        <f t="shared" ca="1" si="202"/>
        <v>42.841048164904599</v>
      </c>
    </row>
    <row r="399" spans="1:34" x14ac:dyDescent="0.2">
      <c r="A399" s="347">
        <f t="shared" ca="1" si="180"/>
        <v>0.01</v>
      </c>
      <c r="B399" s="304">
        <f t="shared" ca="1" si="181"/>
        <v>3.9499999999999598</v>
      </c>
      <c r="D399" s="306">
        <f t="shared" ca="1" si="182"/>
        <v>4.6819302612648199</v>
      </c>
      <c r="E399" s="307">
        <f t="shared" ca="1" si="183"/>
        <v>32.497929375074008</v>
      </c>
      <c r="F399" s="304">
        <f t="shared" ca="1" si="184"/>
        <v>32.83345678783526</v>
      </c>
      <c r="G399" s="306">
        <f t="shared" ca="1" si="185"/>
        <v>37.125019934491249</v>
      </c>
      <c r="H399" s="307">
        <f t="shared" ca="1" si="186"/>
        <v>335.37949872278659</v>
      </c>
      <c r="I399" s="304">
        <f t="shared" ca="1" si="187"/>
        <v>337.4280297614352</v>
      </c>
      <c r="J399" s="306">
        <f t="shared" ca="1" si="188"/>
        <v>82.657248482569329</v>
      </c>
      <c r="K399" s="307">
        <f t="shared" ca="1" si="189"/>
        <v>786.06412657909539</v>
      </c>
      <c r="L399" s="304">
        <f t="shared" ca="1" si="174"/>
        <v>790.3980211395176</v>
      </c>
      <c r="M399" s="306">
        <f t="shared" ca="1" si="190"/>
        <v>1.4605496121217145</v>
      </c>
      <c r="N399" s="304">
        <f t="shared" ca="1" si="191"/>
        <v>83.683328544043661</v>
      </c>
      <c r="P399" s="310">
        <f t="shared" ca="1" si="192"/>
        <v>13</v>
      </c>
      <c r="Q399" s="304">
        <f t="shared" ca="1" si="193"/>
        <v>631.69000000000551</v>
      </c>
      <c r="R399" s="306">
        <f t="shared" ca="1" si="194"/>
        <v>0.31643389987533138</v>
      </c>
      <c r="S399" s="307">
        <f t="shared" ca="1" si="195"/>
        <v>6.603726093288671</v>
      </c>
      <c r="T399" s="304">
        <f t="shared" ca="1" si="175"/>
        <v>64.782552975161863</v>
      </c>
      <c r="U399" s="311">
        <f t="shared" ca="1" si="176"/>
        <v>0</v>
      </c>
      <c r="V399" s="306">
        <f t="shared" ca="1" si="177"/>
        <v>1.1323486400123153</v>
      </c>
      <c r="W399" s="304">
        <f t="shared" ca="1" si="178"/>
        <v>351.15948068995539</v>
      </c>
      <c r="Y399" s="314" t="str">
        <f t="shared" ca="1" si="196"/>
        <v/>
      </c>
      <c r="Z399" s="315" t="str">
        <f t="shared" ca="1" si="197"/>
        <v/>
      </c>
      <c r="AA399" s="316" t="str">
        <f t="shared" ca="1" si="198"/>
        <v/>
      </c>
      <c r="AC399" s="310" t="e">
        <f t="shared" ca="1" si="199"/>
        <v>#N/A</v>
      </c>
      <c r="AD399" s="323" t="e">
        <f t="shared" ca="1" si="200"/>
        <v>#N/A</v>
      </c>
      <c r="AE399" s="324">
        <f t="shared" ca="1" si="179"/>
        <v>786.06412657909539</v>
      </c>
      <c r="AG399" s="306">
        <f t="shared" ca="1" si="201"/>
        <v>32.815721883844489</v>
      </c>
      <c r="AH399" s="304">
        <f t="shared" ca="1" si="202"/>
        <v>42.566199724401024</v>
      </c>
    </row>
    <row r="400" spans="1:34" x14ac:dyDescent="0.2">
      <c r="A400" s="347">
        <f t="shared" ca="1" si="180"/>
        <v>0.01</v>
      </c>
      <c r="B400" s="304">
        <f t="shared" ca="1" si="181"/>
        <v>3.9599999999999596</v>
      </c>
      <c r="D400" s="306">
        <f t="shared" ca="1" si="182"/>
        <v>4.6531025712337435</v>
      </c>
      <c r="E400" s="307">
        <f t="shared" ca="1" si="183"/>
        <v>32.225134542681779</v>
      </c>
      <c r="F400" s="304">
        <f t="shared" ca="1" si="184"/>
        <v>32.559340592714165</v>
      </c>
      <c r="G400" s="306">
        <f t="shared" ca="1" si="185"/>
        <v>37.171550960203589</v>
      </c>
      <c r="H400" s="307">
        <f t="shared" ca="1" si="186"/>
        <v>335.70175006821341</v>
      </c>
      <c r="I400" s="304">
        <f t="shared" ca="1" si="187"/>
        <v>337.75344439346321</v>
      </c>
      <c r="J400" s="306">
        <f t="shared" ca="1" si="188"/>
        <v>83.0287313370428</v>
      </c>
      <c r="K400" s="307">
        <f t="shared" ca="1" si="189"/>
        <v>789.41953282305042</v>
      </c>
      <c r="L400" s="304">
        <f t="shared" ca="1" si="174"/>
        <v>793.77387776998683</v>
      </c>
      <c r="M400" s="306">
        <f t="shared" ca="1" si="190"/>
        <v>1.4605176559489625</v>
      </c>
      <c r="N400" s="304">
        <f t="shared" ca="1" si="191"/>
        <v>83.681497590215585</v>
      </c>
      <c r="P400" s="310">
        <f t="shared" ca="1" si="192"/>
        <v>13</v>
      </c>
      <c r="Q400" s="304">
        <f t="shared" ca="1" si="193"/>
        <v>630.31000000000563</v>
      </c>
      <c r="R400" s="306">
        <f t="shared" ca="1" si="194"/>
        <v>0.31574261335531695</v>
      </c>
      <c r="S400" s="307">
        <f t="shared" ca="1" si="195"/>
        <v>6.6005686671551178</v>
      </c>
      <c r="T400" s="304">
        <f t="shared" ca="1" si="175"/>
        <v>64.751578624791705</v>
      </c>
      <c r="U400" s="311">
        <f t="shared" ca="1" si="176"/>
        <v>0</v>
      </c>
      <c r="V400" s="306">
        <f t="shared" ca="1" si="177"/>
        <v>1.1319681646299513</v>
      </c>
      <c r="W400" s="304">
        <f t="shared" ca="1" si="178"/>
        <v>351.71890248694592</v>
      </c>
      <c r="Y400" s="314" t="str">
        <f t="shared" ca="1" si="196"/>
        <v/>
      </c>
      <c r="Z400" s="315" t="str">
        <f t="shared" ca="1" si="197"/>
        <v/>
      </c>
      <c r="AA400" s="316" t="str">
        <f t="shared" ca="1" si="198"/>
        <v/>
      </c>
      <c r="AC400" s="310" t="e">
        <f t="shared" ca="1" si="199"/>
        <v>#N/A</v>
      </c>
      <c r="AD400" s="323" t="e">
        <f t="shared" ca="1" si="200"/>
        <v>#N/A</v>
      </c>
      <c r="AE400" s="324">
        <f t="shared" ca="1" si="179"/>
        <v>789.41953282305042</v>
      </c>
      <c r="AG400" s="306">
        <f t="shared" ca="1" si="201"/>
        <v>32.541445957161592</v>
      </c>
      <c r="AH400" s="304">
        <f t="shared" ca="1" si="202"/>
        <v>42.291889288133973</v>
      </c>
    </row>
    <row r="401" spans="1:34" x14ac:dyDescent="0.2">
      <c r="A401" s="347">
        <f t="shared" ca="1" si="180"/>
        <v>0.01</v>
      </c>
      <c r="B401" s="304">
        <f t="shared" ca="1" si="181"/>
        <v>3.9699999999999593</v>
      </c>
      <c r="D401" s="306">
        <f t="shared" ca="1" si="182"/>
        <v>4.6243159247495615</v>
      </c>
      <c r="E401" s="307">
        <f t="shared" ca="1" si="183"/>
        <v>31.952878026497991</v>
      </c>
      <c r="F401" s="304">
        <f t="shared" ca="1" si="184"/>
        <v>32.285766398649272</v>
      </c>
      <c r="G401" s="306">
        <f t="shared" ca="1" si="185"/>
        <v>37.217794119451085</v>
      </c>
      <c r="H401" s="307">
        <f t="shared" ca="1" si="186"/>
        <v>336.0212788484784</v>
      </c>
      <c r="I401" s="304">
        <f t="shared" ca="1" si="187"/>
        <v>338.07612166209657</v>
      </c>
      <c r="J401" s="306">
        <f t="shared" ca="1" si="188"/>
        <v>83.400678062441074</v>
      </c>
      <c r="K401" s="307">
        <f t="shared" ca="1" si="189"/>
        <v>792.77814796763391</v>
      </c>
      <c r="L401" s="304">
        <f t="shared" ca="1" si="174"/>
        <v>797.15297465183346</v>
      </c>
      <c r="M401" s="306">
        <f t="shared" ca="1" si="190"/>
        <v>1.4604857210603743</v>
      </c>
      <c r="N401" s="304">
        <f t="shared" ca="1" si="191"/>
        <v>83.679667855880254</v>
      </c>
      <c r="P401" s="310">
        <f t="shared" ca="1" si="192"/>
        <v>13</v>
      </c>
      <c r="Q401" s="304">
        <f t="shared" ca="1" si="193"/>
        <v>628.93000000000563</v>
      </c>
      <c r="R401" s="306">
        <f t="shared" ca="1" si="194"/>
        <v>0.31505132683530246</v>
      </c>
      <c r="S401" s="307">
        <f t="shared" ca="1" si="195"/>
        <v>6.5974181538867649</v>
      </c>
      <c r="T401" s="304">
        <f t="shared" ca="1" si="175"/>
        <v>64.720672089629161</v>
      </c>
      <c r="U401" s="311">
        <f t="shared" ca="1" si="176"/>
        <v>0</v>
      </c>
      <c r="V401" s="306">
        <f t="shared" ca="1" si="177"/>
        <v>1.1315874483583355</v>
      </c>
      <c r="W401" s="304">
        <f t="shared" ca="1" si="178"/>
        <v>352.27274202408461</v>
      </c>
      <c r="Y401" s="314" t="str">
        <f t="shared" ca="1" si="196"/>
        <v/>
      </c>
      <c r="Z401" s="315" t="str">
        <f t="shared" ca="1" si="197"/>
        <v/>
      </c>
      <c r="AA401" s="316" t="str">
        <f t="shared" ca="1" si="198"/>
        <v/>
      </c>
      <c r="AC401" s="310" t="e">
        <f t="shared" ca="1" si="199"/>
        <v>#N/A</v>
      </c>
      <c r="AD401" s="323" t="e">
        <f t="shared" ca="1" si="200"/>
        <v>#N/A</v>
      </c>
      <c r="AE401" s="324">
        <f t="shared" ca="1" si="179"/>
        <v>792.77814796763391</v>
      </c>
      <c r="AG401" s="306">
        <f t="shared" ca="1" si="201"/>
        <v>32.26770962420828</v>
      </c>
      <c r="AH401" s="304">
        <f t="shared" ca="1" si="202"/>
        <v>42.018118458922473</v>
      </c>
    </row>
    <row r="402" spans="1:34" x14ac:dyDescent="0.2">
      <c r="A402" s="347">
        <f t="shared" ca="1" si="180"/>
        <v>0.01</v>
      </c>
      <c r="B402" s="304">
        <f t="shared" ca="1" si="181"/>
        <v>3.9799999999999591</v>
      </c>
      <c r="D402" s="306">
        <f t="shared" ca="1" si="182"/>
        <v>4.5955705756306973</v>
      </c>
      <c r="E402" s="307">
        <f t="shared" ca="1" si="183"/>
        <v>31.681161375811275</v>
      </c>
      <c r="F402" s="304">
        <f t="shared" ca="1" si="184"/>
        <v>32.012735825539792</v>
      </c>
      <c r="G402" s="306">
        <f t="shared" ca="1" si="185"/>
        <v>37.263749825207391</v>
      </c>
      <c r="H402" s="307">
        <f t="shared" ca="1" si="186"/>
        <v>336.33809046223649</v>
      </c>
      <c r="I402" s="304">
        <f t="shared" ca="1" si="187"/>
        <v>338.3960669789459</v>
      </c>
      <c r="J402" s="306">
        <f t="shared" ca="1" si="188"/>
        <v>83.773085782164372</v>
      </c>
      <c r="K402" s="307">
        <f t="shared" ca="1" si="189"/>
        <v>796.13994481418752</v>
      </c>
      <c r="L402" s="304">
        <f t="shared" ca="1" si="174"/>
        <v>800.53528443798371</v>
      </c>
      <c r="M402" s="306">
        <f t="shared" ca="1" si="190"/>
        <v>1.4604538071638782</v>
      </c>
      <c r="N402" s="304">
        <f t="shared" ca="1" si="191"/>
        <v>83.677839324303207</v>
      </c>
      <c r="P402" s="310">
        <f t="shared" ca="1" si="192"/>
        <v>13</v>
      </c>
      <c r="Q402" s="304">
        <f t="shared" ca="1" si="193"/>
        <v>627.55000000000564</v>
      </c>
      <c r="R402" s="306">
        <f t="shared" ca="1" si="194"/>
        <v>0.31436004031528797</v>
      </c>
      <c r="S402" s="307">
        <f t="shared" ca="1" si="195"/>
        <v>6.5942745534836122</v>
      </c>
      <c r="T402" s="304">
        <f t="shared" ca="1" si="175"/>
        <v>64.689833369674233</v>
      </c>
      <c r="U402" s="311">
        <f t="shared" ca="1" si="176"/>
        <v>0</v>
      </c>
      <c r="V402" s="306">
        <f t="shared" ca="1" si="177"/>
        <v>1.1312064945720295</v>
      </c>
      <c r="W402" s="304">
        <f t="shared" ca="1" si="178"/>
        <v>352.82099997940605</v>
      </c>
      <c r="Y402" s="314" t="str">
        <f t="shared" ca="1" si="196"/>
        <v/>
      </c>
      <c r="Z402" s="315" t="str">
        <f t="shared" ca="1" si="197"/>
        <v/>
      </c>
      <c r="AA402" s="316" t="str">
        <f t="shared" ca="1" si="198"/>
        <v/>
      </c>
      <c r="AC402" s="310" t="e">
        <f t="shared" ca="1" si="199"/>
        <v>#N/A</v>
      </c>
      <c r="AD402" s="323" t="e">
        <f t="shared" ca="1" si="200"/>
        <v>#N/A</v>
      </c>
      <c r="AE402" s="324">
        <f t="shared" ca="1" si="179"/>
        <v>796.13994481418752</v>
      </c>
      <c r="AG402" s="306">
        <f t="shared" ca="1" si="201"/>
        <v>31.994514452166513</v>
      </c>
      <c r="AH402" s="304">
        <f t="shared" ca="1" si="202"/>
        <v>41.744888803651349</v>
      </c>
    </row>
    <row r="403" spans="1:34" x14ac:dyDescent="0.2">
      <c r="A403" s="347">
        <f t="shared" ca="1" si="180"/>
        <v>0.01</v>
      </c>
      <c r="B403" s="304">
        <f t="shared" ca="1" si="181"/>
        <v>3.9899999999999589</v>
      </c>
      <c r="D403" s="306">
        <f t="shared" ca="1" si="182"/>
        <v>4.5668667734978463</v>
      </c>
      <c r="E403" s="307">
        <f t="shared" ca="1" si="183"/>
        <v>31.409986104421868</v>
      </c>
      <c r="F403" s="304">
        <f t="shared" ca="1" si="184"/>
        <v>31.740250459107177</v>
      </c>
      <c r="G403" s="306">
        <f t="shared" ca="1" si="185"/>
        <v>37.30941849294237</v>
      </c>
      <c r="H403" s="307">
        <f t="shared" ca="1" si="186"/>
        <v>336.65219032328071</v>
      </c>
      <c r="I403" s="304">
        <f t="shared" ca="1" si="187"/>
        <v>338.71328577093624</v>
      </c>
      <c r="J403" s="306">
        <f t="shared" ca="1" si="188"/>
        <v>84.145951623755124</v>
      </c>
      <c r="K403" s="307">
        <f t="shared" ca="1" si="189"/>
        <v>799.50489621811505</v>
      </c>
      <c r="L403" s="304">
        <f t="shared" ca="1" si="174"/>
        <v>803.92077983555453</v>
      </c>
      <c r="M403" s="306">
        <f t="shared" ca="1" si="190"/>
        <v>1.4604219139691645</v>
      </c>
      <c r="N403" s="304">
        <f t="shared" ca="1" si="191"/>
        <v>83.676011978850937</v>
      </c>
      <c r="P403" s="310">
        <f t="shared" ca="1" si="192"/>
        <v>13</v>
      </c>
      <c r="Q403" s="304">
        <f t="shared" ca="1" si="193"/>
        <v>626.17000000000564</v>
      </c>
      <c r="R403" s="306">
        <f t="shared" ca="1" si="194"/>
        <v>0.31366875379527348</v>
      </c>
      <c r="S403" s="307">
        <f t="shared" ca="1" si="195"/>
        <v>6.5911378659456599</v>
      </c>
      <c r="T403" s="304">
        <f t="shared" ca="1" si="175"/>
        <v>64.659062464926933</v>
      </c>
      <c r="U403" s="311">
        <f t="shared" ca="1" si="176"/>
        <v>0</v>
      </c>
      <c r="V403" s="306">
        <f t="shared" ca="1" si="177"/>
        <v>1.1308253066355183</v>
      </c>
      <c r="W403" s="304">
        <f t="shared" ca="1" si="178"/>
        <v>353.36367726167265</v>
      </c>
      <c r="Y403" s="314" t="str">
        <f t="shared" ca="1" si="196"/>
        <v/>
      </c>
      <c r="Z403" s="315" t="str">
        <f t="shared" ca="1" si="197"/>
        <v/>
      </c>
      <c r="AA403" s="316" t="str">
        <f t="shared" ca="1" si="198"/>
        <v/>
      </c>
      <c r="AC403" s="310" t="e">
        <f t="shared" ca="1" si="199"/>
        <v>#N/A</v>
      </c>
      <c r="AD403" s="323" t="e">
        <f t="shared" ca="1" si="200"/>
        <v>#N/A</v>
      </c>
      <c r="AE403" s="324">
        <f t="shared" ca="1" si="179"/>
        <v>799.50489621811505</v>
      </c>
      <c r="AG403" s="306">
        <f t="shared" ca="1" si="201"/>
        <v>31.721861972489137</v>
      </c>
      <c r="AH403" s="304">
        <f t="shared" ca="1" si="202"/>
        <v>41.472201853477841</v>
      </c>
    </row>
    <row r="404" spans="1:34" x14ac:dyDescent="0.2">
      <c r="A404" s="347">
        <f t="shared" ca="1" si="180"/>
        <v>0.01</v>
      </c>
      <c r="B404" s="304">
        <f t="shared" ca="1" si="181"/>
        <v>3.9999999999999587</v>
      </c>
      <c r="D404" s="306">
        <f t="shared" ca="1" si="182"/>
        <v>4.5382047637957168</v>
      </c>
      <c r="E404" s="307">
        <f t="shared" ca="1" si="183"/>
        <v>31.139353690848338</v>
      </c>
      <c r="F404" s="304">
        <f t="shared" ca="1" si="184"/>
        <v>31.468311851160497</v>
      </c>
      <c r="G404" s="306">
        <f t="shared" ca="1" si="185"/>
        <v>37.354800540580328</v>
      </c>
      <c r="H404" s="307">
        <f t="shared" ca="1" si="186"/>
        <v>336.9635838601892</v>
      </c>
      <c r="I404" s="304">
        <f t="shared" ca="1" si="187"/>
        <v>339.02778347995212</v>
      </c>
      <c r="J404" s="306">
        <f t="shared" ca="1" si="188"/>
        <v>84.519272718922736</v>
      </c>
      <c r="K404" s="307">
        <f t="shared" ca="1" si="189"/>
        <v>802.87297508903237</v>
      </c>
      <c r="L404" s="304">
        <f t="shared" ca="1" si="174"/>
        <v>807.30943360600565</v>
      </c>
      <c r="M404" s="306">
        <f t="shared" ca="1" si="190"/>
        <v>1.4603900411876667</v>
      </c>
      <c r="N404" s="304">
        <f t="shared" ca="1" si="191"/>
        <v>83.674185802989768</v>
      </c>
      <c r="P404" s="310">
        <f t="shared" ca="1" si="192"/>
        <v>13</v>
      </c>
      <c r="Q404" s="304">
        <f t="shared" ca="1" si="193"/>
        <v>624.79000000000565</v>
      </c>
      <c r="R404" s="306">
        <f t="shared" ca="1" si="194"/>
        <v>0.31297746727525899</v>
      </c>
      <c r="S404" s="307">
        <f t="shared" ca="1" si="195"/>
        <v>6.5880080912729069</v>
      </c>
      <c r="T404" s="304">
        <f t="shared" ca="1" si="175"/>
        <v>64.62835937538722</v>
      </c>
      <c r="U404" s="311">
        <f t="shared" ca="1" si="176"/>
        <v>0</v>
      </c>
      <c r="V404" s="306">
        <f t="shared" ca="1" si="177"/>
        <v>1.1304438879031946</v>
      </c>
      <c r="W404" s="304">
        <f t="shared" ca="1" si="178"/>
        <v>353.90077500833877</v>
      </c>
      <c r="Y404" s="314" t="str">
        <f t="shared" ca="1" si="196"/>
        <v/>
      </c>
      <c r="Z404" s="315" t="str">
        <f t="shared" ca="1" si="197"/>
        <v/>
      </c>
      <c r="AA404" s="316" t="str">
        <f t="shared" ca="1" si="198"/>
        <v/>
      </c>
      <c r="AC404" s="310">
        <f t="shared" ca="1" si="199"/>
        <v>3.9999999999999587</v>
      </c>
      <c r="AD404" s="323">
        <f t="shared" ca="1" si="200"/>
        <v>84.519272718922736</v>
      </c>
      <c r="AE404" s="324">
        <f t="shared" ca="1" si="179"/>
        <v>802.87297508903237</v>
      </c>
      <c r="AG404" s="306">
        <f t="shared" ca="1" si="201"/>
        <v>31.44975368110758</v>
      </c>
      <c r="AH404" s="304">
        <f t="shared" ca="1" si="202"/>
        <v>41.200059104039312</v>
      </c>
    </row>
    <row r="405" spans="1:34" x14ac:dyDescent="0.2">
      <c r="A405" s="347">
        <f t="shared" ca="1" si="180"/>
        <v>0.01</v>
      </c>
      <c r="B405" s="304">
        <f t="shared" ca="1" si="181"/>
        <v>4.0099999999999589</v>
      </c>
      <c r="D405" s="306">
        <f t="shared" ca="1" si="182"/>
        <v>4.5020535854325621</v>
      </c>
      <c r="E405" s="307">
        <f t="shared" ca="1" si="183"/>
        <v>30.801329438901682</v>
      </c>
      <c r="F405" s="304">
        <f t="shared" ca="1" si="184"/>
        <v>31.128610339844236</v>
      </c>
      <c r="G405" s="306">
        <f t="shared" ca="1" si="185"/>
        <v>37.399821076434655</v>
      </c>
      <c r="H405" s="307">
        <f t="shared" ca="1" si="186"/>
        <v>337.27159715457822</v>
      </c>
      <c r="I405" s="304">
        <f t="shared" ca="1" si="187"/>
        <v>339.33888203939938</v>
      </c>
      <c r="J405" s="306">
        <f t="shared" ca="1" si="188"/>
        <v>84.893045827007811</v>
      </c>
      <c r="K405" s="307">
        <f t="shared" ca="1" si="189"/>
        <v>806.24415099410623</v>
      </c>
      <c r="L405" s="304">
        <f t="shared" ca="1" si="174"/>
        <v>810.70121514772234</v>
      </c>
      <c r="M405" s="306">
        <f t="shared" ca="1" si="190"/>
        <v>1.4603581884683801</v>
      </c>
      <c r="N405" s="304">
        <f t="shared" ca="1" si="191"/>
        <v>83.672360776608627</v>
      </c>
      <c r="P405" s="310">
        <f t="shared" ca="1" si="192"/>
        <v>14</v>
      </c>
      <c r="Q405" s="304">
        <f t="shared" ca="1" si="193"/>
        <v>622.96000000000936</v>
      </c>
      <c r="R405" s="306">
        <f t="shared" ca="1" si="194"/>
        <v>0.31206076123785031</v>
      </c>
      <c r="S405" s="307">
        <f t="shared" ca="1" si="195"/>
        <v>6.5848874836605287</v>
      </c>
      <c r="T405" s="304">
        <f t="shared" ca="1" si="175"/>
        <v>64.597746214709787</v>
      </c>
      <c r="U405" s="311">
        <f t="shared" ca="1" si="176"/>
        <v>0</v>
      </c>
      <c r="V405" s="306">
        <f t="shared" ca="1" si="177"/>
        <v>1.130062242103836</v>
      </c>
      <c r="W405" s="304">
        <f t="shared" ca="1" si="178"/>
        <v>354.43086685757254</v>
      </c>
      <c r="Y405" s="314" t="str">
        <f t="shared" ca="1" si="196"/>
        <v/>
      </c>
      <c r="Z405" s="315" t="str">
        <f t="shared" ca="1" si="197"/>
        <v/>
      </c>
      <c r="AA405" s="316" t="str">
        <f t="shared" ca="1" si="198"/>
        <v/>
      </c>
      <c r="AC405" s="310" t="e">
        <f t="shared" ca="1" si="199"/>
        <v>#N/A</v>
      </c>
      <c r="AD405" s="323" t="e">
        <f t="shared" ca="1" si="200"/>
        <v>#N/A</v>
      </c>
      <c r="AE405" s="324">
        <f t="shared" ca="1" si="179"/>
        <v>806.24415099410623</v>
      </c>
      <c r="AG405" s="306">
        <f t="shared" ca="1" si="201"/>
        <v>31.109838730138136</v>
      </c>
      <c r="AH405" s="304">
        <f t="shared" ca="1" si="202"/>
        <v>40.860109707159488</v>
      </c>
    </row>
    <row r="406" spans="1:34" x14ac:dyDescent="0.2">
      <c r="A406" s="347">
        <f t="shared" ca="1" si="180"/>
        <v>0.01</v>
      </c>
      <c r="B406" s="304">
        <f t="shared" ca="1" si="181"/>
        <v>4.0199999999999587</v>
      </c>
      <c r="D406" s="306">
        <f t="shared" ca="1" si="182"/>
        <v>4.4584187138649822</v>
      </c>
      <c r="E406" s="307">
        <f t="shared" ca="1" si="183"/>
        <v>30.396021235662289</v>
      </c>
      <c r="F406" s="304">
        <f t="shared" ca="1" si="184"/>
        <v>30.721256556120458</v>
      </c>
      <c r="G406" s="306">
        <f t="shared" ca="1" si="185"/>
        <v>37.444405263573302</v>
      </c>
      <c r="H406" s="307">
        <f t="shared" ca="1" si="186"/>
        <v>337.57555736693485</v>
      </c>
      <c r="I406" s="304">
        <f t="shared" ca="1" si="187"/>
        <v>339.64590446101278</v>
      </c>
      <c r="J406" s="306">
        <f t="shared" ca="1" si="188"/>
        <v>85.26726695870785</v>
      </c>
      <c r="K406" s="307">
        <f t="shared" ca="1" si="189"/>
        <v>809.6183867667138</v>
      </c>
      <c r="L406" s="304">
        <f t="shared" ca="1" si="174"/>
        <v>814.09608708391647</v>
      </c>
      <c r="M406" s="306">
        <f t="shared" ca="1" si="190"/>
        <v>1.4603263553983163</v>
      </c>
      <c r="N406" s="304">
        <f t="shared" ca="1" si="191"/>
        <v>83.670536876045034</v>
      </c>
      <c r="P406" s="310">
        <f t="shared" ca="1" si="192"/>
        <v>14</v>
      </c>
      <c r="Q406" s="304">
        <f t="shared" ca="1" si="193"/>
        <v>620.68000000000939</v>
      </c>
      <c r="R406" s="306">
        <f t="shared" ca="1" si="194"/>
        <v>0.31091863568304379</v>
      </c>
      <c r="S406" s="307">
        <f t="shared" ca="1" si="195"/>
        <v>6.581778297303698</v>
      </c>
      <c r="T406" s="304">
        <f t="shared" ca="1" si="175"/>
        <v>64.567245096549286</v>
      </c>
      <c r="U406" s="311">
        <f t="shared" ca="1" si="176"/>
        <v>0</v>
      </c>
      <c r="V406" s="306">
        <f t="shared" ca="1" si="177"/>
        <v>1.1296803737237278</v>
      </c>
      <c r="W406" s="304">
        <f t="shared" ca="1" si="178"/>
        <v>354.95252588532617</v>
      </c>
      <c r="Y406" s="314" t="str">
        <f t="shared" ca="1" si="196"/>
        <v/>
      </c>
      <c r="Z406" s="315" t="str">
        <f t="shared" ca="1" si="197"/>
        <v/>
      </c>
      <c r="AA406" s="316" t="str">
        <f t="shared" ca="1" si="198"/>
        <v/>
      </c>
      <c r="AC406" s="310" t="e">
        <f t="shared" ca="1" si="199"/>
        <v>#N/A</v>
      </c>
      <c r="AD406" s="323" t="e">
        <f t="shared" ca="1" si="200"/>
        <v>#N/A</v>
      </c>
      <c r="AE406" s="324">
        <f t="shared" ca="1" si="179"/>
        <v>809.6183867667138</v>
      </c>
      <c r="AG406" s="306">
        <f t="shared" ca="1" si="201"/>
        <v>30.702224952426839</v>
      </c>
      <c r="AH406" s="304">
        <f t="shared" ca="1" si="202"/>
        <v>40.452461495323973</v>
      </c>
    </row>
    <row r="407" spans="1:34" x14ac:dyDescent="0.2">
      <c r="A407" s="347">
        <f t="shared" ca="1" si="180"/>
        <v>0.01</v>
      </c>
      <c r="B407" s="304">
        <f t="shared" ca="1" si="181"/>
        <v>4.0299999999999585</v>
      </c>
      <c r="D407" s="306">
        <f t="shared" ca="1" si="182"/>
        <v>4.4148484171831228</v>
      </c>
      <c r="E407" s="307">
        <f t="shared" ca="1" si="183"/>
        <v>29.991537896796565</v>
      </c>
      <c r="F407" s="304">
        <f t="shared" ca="1" si="184"/>
        <v>30.314736217913705</v>
      </c>
      <c r="G407" s="306">
        <f t="shared" ca="1" si="185"/>
        <v>37.488553747745129</v>
      </c>
      <c r="H407" s="307">
        <f t="shared" ca="1" si="186"/>
        <v>337.87547274590281</v>
      </c>
      <c r="I407" s="304">
        <f t="shared" ca="1" si="187"/>
        <v>339.94885901465369</v>
      </c>
      <c r="J407" s="306">
        <f t="shared" ca="1" si="188"/>
        <v>85.641931753764439</v>
      </c>
      <c r="K407" s="307">
        <f t="shared" ca="1" si="189"/>
        <v>812.99564191727802</v>
      </c>
      <c r="L407" s="304">
        <f t="shared" ca="1" si="174"/>
        <v>817.49400869425551</v>
      </c>
      <c r="M407" s="306">
        <f t="shared" ca="1" si="190"/>
        <v>1.4602945415669681</v>
      </c>
      <c r="N407" s="304">
        <f t="shared" ca="1" si="191"/>
        <v>83.668714077778631</v>
      </c>
      <c r="P407" s="310">
        <f t="shared" ca="1" si="192"/>
        <v>14</v>
      </c>
      <c r="Q407" s="304">
        <f t="shared" ca="1" si="193"/>
        <v>618.40000000000941</v>
      </c>
      <c r="R407" s="306">
        <f t="shared" ca="1" si="194"/>
        <v>0.30977651012823726</v>
      </c>
      <c r="S407" s="307">
        <f t="shared" ca="1" si="195"/>
        <v>6.5786805322024158</v>
      </c>
      <c r="T407" s="304">
        <f t="shared" ca="1" si="175"/>
        <v>64.536856020905702</v>
      </c>
      <c r="U407" s="311">
        <f t="shared" ca="1" si="176"/>
        <v>0</v>
      </c>
      <c r="V407" s="306">
        <f t="shared" ca="1" si="177"/>
        <v>1.1292982876195978</v>
      </c>
      <c r="W407" s="304">
        <f t="shared" ca="1" si="178"/>
        <v>355.46575547549656</v>
      </c>
      <c r="Y407" s="314" t="str">
        <f t="shared" ca="1" si="196"/>
        <v/>
      </c>
      <c r="Z407" s="315" t="str">
        <f t="shared" ca="1" si="197"/>
        <v/>
      </c>
      <c r="AA407" s="316" t="str">
        <f t="shared" ca="1" si="198"/>
        <v/>
      </c>
      <c r="AC407" s="310" t="e">
        <f t="shared" ca="1" si="199"/>
        <v>#N/A</v>
      </c>
      <c r="AD407" s="323" t="e">
        <f t="shared" ca="1" si="200"/>
        <v>#N/A</v>
      </c>
      <c r="AE407" s="324">
        <f t="shared" ca="1" si="179"/>
        <v>812.99564191727802</v>
      </c>
      <c r="AG407" s="306">
        <f t="shared" ca="1" si="201"/>
        <v>30.295438160638959</v>
      </c>
      <c r="AH407" s="304">
        <f t="shared" ca="1" si="202"/>
        <v>40.045640280770115</v>
      </c>
    </row>
    <row r="408" spans="1:34" x14ac:dyDescent="0.2">
      <c r="A408" s="347">
        <f t="shared" ca="1" si="180"/>
        <v>0.01</v>
      </c>
      <c r="B408" s="304">
        <f t="shared" ca="1" si="181"/>
        <v>4.0399999999999583</v>
      </c>
      <c r="D408" s="306">
        <f t="shared" ca="1" si="182"/>
        <v>4.3713431199460233</v>
      </c>
      <c r="E408" s="307">
        <f t="shared" ca="1" si="183"/>
        <v>29.58788216757091</v>
      </c>
      <c r="F408" s="304">
        <f t="shared" ca="1" si="184"/>
        <v>29.909052339289524</v>
      </c>
      <c r="G408" s="306">
        <f t="shared" ca="1" si="185"/>
        <v>37.532267178944586</v>
      </c>
      <c r="H408" s="307">
        <f t="shared" ca="1" si="186"/>
        <v>338.17135156757854</v>
      </c>
      <c r="I408" s="304">
        <f t="shared" ca="1" si="187"/>
        <v>340.24775399792793</v>
      </c>
      <c r="J408" s="306">
        <f t="shared" ca="1" si="188"/>
        <v>86.01703585839789</v>
      </c>
      <c r="K408" s="307">
        <f t="shared" ca="1" si="189"/>
        <v>816.37587603884538</v>
      </c>
      <c r="L408" s="304">
        <f t="shared" ca="1" si="174"/>
        <v>820.89493934123948</v>
      </c>
      <c r="M408" s="306">
        <f t="shared" ca="1" si="190"/>
        <v>1.4602627465662725</v>
      </c>
      <c r="N408" s="304">
        <f t="shared" ca="1" si="191"/>
        <v>83.666892358429166</v>
      </c>
      <c r="P408" s="310">
        <f t="shared" ca="1" si="192"/>
        <v>14</v>
      </c>
      <c r="Q408" s="304">
        <f t="shared" ca="1" si="193"/>
        <v>616.12000000000944</v>
      </c>
      <c r="R408" s="306">
        <f t="shared" ca="1" si="194"/>
        <v>0.30863438457343073</v>
      </c>
      <c r="S408" s="307">
        <f t="shared" ca="1" si="195"/>
        <v>6.5755941883566811</v>
      </c>
      <c r="T408" s="304">
        <f t="shared" ca="1" si="175"/>
        <v>64.506578987779051</v>
      </c>
      <c r="U408" s="311">
        <f t="shared" ca="1" si="176"/>
        <v>0</v>
      </c>
      <c r="V408" s="306">
        <f t="shared" ca="1" si="177"/>
        <v>1.1289159886328988</v>
      </c>
      <c r="W408" s="304">
        <f t="shared" ca="1" si="178"/>
        <v>355.97055946052973</v>
      </c>
      <c r="Y408" s="314" t="str">
        <f t="shared" ca="1" si="196"/>
        <v/>
      </c>
      <c r="Z408" s="315" t="str">
        <f t="shared" ca="1" si="197"/>
        <v/>
      </c>
      <c r="AA408" s="316" t="str">
        <f t="shared" ca="1" si="198"/>
        <v/>
      </c>
      <c r="AC408" s="310" t="e">
        <f t="shared" ca="1" si="199"/>
        <v>#N/A</v>
      </c>
      <c r="AD408" s="323" t="e">
        <f t="shared" ca="1" si="200"/>
        <v>#N/A</v>
      </c>
      <c r="AE408" s="324">
        <f t="shared" ca="1" si="179"/>
        <v>816.37587603884538</v>
      </c>
      <c r="AG408" s="306">
        <f t="shared" ca="1" si="201"/>
        <v>29.889481129224883</v>
      </c>
      <c r="AH408" s="304">
        <f t="shared" ca="1" si="202"/>
        <v>39.639648837522536</v>
      </c>
    </row>
    <row r="409" spans="1:34" x14ac:dyDescent="0.2">
      <c r="A409" s="347">
        <f t="shared" ca="1" si="180"/>
        <v>0.01</v>
      </c>
      <c r="B409" s="304">
        <f t="shared" ca="1" si="181"/>
        <v>4.0499999999999581</v>
      </c>
      <c r="D409" s="306">
        <f t="shared" ca="1" si="182"/>
        <v>4.3279032383021967</v>
      </c>
      <c r="E409" s="307">
        <f t="shared" ca="1" si="183"/>
        <v>29.18505672205734</v>
      </c>
      <c r="F409" s="304">
        <f t="shared" ca="1" si="184"/>
        <v>29.50420787463732</v>
      </c>
      <c r="G409" s="306">
        <f t="shared" ca="1" si="185"/>
        <v>37.575546211327605</v>
      </c>
      <c r="H409" s="307">
        <f t="shared" ca="1" si="186"/>
        <v>338.46320213479913</v>
      </c>
      <c r="I409" s="304">
        <f t="shared" ca="1" si="187"/>
        <v>340.54259773546909</v>
      </c>
      <c r="J409" s="306">
        <f t="shared" ca="1" si="188"/>
        <v>86.392574925349251</v>
      </c>
      <c r="K409" s="307">
        <f t="shared" ca="1" si="189"/>
        <v>819.75904880735732</v>
      </c>
      <c r="L409" s="304">
        <f t="shared" ca="1" si="174"/>
        <v>824.29883847047563</v>
      </c>
      <c r="M409" s="306">
        <f t="shared" ca="1" si="190"/>
        <v>1.460230969990574</v>
      </c>
      <c r="N409" s="304">
        <f t="shared" ca="1" si="191"/>
        <v>83.665071694754261</v>
      </c>
      <c r="P409" s="310">
        <f t="shared" ca="1" si="192"/>
        <v>14</v>
      </c>
      <c r="Q409" s="304">
        <f t="shared" ca="1" si="193"/>
        <v>613.84000000000947</v>
      </c>
      <c r="R409" s="306">
        <f t="shared" ca="1" si="194"/>
        <v>0.3074922590186242</v>
      </c>
      <c r="S409" s="307">
        <f t="shared" ca="1" si="195"/>
        <v>6.5725192657664948</v>
      </c>
      <c r="T409" s="304">
        <f t="shared" ca="1" si="175"/>
        <v>64.476413997169317</v>
      </c>
      <c r="U409" s="311">
        <f t="shared" ca="1" si="176"/>
        <v>0</v>
      </c>
      <c r="V409" s="306">
        <f t="shared" ca="1" si="177"/>
        <v>1.1285334815897845</v>
      </c>
      <c r="W409" s="304">
        <f t="shared" ca="1" si="178"/>
        <v>356.46694211700594</v>
      </c>
      <c r="Y409" s="314" t="str">
        <f t="shared" ca="1" si="196"/>
        <v/>
      </c>
      <c r="Z409" s="315" t="str">
        <f t="shared" ca="1" si="197"/>
        <v/>
      </c>
      <c r="AA409" s="316" t="str">
        <f t="shared" ca="1" si="198"/>
        <v/>
      </c>
      <c r="AC409" s="310" t="e">
        <f t="shared" ca="1" si="199"/>
        <v>#N/A</v>
      </c>
      <c r="AD409" s="323" t="e">
        <f t="shared" ca="1" si="200"/>
        <v>#N/A</v>
      </c>
      <c r="AE409" s="324">
        <f t="shared" ca="1" si="179"/>
        <v>819.75904880735732</v>
      </c>
      <c r="AG409" s="306">
        <f t="shared" ca="1" si="201"/>
        <v>29.484356560955419</v>
      </c>
      <c r="AH409" s="304">
        <f t="shared" ca="1" si="202"/>
        <v>39.234489867928396</v>
      </c>
    </row>
    <row r="410" spans="1:34" x14ac:dyDescent="0.2">
      <c r="A410" s="347">
        <f t="shared" ca="1" si="180"/>
        <v>0.01</v>
      </c>
      <c r="B410" s="304">
        <f t="shared" ca="1" si="181"/>
        <v>4.0599999999999579</v>
      </c>
      <c r="D410" s="306">
        <f t="shared" ca="1" si="182"/>
        <v>4.2845291800379215</v>
      </c>
      <c r="E410" s="307">
        <f t="shared" ca="1" si="183"/>
        <v>28.78306416358771</v>
      </c>
      <c r="F410" s="304">
        <f t="shared" ca="1" si="184"/>
        <v>29.10020571988802</v>
      </c>
      <c r="G410" s="306">
        <f t="shared" ca="1" si="185"/>
        <v>37.618391503127981</v>
      </c>
      <c r="H410" s="307">
        <f t="shared" ca="1" si="186"/>
        <v>338.75103277643501</v>
      </c>
      <c r="I410" s="304">
        <f t="shared" ca="1" si="187"/>
        <v>340.83339857822614</v>
      </c>
      <c r="J410" s="306">
        <f t="shared" ca="1" si="188"/>
        <v>86.768544613921534</v>
      </c>
      <c r="K410" s="307">
        <f t="shared" ca="1" si="189"/>
        <v>823.14511998191347</v>
      </c>
      <c r="L410" s="304">
        <f t="shared" ca="1" si="174"/>
        <v>827.70566561094449</v>
      </c>
      <c r="M410" s="306">
        <f t="shared" ca="1" si="190"/>
        <v>1.4601992114365892</v>
      </c>
      <c r="N410" s="304">
        <f t="shared" ca="1" si="191"/>
        <v>83.663252063647491</v>
      </c>
      <c r="P410" s="310">
        <f t="shared" ca="1" si="192"/>
        <v>14</v>
      </c>
      <c r="Q410" s="304">
        <f t="shared" ca="1" si="193"/>
        <v>611.5600000000095</v>
      </c>
      <c r="R410" s="306">
        <f t="shared" ca="1" si="194"/>
        <v>0.30635013346381768</v>
      </c>
      <c r="S410" s="307">
        <f t="shared" ca="1" si="195"/>
        <v>6.569455764431857</v>
      </c>
      <c r="T410" s="304">
        <f t="shared" ca="1" si="175"/>
        <v>64.446361049076515</v>
      </c>
      <c r="U410" s="311">
        <f t="shared" ca="1" si="176"/>
        <v>0</v>
      </c>
      <c r="V410" s="306">
        <f t="shared" ca="1" si="177"/>
        <v>1.1281507713010916</v>
      </c>
      <c r="W410" s="304">
        <f t="shared" ca="1" si="178"/>
        <v>356.95490816122827</v>
      </c>
      <c r="Y410" s="314" t="str">
        <f t="shared" ca="1" si="196"/>
        <v/>
      </c>
      <c r="Z410" s="315" t="str">
        <f t="shared" ca="1" si="197"/>
        <v/>
      </c>
      <c r="AA410" s="316" t="str">
        <f t="shared" ca="1" si="198"/>
        <v/>
      </c>
      <c r="AC410" s="310" t="e">
        <f t="shared" ca="1" si="199"/>
        <v>#N/A</v>
      </c>
      <c r="AD410" s="323" t="e">
        <f t="shared" ca="1" si="200"/>
        <v>#N/A</v>
      </c>
      <c r="AE410" s="324">
        <f t="shared" ca="1" si="179"/>
        <v>823.14511998191347</v>
      </c>
      <c r="AG410" s="306">
        <f t="shared" ca="1" si="201"/>
        <v>29.080067087378467</v>
      </c>
      <c r="AH410" s="304">
        <f t="shared" ca="1" si="202"/>
        <v>38.830166003114059</v>
      </c>
    </row>
    <row r="411" spans="1:34" x14ac:dyDescent="0.2">
      <c r="A411" s="347">
        <f t="shared" ca="1" si="180"/>
        <v>0.01</v>
      </c>
      <c r="B411" s="304">
        <f t="shared" ca="1" si="181"/>
        <v>4.0699999999999577</v>
      </c>
      <c r="D411" s="306">
        <f t="shared" ca="1" si="182"/>
        <v>4.2412213446257612</v>
      </c>
      <c r="E411" s="307">
        <f t="shared" ca="1" si="183"/>
        <v>28.381907025210609</v>
      </c>
      <c r="F411" s="304">
        <f t="shared" ca="1" si="184"/>
        <v>28.697048713792999</v>
      </c>
      <c r="G411" s="306">
        <f t="shared" ca="1" si="185"/>
        <v>37.660803716574236</v>
      </c>
      <c r="H411" s="307">
        <f t="shared" ca="1" si="186"/>
        <v>339.0348518466871</v>
      </c>
      <c r="I411" s="304">
        <f t="shared" ca="1" si="187"/>
        <v>341.12016490275596</v>
      </c>
      <c r="J411" s="306">
        <f t="shared" ca="1" si="188"/>
        <v>87.144940590020042</v>
      </c>
      <c r="K411" s="307">
        <f t="shared" ca="1" si="189"/>
        <v>826.53404940502912</v>
      </c>
      <c r="L411" s="304">
        <f t="shared" ca="1" si="174"/>
        <v>831.11538037526009</v>
      </c>
      <c r="M411" s="306">
        <f t="shared" ca="1" si="190"/>
        <v>1.4601674705033711</v>
      </c>
      <c r="N411" s="304">
        <f t="shared" ca="1" si="191"/>
        <v>83.661433442136286</v>
      </c>
      <c r="P411" s="310">
        <f t="shared" ca="1" si="192"/>
        <v>14</v>
      </c>
      <c r="Q411" s="304">
        <f t="shared" ca="1" si="193"/>
        <v>609.28000000000952</v>
      </c>
      <c r="R411" s="306">
        <f t="shared" ca="1" si="194"/>
        <v>0.30520800790901115</v>
      </c>
      <c r="S411" s="307">
        <f t="shared" ca="1" si="195"/>
        <v>6.5664036843527667</v>
      </c>
      <c r="T411" s="304">
        <f t="shared" ca="1" si="175"/>
        <v>64.416420143500645</v>
      </c>
      <c r="U411" s="311">
        <f t="shared" ca="1" si="176"/>
        <v>0</v>
      </c>
      <c r="V411" s="306">
        <f t="shared" ca="1" si="177"/>
        <v>1.1277678625623178</v>
      </c>
      <c r="W411" s="304">
        <f t="shared" ca="1" si="178"/>
        <v>357.43446274481374</v>
      </c>
      <c r="Y411" s="314" t="str">
        <f t="shared" ca="1" si="196"/>
        <v/>
      </c>
      <c r="Z411" s="315" t="str">
        <f t="shared" ca="1" si="197"/>
        <v/>
      </c>
      <c r="AA411" s="316" t="str">
        <f t="shared" ca="1" si="198"/>
        <v/>
      </c>
      <c r="AC411" s="310" t="e">
        <f t="shared" ca="1" si="199"/>
        <v>#N/A</v>
      </c>
      <c r="AD411" s="323" t="e">
        <f t="shared" ca="1" si="200"/>
        <v>#N/A</v>
      </c>
      <c r="AE411" s="324">
        <f t="shared" ca="1" si="179"/>
        <v>826.53404940502912</v>
      </c>
      <c r="AG411" s="306">
        <f t="shared" ca="1" si="201"/>
        <v>28.676615269278386</v>
      </c>
      <c r="AH411" s="304">
        <f t="shared" ca="1" si="202"/>
        <v>38.426679803444387</v>
      </c>
    </row>
    <row r="412" spans="1:34" x14ac:dyDescent="0.2">
      <c r="A412" s="347">
        <f t="shared" ca="1" si="180"/>
        <v>0.01</v>
      </c>
      <c r="B412" s="304">
        <f t="shared" ca="1" si="181"/>
        <v>4.0799999999999574</v>
      </c>
      <c r="D412" s="306">
        <f t="shared" ca="1" si="182"/>
        <v>4.1979801232734131</v>
      </c>
      <c r="E412" s="307">
        <f t="shared" ca="1" si="183"/>
        <v>27.98158777015087</v>
      </c>
      <c r="F412" s="304">
        <f t="shared" ca="1" si="184"/>
        <v>28.294739639269618</v>
      </c>
      <c r="G412" s="306">
        <f t="shared" ca="1" si="185"/>
        <v>37.702783517806971</v>
      </c>
      <c r="H412" s="307">
        <f t="shared" ca="1" si="186"/>
        <v>339.31466772438858</v>
      </c>
      <c r="I412" s="304">
        <f t="shared" ca="1" si="187"/>
        <v>341.40290511052018</v>
      </c>
      <c r="J412" s="306">
        <f t="shared" ca="1" si="188"/>
        <v>87.521758526191945</v>
      </c>
      <c r="K412" s="307">
        <f t="shared" ca="1" si="189"/>
        <v>829.92579700288445</v>
      </c>
      <c r="L412" s="304">
        <f t="shared" ca="1" si="174"/>
        <v>834.52794245992152</v>
      </c>
      <c r="M412" s="306">
        <f t="shared" ca="1" si="190"/>
        <v>1.4601357467922738</v>
      </c>
      <c r="N412" s="304">
        <f t="shared" ca="1" si="191"/>
        <v>83.659615807379922</v>
      </c>
      <c r="P412" s="310">
        <f t="shared" ca="1" si="192"/>
        <v>14</v>
      </c>
      <c r="Q412" s="304">
        <f t="shared" ca="1" si="193"/>
        <v>607.00000000000955</v>
      </c>
      <c r="R412" s="306">
        <f t="shared" ca="1" si="194"/>
        <v>0.30406588235420456</v>
      </c>
      <c r="S412" s="307">
        <f t="shared" ca="1" si="195"/>
        <v>6.5633630255292248</v>
      </c>
      <c r="T412" s="304">
        <f t="shared" ca="1" si="175"/>
        <v>64.386591280441692</v>
      </c>
      <c r="U412" s="311">
        <f t="shared" ca="1" si="176"/>
        <v>0</v>
      </c>
      <c r="V412" s="306">
        <f t="shared" ca="1" si="177"/>
        <v>1.127384760153604</v>
      </c>
      <c r="W412" s="304">
        <f t="shared" ca="1" si="178"/>
        <v>357.90561145028926</v>
      </c>
      <c r="Y412" s="314" t="str">
        <f t="shared" ca="1" si="196"/>
        <v/>
      </c>
      <c r="Z412" s="315" t="str">
        <f t="shared" ca="1" si="197"/>
        <v/>
      </c>
      <c r="AA412" s="316" t="str">
        <f t="shared" ca="1" si="198"/>
        <v/>
      </c>
      <c r="AC412" s="310" t="e">
        <f t="shared" ca="1" si="199"/>
        <v>#N/A</v>
      </c>
      <c r="AD412" s="323" t="e">
        <f t="shared" ca="1" si="200"/>
        <v>#N/A</v>
      </c>
      <c r="AE412" s="324">
        <f t="shared" ca="1" si="179"/>
        <v>829.92579700288445</v>
      </c>
      <c r="AG412" s="306">
        <f t="shared" ca="1" si="201"/>
        <v>28.274003597138062</v>
      </c>
      <c r="AH412" s="304">
        <f t="shared" ca="1" si="202"/>
        <v>38.024033758984793</v>
      </c>
    </row>
    <row r="413" spans="1:34" x14ac:dyDescent="0.2">
      <c r="A413" s="347">
        <f t="shared" ca="1" si="180"/>
        <v>0.01</v>
      </c>
      <c r="B413" s="304">
        <f t="shared" ca="1" si="181"/>
        <v>4.0899999999999572</v>
      </c>
      <c r="D413" s="306">
        <f t="shared" ca="1" si="182"/>
        <v>4.154805898972846</v>
      </c>
      <c r="E413" s="307">
        <f t="shared" ca="1" si="183"/>
        <v>27.582108792271555</v>
      </c>
      <c r="F413" s="304">
        <f t="shared" ca="1" si="184"/>
        <v>27.893281224819059</v>
      </c>
      <c r="G413" s="306">
        <f t="shared" ca="1" si="185"/>
        <v>37.744331576796696</v>
      </c>
      <c r="H413" s="307">
        <f t="shared" ca="1" si="186"/>
        <v>339.59048881231132</v>
      </c>
      <c r="I413" s="304">
        <f t="shared" ca="1" si="187"/>
        <v>341.68162762718703</v>
      </c>
      <c r="J413" s="306">
        <f t="shared" ca="1" si="188"/>
        <v>87.898994101664968</v>
      </c>
      <c r="K413" s="307">
        <f t="shared" ca="1" si="189"/>
        <v>833.3203227855679</v>
      </c>
      <c r="L413" s="304">
        <f t="shared" ca="1" si="174"/>
        <v>837.94331164555967</v>
      </c>
      <c r="M413" s="306">
        <f t="shared" ca="1" si="190"/>
        <v>1.4601040399069176</v>
      </c>
      <c r="N413" s="304">
        <f t="shared" ca="1" si="191"/>
        <v>83.657799136667506</v>
      </c>
      <c r="P413" s="310">
        <f t="shared" ca="1" si="192"/>
        <v>14</v>
      </c>
      <c r="Q413" s="304">
        <f t="shared" ca="1" si="193"/>
        <v>604.72000000000958</v>
      </c>
      <c r="R413" s="306">
        <f t="shared" ca="1" si="194"/>
        <v>0.30292375679939804</v>
      </c>
      <c r="S413" s="307">
        <f t="shared" ca="1" si="195"/>
        <v>6.5603337879612305</v>
      </c>
      <c r="T413" s="304">
        <f t="shared" ca="1" si="175"/>
        <v>64.356874459899672</v>
      </c>
      <c r="U413" s="311">
        <f t="shared" ca="1" si="176"/>
        <v>0</v>
      </c>
      <c r="V413" s="306">
        <f t="shared" ca="1" si="177"/>
        <v>1.1270014688397181</v>
      </c>
      <c r="W413" s="304">
        <f t="shared" ca="1" si="178"/>
        <v>358.36836028669245</v>
      </c>
      <c r="Y413" s="314" t="str">
        <f t="shared" ca="1" si="196"/>
        <v/>
      </c>
      <c r="Z413" s="315" t="str">
        <f t="shared" ca="1" si="197"/>
        <v/>
      </c>
      <c r="AA413" s="316" t="str">
        <f t="shared" ca="1" si="198"/>
        <v/>
      </c>
      <c r="AC413" s="310" t="e">
        <f t="shared" ca="1" si="199"/>
        <v>#N/A</v>
      </c>
      <c r="AD413" s="323" t="e">
        <f t="shared" ca="1" si="200"/>
        <v>#N/A</v>
      </c>
      <c r="AE413" s="324">
        <f t="shared" ca="1" si="179"/>
        <v>833.3203227855679</v>
      </c>
      <c r="AG413" s="306">
        <f t="shared" ca="1" si="201"/>
        <v>27.872234491603393</v>
      </c>
      <c r="AH413" s="304">
        <f t="shared" ca="1" si="202"/>
        <v>37.622230289965685</v>
      </c>
    </row>
    <row r="414" spans="1:34" x14ac:dyDescent="0.2">
      <c r="A414" s="347">
        <f t="shared" ca="1" si="180"/>
        <v>0.01</v>
      </c>
      <c r="B414" s="304">
        <f t="shared" ca="1" si="181"/>
        <v>4.099999999999957</v>
      </c>
      <c r="D414" s="306">
        <f t="shared" ca="1" si="182"/>
        <v>4.1116990465496288</v>
      </c>
      <c r="E414" s="307">
        <f t="shared" ca="1" si="183"/>
        <v>27.183472416538272</v>
      </c>
      <c r="F414" s="304">
        <f t="shared" ca="1" si="184"/>
        <v>27.492676146022859</v>
      </c>
      <c r="G414" s="306">
        <f t="shared" ca="1" si="185"/>
        <v>37.785448567262193</v>
      </c>
      <c r="H414" s="307">
        <f t="shared" ca="1" si="186"/>
        <v>339.86232353647671</v>
      </c>
      <c r="I414" s="304">
        <f t="shared" ca="1" si="187"/>
        <v>341.95634090193732</v>
      </c>
      <c r="J414" s="306">
        <f t="shared" ca="1" si="188"/>
        <v>88.276643002385256</v>
      </c>
      <c r="K414" s="307">
        <f t="shared" ca="1" si="189"/>
        <v>836.71758684731185</v>
      </c>
      <c r="L414" s="304">
        <f t="shared" ca="1" si="174"/>
        <v>841.36144779717563</v>
      </c>
      <c r="M414" s="306">
        <f t="shared" ca="1" si="190"/>
        <v>1.4600723494531556</v>
      </c>
      <c r="N414" s="304">
        <f t="shared" ca="1" si="191"/>
        <v>83.655983407416088</v>
      </c>
      <c r="P414" s="310">
        <f t="shared" ca="1" si="192"/>
        <v>14</v>
      </c>
      <c r="Q414" s="304">
        <f t="shared" ca="1" si="193"/>
        <v>602.4400000000096</v>
      </c>
      <c r="R414" s="306">
        <f t="shared" ca="1" si="194"/>
        <v>0.30178163124459151</v>
      </c>
      <c r="S414" s="307">
        <f t="shared" ca="1" si="195"/>
        <v>6.5573159716487845</v>
      </c>
      <c r="T414" s="304">
        <f t="shared" ca="1" si="175"/>
        <v>64.327269681874583</v>
      </c>
      <c r="U414" s="311">
        <f t="shared" ca="1" si="176"/>
        <v>0</v>
      </c>
      <c r="V414" s="306">
        <f t="shared" ca="1" si="177"/>
        <v>1.1266179933700353</v>
      </c>
      <c r="W414" s="304">
        <f t="shared" ca="1" si="178"/>
        <v>358.82271568517496</v>
      </c>
      <c r="Y414" s="314" t="str">
        <f t="shared" ca="1" si="196"/>
        <v/>
      </c>
      <c r="Z414" s="315" t="str">
        <f t="shared" ca="1" si="197"/>
        <v/>
      </c>
      <c r="AA414" s="316" t="str">
        <f t="shared" ca="1" si="198"/>
        <v/>
      </c>
      <c r="AC414" s="310" t="e">
        <f t="shared" ca="1" si="199"/>
        <v>#N/A</v>
      </c>
      <c r="AD414" s="323" t="e">
        <f t="shared" ca="1" si="200"/>
        <v>#N/A</v>
      </c>
      <c r="AE414" s="324">
        <f t="shared" ca="1" si="179"/>
        <v>836.71758684731185</v>
      </c>
      <c r="AG414" s="306">
        <f t="shared" ca="1" si="201"/>
        <v>27.471310303950091</v>
      </c>
      <c r="AH414" s="304">
        <f t="shared" ca="1" si="202"/>
        <v>37.221271747249247</v>
      </c>
    </row>
    <row r="415" spans="1:34" x14ac:dyDescent="0.2">
      <c r="A415" s="347">
        <f t="shared" ca="1" si="180"/>
        <v>0.01</v>
      </c>
      <c r="B415" s="304">
        <f t="shared" ca="1" si="181"/>
        <v>4.1099999999999568</v>
      </c>
      <c r="D415" s="306">
        <f t="shared" ca="1" si="182"/>
        <v>4.026898652332096</v>
      </c>
      <c r="E415" s="307">
        <f t="shared" ca="1" si="183"/>
        <v>26.410057840288797</v>
      </c>
      <c r="F415" s="304">
        <f t="shared" ca="1" si="184"/>
        <v>26.715296514984704</v>
      </c>
      <c r="G415" s="306">
        <f t="shared" ca="1" si="185"/>
        <v>37.825717553785516</v>
      </c>
      <c r="H415" s="307">
        <f t="shared" ca="1" si="186"/>
        <v>340.12642411487957</v>
      </c>
      <c r="I415" s="304">
        <f t="shared" ca="1" si="187"/>
        <v>342.22327403266087</v>
      </c>
      <c r="J415" s="306">
        <f t="shared" ca="1" si="188"/>
        <v>88.654698832990491</v>
      </c>
      <c r="K415" s="307">
        <f t="shared" ca="1" si="189"/>
        <v>840.1175305855686</v>
      </c>
      <c r="L415" s="304">
        <f t="shared" ca="1" si="174"/>
        <v>844.78229196779569</v>
      </c>
      <c r="M415" s="306">
        <f t="shared" ca="1" si="190"/>
        <v>1.4600406746892394</v>
      </c>
      <c r="N415" s="304">
        <f t="shared" ca="1" si="191"/>
        <v>83.654168577126612</v>
      </c>
      <c r="P415" s="310">
        <f t="shared" ca="1" si="192"/>
        <v>15</v>
      </c>
      <c r="Q415" s="304">
        <f t="shared" ca="1" si="193"/>
        <v>597.6833333333642</v>
      </c>
      <c r="R415" s="306">
        <f t="shared" ca="1" si="194"/>
        <v>0.299398863457016</v>
      </c>
      <c r="S415" s="307">
        <f t="shared" ca="1" si="195"/>
        <v>6.5543219830142148</v>
      </c>
      <c r="T415" s="304">
        <f t="shared" ca="1" si="175"/>
        <v>64.297898653369444</v>
      </c>
      <c r="U415" s="311">
        <f t="shared" ca="1" si="176"/>
        <v>0</v>
      </c>
      <c r="V415" s="306">
        <f t="shared" ca="1" si="177"/>
        <v>1.1262343405974637</v>
      </c>
      <c r="W415" s="304">
        <f t="shared" ca="1" si="178"/>
        <v>359.26075006865284</v>
      </c>
      <c r="Y415" s="314" t="str">
        <f t="shared" ca="1" si="196"/>
        <v/>
      </c>
      <c r="Z415" s="315" t="str">
        <f t="shared" ca="1" si="197"/>
        <v/>
      </c>
      <c r="AA415" s="316" t="str">
        <f t="shared" ca="1" si="198"/>
        <v/>
      </c>
      <c r="AC415" s="310" t="e">
        <f t="shared" ca="1" si="199"/>
        <v>#N/A</v>
      </c>
      <c r="AD415" s="323" t="e">
        <f t="shared" ca="1" si="200"/>
        <v>#N/A</v>
      </c>
      <c r="AE415" s="324">
        <f t="shared" ca="1" si="179"/>
        <v>840.1175305855686</v>
      </c>
      <c r="AG415" s="306">
        <f t="shared" ca="1" si="201"/>
        <v>26.69329590488331</v>
      </c>
      <c r="AH415" s="304">
        <f t="shared" ca="1" si="202"/>
        <v>36.443223001129027</v>
      </c>
    </row>
    <row r="416" spans="1:34" x14ac:dyDescent="0.2">
      <c r="A416" s="347">
        <f t="shared" ca="1" si="180"/>
        <v>0.01</v>
      </c>
      <c r="B416" s="304">
        <f t="shared" ca="1" si="181"/>
        <v>4.1199999999999566</v>
      </c>
      <c r="D416" s="306">
        <f t="shared" ca="1" si="182"/>
        <v>3.9004393066275802</v>
      </c>
      <c r="E416" s="307">
        <f t="shared" ca="1" si="183"/>
        <v>25.262499866102146</v>
      </c>
      <c r="F416" s="304">
        <f t="shared" ca="1" si="184"/>
        <v>25.561833390222549</v>
      </c>
      <c r="G416" s="306">
        <f t="shared" ca="1" si="185"/>
        <v>37.864721946851795</v>
      </c>
      <c r="H416" s="307">
        <f t="shared" ca="1" si="186"/>
        <v>340.37904911354059</v>
      </c>
      <c r="I416" s="304">
        <f t="shared" ca="1" si="187"/>
        <v>342.47866246461325</v>
      </c>
      <c r="J416" s="306">
        <f t="shared" ca="1" si="188"/>
        <v>89.033151030493684</v>
      </c>
      <c r="K416" s="307">
        <f t="shared" ca="1" si="189"/>
        <v>843.52005795171067</v>
      </c>
      <c r="L416" s="304">
        <f t="shared" ca="1" si="174"/>
        <v>848.20574753374319</v>
      </c>
      <c r="M416" s="306">
        <f t="shared" ca="1" si="190"/>
        <v>1.460009014528006</v>
      </c>
      <c r="N416" s="304">
        <f t="shared" ca="1" si="191"/>
        <v>83.652354583509236</v>
      </c>
      <c r="P416" s="310">
        <f t="shared" ca="1" si="192"/>
        <v>15</v>
      </c>
      <c r="Q416" s="304">
        <f t="shared" ca="1" si="193"/>
        <v>590.45000000003108</v>
      </c>
      <c r="R416" s="306">
        <f t="shared" ca="1" si="194"/>
        <v>0.29577545343665029</v>
      </c>
      <c r="S416" s="307">
        <f t="shared" ca="1" si="195"/>
        <v>6.5513642284798479</v>
      </c>
      <c r="T416" s="304">
        <f t="shared" ca="1" si="175"/>
        <v>64.268883081387315</v>
      </c>
      <c r="U416" s="311">
        <f t="shared" ca="1" si="176"/>
        <v>0</v>
      </c>
      <c r="V416" s="306">
        <f t="shared" ca="1" si="177"/>
        <v>1.1258505215896448</v>
      </c>
      <c r="W416" s="304">
        <f t="shared" ca="1" si="178"/>
        <v>359.67453752834211</v>
      </c>
      <c r="Y416" s="314" t="str">
        <f t="shared" ca="1" si="196"/>
        <v/>
      </c>
      <c r="Z416" s="315" t="str">
        <f t="shared" ca="1" si="197"/>
        <v/>
      </c>
      <c r="AA416" s="316" t="str">
        <f t="shared" ca="1" si="198"/>
        <v/>
      </c>
      <c r="AC416" s="310" t="e">
        <f t="shared" ca="1" si="199"/>
        <v>#N/A</v>
      </c>
      <c r="AD416" s="323" t="e">
        <f t="shared" ca="1" si="200"/>
        <v>#N/A</v>
      </c>
      <c r="AE416" s="324">
        <f t="shared" ca="1" si="179"/>
        <v>843.52005795171067</v>
      </c>
      <c r="AG416" s="306">
        <f t="shared" ca="1" si="201"/>
        <v>25.538826030791828</v>
      </c>
      <c r="AH416" s="304">
        <f t="shared" ca="1" si="202"/>
        <v>35.288718787204793</v>
      </c>
    </row>
    <row r="417" spans="1:34" x14ac:dyDescent="0.2">
      <c r="A417" s="347">
        <f t="shared" ca="1" si="180"/>
        <v>0.01</v>
      </c>
      <c r="B417" s="304">
        <f t="shared" ca="1" si="181"/>
        <v>4.1299999999999564</v>
      </c>
      <c r="D417" s="306">
        <f t="shared" ca="1" si="182"/>
        <v>3.7741799584210969</v>
      </c>
      <c r="E417" s="307">
        <f t="shared" ca="1" si="183"/>
        <v>24.117405758688385</v>
      </c>
      <c r="F417" s="304">
        <f t="shared" ca="1" si="184"/>
        <v>24.410933920842993</v>
      </c>
      <c r="G417" s="306">
        <f t="shared" ca="1" si="185"/>
        <v>37.902463746436005</v>
      </c>
      <c r="H417" s="307">
        <f t="shared" ca="1" si="186"/>
        <v>340.62022317112746</v>
      </c>
      <c r="I417" s="304">
        <f t="shared" ca="1" si="187"/>
        <v>342.72253090685268</v>
      </c>
      <c r="J417" s="306">
        <f t="shared" ca="1" si="188"/>
        <v>89.411986958960128</v>
      </c>
      <c r="K417" s="307">
        <f t="shared" ca="1" si="189"/>
        <v>846.92505431313396</v>
      </c>
      <c r="L417" s="304">
        <f t="shared" ca="1" si="174"/>
        <v>851.63169917239111</v>
      </c>
      <c r="M417" s="306">
        <f t="shared" ca="1" si="190"/>
        <v>1.4599773678881713</v>
      </c>
      <c r="N417" s="304">
        <f t="shared" ca="1" si="191"/>
        <v>83.650541364610945</v>
      </c>
      <c r="P417" s="310">
        <f t="shared" ca="1" si="192"/>
        <v>15</v>
      </c>
      <c r="Q417" s="304">
        <f t="shared" ca="1" si="193"/>
        <v>583.21666666669807</v>
      </c>
      <c r="R417" s="306">
        <f t="shared" ca="1" si="194"/>
        <v>0.29215204341628465</v>
      </c>
      <c r="S417" s="307">
        <f t="shared" ca="1" si="195"/>
        <v>6.5484427080456848</v>
      </c>
      <c r="T417" s="304">
        <f t="shared" ca="1" si="175"/>
        <v>64.240222965928169</v>
      </c>
      <c r="U417" s="311">
        <f t="shared" ca="1" si="176"/>
        <v>0</v>
      </c>
      <c r="V417" s="306">
        <f t="shared" ca="1" si="177"/>
        <v>1.1254665494953713</v>
      </c>
      <c r="W417" s="304">
        <f t="shared" ca="1" si="178"/>
        <v>360.06410407694744</v>
      </c>
      <c r="Y417" s="314" t="str">
        <f t="shared" ca="1" si="196"/>
        <v/>
      </c>
      <c r="Z417" s="315" t="str">
        <f t="shared" ca="1" si="197"/>
        <v/>
      </c>
      <c r="AA417" s="316" t="str">
        <f t="shared" ca="1" si="198"/>
        <v/>
      </c>
      <c r="AC417" s="310" t="e">
        <f t="shared" ca="1" si="199"/>
        <v>#N/A</v>
      </c>
      <c r="AD417" s="323" t="e">
        <f t="shared" ca="1" si="200"/>
        <v>#N/A</v>
      </c>
      <c r="AE417" s="324">
        <f t="shared" ca="1" si="179"/>
        <v>846.92505431313396</v>
      </c>
      <c r="AG417" s="306">
        <f t="shared" ca="1" si="201"/>
        <v>24.386827061945056</v>
      </c>
      <c r="AH417" s="304">
        <f t="shared" ca="1" si="202"/>
        <v>34.136685484581385</v>
      </c>
    </row>
    <row r="418" spans="1:34" x14ac:dyDescent="0.2">
      <c r="A418" s="347">
        <f t="shared" ca="1" si="180"/>
        <v>0.01</v>
      </c>
      <c r="B418" s="304">
        <f t="shared" ca="1" si="181"/>
        <v>4.1399999999999562</v>
      </c>
      <c r="D418" s="306">
        <f t="shared" ca="1" si="182"/>
        <v>3.6481229691918173</v>
      </c>
      <c r="E418" s="307">
        <f t="shared" ca="1" si="183"/>
        <v>22.974793839125518</v>
      </c>
      <c r="F418" s="304">
        <f t="shared" ca="1" si="184"/>
        <v>23.262629970591561</v>
      </c>
      <c r="G418" s="306">
        <f t="shared" ca="1" si="185"/>
        <v>37.938944976127921</v>
      </c>
      <c r="H418" s="307">
        <f t="shared" ca="1" si="186"/>
        <v>340.84997110951872</v>
      </c>
      <c r="I418" s="304">
        <f t="shared" ca="1" si="187"/>
        <v>342.95490425311226</v>
      </c>
      <c r="J418" s="306">
        <f t="shared" ca="1" si="188"/>
        <v>89.791194002572951</v>
      </c>
      <c r="K418" s="307">
        <f t="shared" ca="1" si="189"/>
        <v>850.33240528453723</v>
      </c>
      <c r="L418" s="304">
        <f t="shared" ca="1" si="174"/>
        <v>855.06003180910875</v>
      </c>
      <c r="M418" s="306">
        <f t="shared" ca="1" si="190"/>
        <v>1.4599457336941082</v>
      </c>
      <c r="N418" s="304">
        <f t="shared" ca="1" si="191"/>
        <v>83.648728858802826</v>
      </c>
      <c r="P418" s="310">
        <f t="shared" ca="1" si="192"/>
        <v>15</v>
      </c>
      <c r="Q418" s="304">
        <f t="shared" ca="1" si="193"/>
        <v>575.98333333336495</v>
      </c>
      <c r="R418" s="306">
        <f t="shared" ca="1" si="194"/>
        <v>0.28852863339591894</v>
      </c>
      <c r="S418" s="307">
        <f t="shared" ca="1" si="195"/>
        <v>6.5455574217117256</v>
      </c>
      <c r="T418" s="304">
        <f t="shared" ca="1" si="175"/>
        <v>64.211918306992033</v>
      </c>
      <c r="U418" s="311">
        <f t="shared" ca="1" si="176"/>
        <v>0</v>
      </c>
      <c r="V418" s="306">
        <f t="shared" ca="1" si="177"/>
        <v>1.1250824374186428</v>
      </c>
      <c r="W418" s="304">
        <f t="shared" ca="1" si="178"/>
        <v>360.42947873935003</v>
      </c>
      <c r="Y418" s="314" t="str">
        <f t="shared" ca="1" si="196"/>
        <v/>
      </c>
      <c r="Z418" s="315" t="str">
        <f t="shared" ca="1" si="197"/>
        <v/>
      </c>
      <c r="AA418" s="316" t="str">
        <f t="shared" ca="1" si="198"/>
        <v/>
      </c>
      <c r="AC418" s="310" t="e">
        <f t="shared" ca="1" si="199"/>
        <v>#N/A</v>
      </c>
      <c r="AD418" s="323" t="e">
        <f t="shared" ca="1" si="200"/>
        <v>#N/A</v>
      </c>
      <c r="AE418" s="324">
        <f t="shared" ca="1" si="179"/>
        <v>850.33240528453723</v>
      </c>
      <c r="AG418" s="306">
        <f t="shared" ca="1" si="201"/>
        <v>23.237317465831872</v>
      </c>
      <c r="AH418" s="304">
        <f t="shared" ca="1" si="202"/>
        <v>32.987141559588146</v>
      </c>
    </row>
    <row r="419" spans="1:34" x14ac:dyDescent="0.2">
      <c r="A419" s="347">
        <f t="shared" ca="1" si="180"/>
        <v>0.01</v>
      </c>
      <c r="B419" s="304">
        <f t="shared" ca="1" si="181"/>
        <v>4.1499999999999559</v>
      </c>
      <c r="D419" s="306">
        <f t="shared" ca="1" si="182"/>
        <v>3.5222706409592739</v>
      </c>
      <c r="E419" s="307">
        <f t="shared" ca="1" si="183"/>
        <v>21.834681921605842</v>
      </c>
      <c r="F419" s="304">
        <f t="shared" ca="1" si="184"/>
        <v>22.11695560166147</v>
      </c>
      <c r="G419" s="306">
        <f t="shared" ca="1" si="185"/>
        <v>37.974167682537512</v>
      </c>
      <c r="H419" s="307">
        <f t="shared" ca="1" si="186"/>
        <v>341.06831792873476</v>
      </c>
      <c r="I419" s="304">
        <f t="shared" ca="1" si="187"/>
        <v>343.17580757669668</v>
      </c>
      <c r="J419" s="306">
        <f t="shared" ca="1" si="188"/>
        <v>90.170759565866277</v>
      </c>
      <c r="K419" s="307">
        <f t="shared" ca="1" si="189"/>
        <v>853.7419967297285</v>
      </c>
      <c r="L419" s="304">
        <f t="shared" ca="1" si="174"/>
        <v>858.49063061908203</v>
      </c>
      <c r="M419" s="306">
        <f t="shared" ca="1" si="190"/>
        <v>1.4599141108756306</v>
      </c>
      <c r="N419" s="304">
        <f t="shared" ca="1" si="191"/>
        <v>83.646917004767758</v>
      </c>
      <c r="P419" s="310">
        <f t="shared" ca="1" si="192"/>
        <v>15</v>
      </c>
      <c r="Q419" s="304">
        <f t="shared" ca="1" si="193"/>
        <v>568.75000000003183</v>
      </c>
      <c r="R419" s="306">
        <f t="shared" ca="1" si="194"/>
        <v>0.28490522337555324</v>
      </c>
      <c r="S419" s="307">
        <f t="shared" ca="1" si="195"/>
        <v>6.5427083694779702</v>
      </c>
      <c r="T419" s="304">
        <f t="shared" ca="1" si="175"/>
        <v>64.183969104578892</v>
      </c>
      <c r="U419" s="311">
        <f t="shared" ca="1" si="176"/>
        <v>0</v>
      </c>
      <c r="V419" s="306">
        <f t="shared" ca="1" si="177"/>
        <v>1.1246981984184974</v>
      </c>
      <c r="W419" s="304">
        <f t="shared" ca="1" si="178"/>
        <v>360.77069351769393</v>
      </c>
      <c r="Y419" s="314" t="str">
        <f t="shared" ca="1" si="196"/>
        <v/>
      </c>
      <c r="Z419" s="315" t="str">
        <f t="shared" ca="1" si="197"/>
        <v/>
      </c>
      <c r="AA419" s="316" t="str">
        <f t="shared" ca="1" si="198"/>
        <v/>
      </c>
      <c r="AC419" s="310" t="e">
        <f t="shared" ca="1" si="199"/>
        <v>#N/A</v>
      </c>
      <c r="AD419" s="323" t="e">
        <f t="shared" ca="1" si="200"/>
        <v>#N/A</v>
      </c>
      <c r="AE419" s="324">
        <f t="shared" ca="1" si="179"/>
        <v>853.7419967297285</v>
      </c>
      <c r="AG419" s="306">
        <f t="shared" ca="1" si="201"/>
        <v>22.090315199609847</v>
      </c>
      <c r="AH419" s="304">
        <f t="shared" ca="1" si="202"/>
        <v>31.840104968227902</v>
      </c>
    </row>
    <row r="420" spans="1:34" x14ac:dyDescent="0.2">
      <c r="A420" s="347">
        <f t="shared" ca="1" si="180"/>
        <v>0.01</v>
      </c>
      <c r="B420" s="304">
        <f t="shared" ca="1" si="181"/>
        <v>4.1599999999999557</v>
      </c>
      <c r="D420" s="306">
        <f t="shared" ca="1" si="182"/>
        <v>3.3966252166225432</v>
      </c>
      <c r="E420" s="307">
        <f t="shared" ca="1" si="183"/>
        <v>20.697087316636669</v>
      </c>
      <c r="F420" s="304">
        <f t="shared" ca="1" si="184"/>
        <v>20.97394779851134</v>
      </c>
      <c r="G420" s="306">
        <f t="shared" ca="1" si="185"/>
        <v>38.008133934703736</v>
      </c>
      <c r="H420" s="307">
        <f t="shared" ca="1" si="186"/>
        <v>341.27528880190113</v>
      </c>
      <c r="I420" s="304">
        <f t="shared" ca="1" si="187"/>
        <v>343.38526612541108</v>
      </c>
      <c r="J420" s="306">
        <f t="shared" ca="1" si="188"/>
        <v>90.550671073952486</v>
      </c>
      <c r="K420" s="307">
        <f t="shared" ca="1" si="189"/>
        <v>857.15371476338169</v>
      </c>
      <c r="L420" s="304">
        <f t="shared" ca="1" si="174"/>
        <v>861.92338102908411</v>
      </c>
      <c r="M420" s="306">
        <f t="shared" ca="1" si="190"/>
        <v>1.4598824983677783</v>
      </c>
      <c r="N420" s="304">
        <f t="shared" ca="1" si="191"/>
        <v>83.645105741487995</v>
      </c>
      <c r="P420" s="310">
        <f t="shared" ca="1" si="192"/>
        <v>15</v>
      </c>
      <c r="Q420" s="304">
        <f t="shared" ca="1" si="193"/>
        <v>561.51666666669871</v>
      </c>
      <c r="R420" s="306">
        <f t="shared" ca="1" si="194"/>
        <v>0.28128181335518754</v>
      </c>
      <c r="S420" s="307">
        <f t="shared" ca="1" si="195"/>
        <v>6.5398955513444186</v>
      </c>
      <c r="T420" s="304">
        <f t="shared" ca="1" si="175"/>
        <v>64.156375358688749</v>
      </c>
      <c r="U420" s="311">
        <f t="shared" ca="1" si="176"/>
        <v>0</v>
      </c>
      <c r="V420" s="306">
        <f t="shared" ca="1" si="177"/>
        <v>1.1243138455088522</v>
      </c>
      <c r="W420" s="304">
        <f t="shared" ca="1" si="178"/>
        <v>361.0877833564108</v>
      </c>
      <c r="Y420" s="314" t="str">
        <f t="shared" ca="1" si="196"/>
        <v/>
      </c>
      <c r="Z420" s="315" t="str">
        <f t="shared" ca="1" si="197"/>
        <v/>
      </c>
      <c r="AA420" s="316" t="str">
        <f t="shared" ca="1" si="198"/>
        <v/>
      </c>
      <c r="AC420" s="310" t="e">
        <f t="shared" ca="1" si="199"/>
        <v>#N/A</v>
      </c>
      <c r="AD420" s="323" t="e">
        <f t="shared" ca="1" si="200"/>
        <v>#N/A</v>
      </c>
      <c r="AE420" s="324">
        <f t="shared" ca="1" si="179"/>
        <v>857.15371476338169</v>
      </c>
      <c r="AG420" s="306">
        <f t="shared" ca="1" si="201"/>
        <v>20.945837713323371</v>
      </c>
      <c r="AH420" s="304">
        <f t="shared" ca="1" si="202"/>
        <v>30.695593159394885</v>
      </c>
    </row>
    <row r="421" spans="1:34" x14ac:dyDescent="0.2">
      <c r="A421" s="347">
        <f t="shared" ca="1" si="180"/>
        <v>0.01</v>
      </c>
      <c r="B421" s="304">
        <f t="shared" ca="1" si="181"/>
        <v>4.1699999999999555</v>
      </c>
      <c r="D421" s="306">
        <f t="shared" ca="1" si="182"/>
        <v>3.2711888803054823</v>
      </c>
      <c r="E421" s="307">
        <f t="shared" ca="1" si="183"/>
        <v>19.56202683430088</v>
      </c>
      <c r="F421" s="304">
        <f t="shared" ca="1" si="184"/>
        <v>19.833647434512443</v>
      </c>
      <c r="G421" s="306">
        <f t="shared" ca="1" si="185"/>
        <v>38.040845823506793</v>
      </c>
      <c r="H421" s="307">
        <f t="shared" ca="1" si="186"/>
        <v>341.47090907024415</v>
      </c>
      <c r="I421" s="304">
        <f t="shared" ca="1" si="187"/>
        <v>343.58330531652257</v>
      </c>
      <c r="J421" s="306">
        <f t="shared" ca="1" si="188"/>
        <v>90.930915972743534</v>
      </c>
      <c r="K421" s="307">
        <f t="shared" ca="1" si="189"/>
        <v>860.5674457527424</v>
      </c>
      <c r="L421" s="304">
        <f t="shared" ca="1" si="174"/>
        <v>865.35816871919656</v>
      </c>
      <c r="M421" s="306">
        <f t="shared" ca="1" si="190"/>
        <v>1.4598508951106046</v>
      </c>
      <c r="N421" s="304">
        <f t="shared" ca="1" si="191"/>
        <v>83.643295008233068</v>
      </c>
      <c r="P421" s="310">
        <f t="shared" ca="1" si="192"/>
        <v>15</v>
      </c>
      <c r="Q421" s="304">
        <f t="shared" ca="1" si="193"/>
        <v>554.28333333336559</v>
      </c>
      <c r="R421" s="306">
        <f t="shared" ca="1" si="194"/>
        <v>0.27765840333482183</v>
      </c>
      <c r="S421" s="307">
        <f t="shared" ca="1" si="195"/>
        <v>6.5371189673110708</v>
      </c>
      <c r="T421" s="304">
        <f t="shared" ca="1" si="175"/>
        <v>64.129137069321601</v>
      </c>
      <c r="U421" s="311">
        <f t="shared" ca="1" si="176"/>
        <v>0</v>
      </c>
      <c r="V421" s="306">
        <f t="shared" ca="1" si="177"/>
        <v>1.1239293916583515</v>
      </c>
      <c r="W421" s="304">
        <f t="shared" ca="1" si="178"/>
        <v>361.38078610719401</v>
      </c>
      <c r="Y421" s="314" t="str">
        <f t="shared" ca="1" si="196"/>
        <v/>
      </c>
      <c r="Z421" s="315" t="str">
        <f t="shared" ca="1" si="197"/>
        <v/>
      </c>
      <c r="AA421" s="316" t="str">
        <f t="shared" ca="1" si="198"/>
        <v/>
      </c>
      <c r="AC421" s="310" t="e">
        <f t="shared" ca="1" si="199"/>
        <v>#N/A</v>
      </c>
      <c r="AD421" s="323" t="e">
        <f t="shared" ca="1" si="200"/>
        <v>#N/A</v>
      </c>
      <c r="AE421" s="324">
        <f t="shared" ca="1" si="179"/>
        <v>860.5674457527424</v>
      </c>
      <c r="AG421" s="306">
        <f t="shared" ca="1" si="201"/>
        <v>19.803901953181963</v>
      </c>
      <c r="AH421" s="304">
        <f t="shared" ca="1" si="202"/>
        <v>29.553623078152789</v>
      </c>
    </row>
    <row r="422" spans="1:34" x14ac:dyDescent="0.2">
      <c r="A422" s="347">
        <f t="shared" ca="1" si="180"/>
        <v>0.01</v>
      </c>
      <c r="B422" s="304">
        <f t="shared" ca="1" si="181"/>
        <v>4.1799999999999553</v>
      </c>
      <c r="D422" s="306">
        <f t="shared" ca="1" si="182"/>
        <v>3.1459637577076824</v>
      </c>
      <c r="E422" s="307">
        <f t="shared" ca="1" si="183"/>
        <v>18.429516787575313</v>
      </c>
      <c r="F422" s="304">
        <f t="shared" ca="1" si="184"/>
        <v>18.696100582429761</v>
      </c>
      <c r="G422" s="306">
        <f t="shared" ca="1" si="185"/>
        <v>38.072305461083872</v>
      </c>
      <c r="H422" s="307">
        <f t="shared" ca="1" si="186"/>
        <v>341.65520423811989</v>
      </c>
      <c r="I422" s="304">
        <f t="shared" ca="1" si="187"/>
        <v>343.76995073175533</v>
      </c>
      <c r="J422" s="306">
        <f t="shared" ca="1" si="188"/>
        <v>91.311481729166488</v>
      </c>
      <c r="K422" s="307">
        <f t="shared" ca="1" si="189"/>
        <v>863.98307631928424</v>
      </c>
      <c r="L422" s="304">
        <f t="shared" ca="1" si="174"/>
        <v>868.79487962447729</v>
      </c>
      <c r="M422" s="306">
        <f t="shared" ca="1" si="190"/>
        <v>1.4598193000489668</v>
      </c>
      <c r="N422" s="304">
        <f t="shared" ca="1" si="191"/>
        <v>83.641484744547768</v>
      </c>
      <c r="P422" s="310">
        <f t="shared" ca="1" si="192"/>
        <v>15</v>
      </c>
      <c r="Q422" s="304">
        <f t="shared" ca="1" si="193"/>
        <v>547.05000000003247</v>
      </c>
      <c r="R422" s="306">
        <f t="shared" ca="1" si="194"/>
        <v>0.27403499331445613</v>
      </c>
      <c r="S422" s="307">
        <f t="shared" ca="1" si="195"/>
        <v>6.5343786173779259</v>
      </c>
      <c r="T422" s="304">
        <f t="shared" ca="1" si="175"/>
        <v>64.102254236477449</v>
      </c>
      <c r="U422" s="311">
        <f t="shared" ca="1" si="176"/>
        <v>0</v>
      </c>
      <c r="V422" s="306">
        <f t="shared" ca="1" si="177"/>
        <v>1.1235448497902218</v>
      </c>
      <c r="W422" s="304">
        <f t="shared" ca="1" si="178"/>
        <v>361.64974249393373</v>
      </c>
      <c r="Y422" s="314" t="str">
        <f t="shared" ca="1" si="196"/>
        <v/>
      </c>
      <c r="Z422" s="315" t="str">
        <f t="shared" ca="1" si="197"/>
        <v/>
      </c>
      <c r="AA422" s="316" t="str">
        <f t="shared" ca="1" si="198"/>
        <v/>
      </c>
      <c r="AC422" s="310" t="e">
        <f t="shared" ca="1" si="199"/>
        <v>#N/A</v>
      </c>
      <c r="AD422" s="323" t="e">
        <f t="shared" ca="1" si="200"/>
        <v>#N/A</v>
      </c>
      <c r="AE422" s="324">
        <f t="shared" ca="1" si="179"/>
        <v>863.98307631928424</v>
      </c>
      <c r="AG422" s="306">
        <f t="shared" ca="1" si="201"/>
        <v>18.664524364896664</v>
      </c>
      <c r="AH422" s="304">
        <f t="shared" ca="1" si="202"/>
        <v>28.414211169070981</v>
      </c>
    </row>
    <row r="423" spans="1:34" x14ac:dyDescent="0.2">
      <c r="A423" s="347">
        <f t="shared" ca="1" si="180"/>
        <v>0.01</v>
      </c>
      <c r="B423" s="304">
        <f t="shared" ca="1" si="181"/>
        <v>4.1899999999999551</v>
      </c>
      <c r="D423" s="306">
        <f t="shared" ca="1" si="182"/>
        <v>3.0209519164610374</v>
      </c>
      <c r="E423" s="307">
        <f t="shared" ca="1" si="183"/>
        <v>17.299572995705091</v>
      </c>
      <c r="F423" s="304">
        <f t="shared" ca="1" si="184"/>
        <v>17.561360320752446</v>
      </c>
      <c r="G423" s="306">
        <f t="shared" ca="1" si="185"/>
        <v>38.102514980248479</v>
      </c>
      <c r="H423" s="307">
        <f t="shared" ca="1" si="186"/>
        <v>341.82819996807694</v>
      </c>
      <c r="I423" s="304">
        <f t="shared" ca="1" si="187"/>
        <v>343.94522811231974</v>
      </c>
      <c r="J423" s="306">
        <f t="shared" ca="1" si="188"/>
        <v>91.692355831373149</v>
      </c>
      <c r="K423" s="307">
        <f t="shared" ca="1" si="189"/>
        <v>867.40049334031517</v>
      </c>
      <c r="L423" s="304">
        <f t="shared" ca="1" si="174"/>
        <v>872.23339993658192</v>
      </c>
      <c r="M423" s="306">
        <f t="shared" ca="1" si="190"/>
        <v>1.4597877121323199</v>
      </c>
      <c r="N423" s="304">
        <f t="shared" ca="1" si="191"/>
        <v>83.639674890240286</v>
      </c>
      <c r="P423" s="310">
        <f t="shared" ca="1" si="192"/>
        <v>15</v>
      </c>
      <c r="Q423" s="304">
        <f t="shared" ca="1" si="193"/>
        <v>539.81666666669935</v>
      </c>
      <c r="R423" s="306">
        <f t="shared" ca="1" si="194"/>
        <v>0.27041158329409043</v>
      </c>
      <c r="S423" s="307">
        <f t="shared" ca="1" si="195"/>
        <v>6.5316745015449849</v>
      </c>
      <c r="T423" s="304">
        <f t="shared" ca="1" si="175"/>
        <v>64.075726860156308</v>
      </c>
      <c r="U423" s="311">
        <f t="shared" ca="1" si="176"/>
        <v>0</v>
      </c>
      <c r="V423" s="306">
        <f t="shared" ca="1" si="177"/>
        <v>1.1231602327821333</v>
      </c>
      <c r="W423" s="304">
        <f t="shared" ca="1" si="178"/>
        <v>361.8946960776251</v>
      </c>
      <c r="Y423" s="314" t="str">
        <f t="shared" ca="1" si="196"/>
        <v/>
      </c>
      <c r="Z423" s="315" t="str">
        <f t="shared" ca="1" si="197"/>
        <v/>
      </c>
      <c r="AA423" s="316" t="str">
        <f t="shared" ca="1" si="198"/>
        <v/>
      </c>
      <c r="AC423" s="310" t="e">
        <f t="shared" ca="1" si="199"/>
        <v>#N/A</v>
      </c>
      <c r="AD423" s="323" t="e">
        <f t="shared" ca="1" si="200"/>
        <v>#N/A</v>
      </c>
      <c r="AE423" s="324">
        <f t="shared" ca="1" si="179"/>
        <v>867.40049334031517</v>
      </c>
      <c r="AG423" s="306">
        <f t="shared" ca="1" si="201"/>
        <v>17.52772089707269</v>
      </c>
      <c r="AH423" s="304">
        <f t="shared" ca="1" si="202"/>
        <v>27.277373379616893</v>
      </c>
    </row>
    <row r="424" spans="1:34" x14ac:dyDescent="0.2">
      <c r="A424" s="347">
        <f t="shared" ca="1" si="180"/>
        <v>0.01</v>
      </c>
      <c r="B424" s="304">
        <f t="shared" ca="1" si="181"/>
        <v>4.1999999999999549</v>
      </c>
      <c r="D424" s="306">
        <f t="shared" ca="1" si="182"/>
        <v>2.8723271077327763</v>
      </c>
      <c r="E424" s="307">
        <f t="shared" ca="1" si="183"/>
        <v>15.958440888082409</v>
      </c>
      <c r="F424" s="304">
        <f t="shared" ca="1" si="184"/>
        <v>16.214872759051701</v>
      </c>
      <c r="G424" s="306">
        <f t="shared" ca="1" si="185"/>
        <v>38.131238251325804</v>
      </c>
      <c r="H424" s="307">
        <f t="shared" ca="1" si="186"/>
        <v>341.98778437695779</v>
      </c>
      <c r="I424" s="304">
        <f t="shared" ca="1" si="187"/>
        <v>344.10701241567273</v>
      </c>
      <c r="J424" s="306">
        <f t="shared" ca="1" si="188"/>
        <v>92.073524597531019</v>
      </c>
      <c r="K424" s="307">
        <f t="shared" ca="1" si="189"/>
        <v>870.81957326204031</v>
      </c>
      <c r="L424" s="304">
        <f t="shared" ca="1" si="174"/>
        <v>875.67360535081457</v>
      </c>
      <c r="M424" s="306">
        <f t="shared" ca="1" si="190"/>
        <v>1.4597561301171</v>
      </c>
      <c r="N424" s="304">
        <f t="shared" ca="1" si="191"/>
        <v>83.637865374059672</v>
      </c>
      <c r="P424" s="310">
        <f t="shared" ca="1" si="192"/>
        <v>16</v>
      </c>
      <c r="Q424" s="304">
        <f t="shared" ca="1" si="193"/>
        <v>531.17916666671226</v>
      </c>
      <c r="R424" s="306">
        <f t="shared" ca="1" si="194"/>
        <v>0.26608478089074533</v>
      </c>
      <c r="S424" s="307">
        <f t="shared" ca="1" si="195"/>
        <v>6.5290136537360777</v>
      </c>
      <c r="T424" s="304">
        <f t="shared" ca="1" si="175"/>
        <v>64.04962394315092</v>
      </c>
      <c r="U424" s="311">
        <f t="shared" ca="1" si="176"/>
        <v>0</v>
      </c>
      <c r="V424" s="306">
        <f t="shared" ca="1" si="177"/>
        <v>1.1227755546684295</v>
      </c>
      <c r="W424" s="304">
        <f t="shared" ca="1" si="178"/>
        <v>362.11116663816091</v>
      </c>
      <c r="Y424" s="314" t="str">
        <f t="shared" ca="1" si="196"/>
        <v/>
      </c>
      <c r="Z424" s="315" t="str">
        <f t="shared" ca="1" si="197"/>
        <v/>
      </c>
      <c r="AA424" s="316" t="str">
        <f t="shared" ca="1" si="198"/>
        <v/>
      </c>
      <c r="AC424" s="310" t="e">
        <f t="shared" ca="1" si="199"/>
        <v>#N/A</v>
      </c>
      <c r="AD424" s="323" t="e">
        <f t="shared" ca="1" si="200"/>
        <v>#N/A</v>
      </c>
      <c r="AE424" s="324">
        <f t="shared" ca="1" si="179"/>
        <v>870.81957326204031</v>
      </c>
      <c r="AG424" s="306">
        <f t="shared" ca="1" si="201"/>
        <v>16.178413174273132</v>
      </c>
      <c r="AH424" s="304">
        <f t="shared" ca="1" si="202"/>
        <v>25.928031333219533</v>
      </c>
    </row>
    <row r="425" spans="1:34" x14ac:dyDescent="0.2">
      <c r="A425" s="347">
        <f t="shared" ca="1" si="180"/>
        <v>0.01</v>
      </c>
      <c r="B425" s="304">
        <f t="shared" ca="1" si="181"/>
        <v>4.2099999999999547</v>
      </c>
      <c r="D425" s="306">
        <f t="shared" ca="1" si="182"/>
        <v>2.7001167088044937</v>
      </c>
      <c r="E425" s="307">
        <f t="shared" ca="1" si="183"/>
        <v>14.406547197261427</v>
      </c>
      <c r="F425" s="304">
        <f t="shared" ca="1" si="184"/>
        <v>14.657395143342704</v>
      </c>
      <c r="G425" s="306">
        <f t="shared" ca="1" si="185"/>
        <v>38.158239418413849</v>
      </c>
      <c r="H425" s="307">
        <f t="shared" ca="1" si="186"/>
        <v>342.13184984893041</v>
      </c>
      <c r="I425" s="304">
        <f t="shared" ca="1" si="187"/>
        <v>344.25318287063675</v>
      </c>
      <c r="J425" s="306">
        <f t="shared" ca="1" si="188"/>
        <v>92.454971985879723</v>
      </c>
      <c r="K425" s="307">
        <f t="shared" ca="1" si="189"/>
        <v>874.24017143316973</v>
      </c>
      <c r="L425" s="304">
        <f t="shared" ca="1" si="174"/>
        <v>879.11535033373616</v>
      </c>
      <c r="M425" s="306">
        <f t="shared" ca="1" si="190"/>
        <v>1.4597245525673062</v>
      </c>
      <c r="N425" s="304">
        <f t="shared" ca="1" si="191"/>
        <v>83.636056113729126</v>
      </c>
      <c r="P425" s="310">
        <f t="shared" ca="1" si="192"/>
        <v>16</v>
      </c>
      <c r="Q425" s="304">
        <f t="shared" ca="1" si="193"/>
        <v>521.13750000004575</v>
      </c>
      <c r="R425" s="306">
        <f t="shared" ca="1" si="194"/>
        <v>0.26105458610440807</v>
      </c>
      <c r="S425" s="307">
        <f t="shared" ca="1" si="195"/>
        <v>6.5264031078750335</v>
      </c>
      <c r="T425" s="304">
        <f t="shared" ca="1" si="175"/>
        <v>64.024014488254082</v>
      </c>
      <c r="U425" s="311">
        <f t="shared" ca="1" si="176"/>
        <v>0</v>
      </c>
      <c r="V425" s="306">
        <f t="shared" ca="1" si="177"/>
        <v>1.1223908318376792</v>
      </c>
      <c r="W425" s="304">
        <f t="shared" ca="1" si="178"/>
        <v>362.2946845198648</v>
      </c>
      <c r="Y425" s="314" t="str">
        <f t="shared" ca="1" si="196"/>
        <v/>
      </c>
      <c r="Z425" s="315" t="str">
        <f t="shared" ca="1" si="197"/>
        <v/>
      </c>
      <c r="AA425" s="316" t="str">
        <f t="shared" ca="1" si="198"/>
        <v/>
      </c>
      <c r="AC425" s="310" t="e">
        <f t="shared" ca="1" si="199"/>
        <v>#N/A</v>
      </c>
      <c r="AD425" s="323" t="e">
        <f t="shared" ca="1" si="200"/>
        <v>#N/A</v>
      </c>
      <c r="AE425" s="324">
        <f t="shared" ca="1" si="179"/>
        <v>874.24017143316973</v>
      </c>
      <c r="AG425" s="306">
        <f t="shared" ca="1" si="201"/>
        <v>14.617028332940263</v>
      </c>
      <c r="AH425" s="304">
        <f t="shared" ca="1" si="202"/>
        <v>24.366612164975979</v>
      </c>
    </row>
    <row r="426" spans="1:34" x14ac:dyDescent="0.2">
      <c r="A426" s="347">
        <f t="shared" ca="1" si="180"/>
        <v>0.01</v>
      </c>
      <c r="B426" s="304">
        <f t="shared" ca="1" si="181"/>
        <v>4.2199999999999545</v>
      </c>
      <c r="D426" s="306">
        <f t="shared" ca="1" si="182"/>
        <v>2.5282100685486983</v>
      </c>
      <c r="E426" s="307">
        <f t="shared" ca="1" si="183"/>
        <v>12.858267738313097</v>
      </c>
      <c r="F426" s="304">
        <f t="shared" ca="1" si="184"/>
        <v>13.10446089623127</v>
      </c>
      <c r="G426" s="306">
        <f t="shared" ca="1" si="185"/>
        <v>38.183521519099337</v>
      </c>
      <c r="H426" s="307">
        <f t="shared" ca="1" si="186"/>
        <v>342.26043252631354</v>
      </c>
      <c r="I426" s="304">
        <f t="shared" ca="1" si="187"/>
        <v>344.38377573384429</v>
      </c>
      <c r="J426" s="306">
        <f t="shared" ca="1" si="188"/>
        <v>92.836680790567286</v>
      </c>
      <c r="K426" s="307">
        <f t="shared" ca="1" si="189"/>
        <v>877.6621328450459</v>
      </c>
      <c r="L426" s="304">
        <f t="shared" ca="1" si="174"/>
        <v>882.55847892948418</v>
      </c>
      <c r="M426" s="306">
        <f t="shared" ca="1" si="190"/>
        <v>1.4596929780522903</v>
      </c>
      <c r="N426" s="304">
        <f t="shared" ca="1" si="191"/>
        <v>83.634247027278533</v>
      </c>
      <c r="P426" s="310">
        <f t="shared" ca="1" si="192"/>
        <v>16</v>
      </c>
      <c r="Q426" s="304">
        <f t="shared" ca="1" si="193"/>
        <v>511.09583333337923</v>
      </c>
      <c r="R426" s="306">
        <f t="shared" ca="1" si="194"/>
        <v>0.25602439131807087</v>
      </c>
      <c r="S426" s="307">
        <f t="shared" ca="1" si="195"/>
        <v>6.5238428639618524</v>
      </c>
      <c r="T426" s="304">
        <f t="shared" ca="1" si="175"/>
        <v>63.998898495465774</v>
      </c>
      <c r="U426" s="311">
        <f t="shared" ca="1" si="176"/>
        <v>0</v>
      </c>
      <c r="V426" s="306">
        <f t="shared" ca="1" si="177"/>
        <v>1.1220060818214164</v>
      </c>
      <c r="W426" s="304">
        <f t="shared" ca="1" si="178"/>
        <v>362.44532344815855</v>
      </c>
      <c r="Y426" s="314" t="str">
        <f t="shared" ca="1" si="196"/>
        <v/>
      </c>
      <c r="Z426" s="315" t="str">
        <f t="shared" ca="1" si="197"/>
        <v/>
      </c>
      <c r="AA426" s="316" t="str">
        <f t="shared" ca="1" si="198"/>
        <v/>
      </c>
      <c r="AC426" s="310" t="e">
        <f t="shared" ca="1" si="199"/>
        <v>#N/A</v>
      </c>
      <c r="AD426" s="323" t="e">
        <f t="shared" ca="1" si="200"/>
        <v>#N/A</v>
      </c>
      <c r="AE426" s="324">
        <f t="shared" ca="1" si="179"/>
        <v>877.6621328450459</v>
      </c>
      <c r="AG426" s="306">
        <f t="shared" ca="1" si="201"/>
        <v>13.059269154083603</v>
      </c>
      <c r="AH426" s="304">
        <f t="shared" ca="1" si="202"/>
        <v>22.80881865433976</v>
      </c>
    </row>
    <row r="427" spans="1:34" x14ac:dyDescent="0.2">
      <c r="A427" s="347">
        <f t="shared" ca="1" si="180"/>
        <v>0.01</v>
      </c>
      <c r="B427" s="304">
        <f t="shared" ca="1" si="181"/>
        <v>4.2299999999999542</v>
      </c>
      <c r="D427" s="306">
        <f t="shared" ca="1" si="182"/>
        <v>2.3566107965917582</v>
      </c>
      <c r="E427" s="307">
        <f t="shared" ca="1" si="183"/>
        <v>11.313631306091766</v>
      </c>
      <c r="F427" s="304">
        <f t="shared" ca="1" si="184"/>
        <v>11.556464328538921</v>
      </c>
      <c r="G427" s="306">
        <f t="shared" ca="1" si="185"/>
        <v>38.207087627065256</v>
      </c>
      <c r="H427" s="307">
        <f t="shared" ca="1" si="186"/>
        <v>342.37356883937446</v>
      </c>
      <c r="I427" s="304">
        <f t="shared" ca="1" si="187"/>
        <v>344.49882755207182</v>
      </c>
      <c r="J427" s="306">
        <f t="shared" ca="1" si="188"/>
        <v>93.21863383629811</v>
      </c>
      <c r="K427" s="307">
        <f t="shared" ca="1" si="189"/>
        <v>881.0853028518743</v>
      </c>
      <c r="L427" s="304">
        <f t="shared" ca="1" si="174"/>
        <v>886.00283554618773</v>
      </c>
      <c r="M427" s="306">
        <f t="shared" ca="1" si="190"/>
        <v>1.4596614051463883</v>
      </c>
      <c r="N427" s="304">
        <f t="shared" ca="1" si="191"/>
        <v>83.632438033023391</v>
      </c>
      <c r="P427" s="310">
        <f t="shared" ca="1" si="192"/>
        <v>16</v>
      </c>
      <c r="Q427" s="304">
        <f t="shared" ca="1" si="193"/>
        <v>501.05416666671272</v>
      </c>
      <c r="R427" s="306">
        <f t="shared" ca="1" si="194"/>
        <v>0.2509941965317336</v>
      </c>
      <c r="S427" s="307">
        <f t="shared" ca="1" si="195"/>
        <v>6.5213329219965352</v>
      </c>
      <c r="T427" s="304">
        <f t="shared" ca="1" si="175"/>
        <v>63.974275964786017</v>
      </c>
      <c r="U427" s="311">
        <f t="shared" ca="1" si="176"/>
        <v>0</v>
      </c>
      <c r="V427" s="306">
        <f t="shared" ca="1" si="177"/>
        <v>1.1216213220874938</v>
      </c>
      <c r="W427" s="304">
        <f t="shared" ca="1" si="178"/>
        <v>362.56316228484604</v>
      </c>
      <c r="Y427" s="314" t="str">
        <f t="shared" ca="1" si="196"/>
        <v/>
      </c>
      <c r="Z427" s="315" t="str">
        <f t="shared" ca="1" si="197"/>
        <v/>
      </c>
      <c r="AA427" s="316" t="str">
        <f t="shared" ca="1" si="198"/>
        <v/>
      </c>
      <c r="AC427" s="310" t="e">
        <f t="shared" ca="1" si="199"/>
        <v>#N/A</v>
      </c>
      <c r="AD427" s="323" t="e">
        <f t="shared" ca="1" si="200"/>
        <v>#N/A</v>
      </c>
      <c r="AE427" s="324">
        <f t="shared" ca="1" si="179"/>
        <v>881.0853028518743</v>
      </c>
      <c r="AG427" s="306">
        <f t="shared" ca="1" si="201"/>
        <v>11.505164652100737</v>
      </c>
      <c r="AH427" s="304">
        <f t="shared" ca="1" si="202"/>
        <v>21.254679814156528</v>
      </c>
    </row>
    <row r="428" spans="1:34" x14ac:dyDescent="0.2">
      <c r="A428" s="347">
        <f t="shared" ca="1" si="180"/>
        <v>0.01</v>
      </c>
      <c r="B428" s="304">
        <f t="shared" ca="1" si="181"/>
        <v>4.239999999999954</v>
      </c>
      <c r="D428" s="306">
        <f t="shared" ca="1" si="182"/>
        <v>2.1853223960396906</v>
      </c>
      <c r="E428" s="307">
        <f t="shared" ca="1" si="183"/>
        <v>9.7726657896508318</v>
      </c>
      <c r="F428" s="304">
        <f t="shared" ca="1" si="184"/>
        <v>10.01402170013848</v>
      </c>
      <c r="G428" s="306">
        <f t="shared" ca="1" si="185"/>
        <v>38.228940851025655</v>
      </c>
      <c r="H428" s="307">
        <f t="shared" ca="1" si="186"/>
        <v>342.47129549727094</v>
      </c>
      <c r="I428" s="304">
        <f t="shared" ca="1" si="187"/>
        <v>344.59837515311978</v>
      </c>
      <c r="J428" s="306">
        <f t="shared" ca="1" si="188"/>
        <v>93.600813978688564</v>
      </c>
      <c r="K428" s="307">
        <f t="shared" ca="1" si="189"/>
        <v>884.50952717355756</v>
      </c>
      <c r="L428" s="304">
        <f t="shared" ca="1" si="174"/>
        <v>889.44826495882455</v>
      </c>
      <c r="M428" s="306">
        <f t="shared" ca="1" si="190"/>
        <v>1.4596298324285522</v>
      </c>
      <c r="N428" s="304">
        <f t="shared" ca="1" si="191"/>
        <v>83.630629049543629</v>
      </c>
      <c r="P428" s="310">
        <f t="shared" ca="1" si="192"/>
        <v>16</v>
      </c>
      <c r="Q428" s="304">
        <f t="shared" ca="1" si="193"/>
        <v>491.0125000000462</v>
      </c>
      <c r="R428" s="306">
        <f t="shared" ca="1" si="194"/>
        <v>0.24596400174539634</v>
      </c>
      <c r="S428" s="307">
        <f t="shared" ca="1" si="195"/>
        <v>6.5188732819790811</v>
      </c>
      <c r="T428" s="304">
        <f t="shared" ca="1" si="175"/>
        <v>63.95014689621479</v>
      </c>
      <c r="U428" s="311">
        <f t="shared" ca="1" si="176"/>
        <v>0</v>
      </c>
      <c r="V428" s="306">
        <f t="shared" ca="1" si="177"/>
        <v>1.1212365700398377</v>
      </c>
      <c r="W428" s="304">
        <f t="shared" ca="1" si="178"/>
        <v>362.6482849612122</v>
      </c>
      <c r="Y428" s="314" t="str">
        <f t="shared" ca="1" si="196"/>
        <v/>
      </c>
      <c r="Z428" s="315" t="str">
        <f t="shared" ca="1" si="197"/>
        <v/>
      </c>
      <c r="AA428" s="316" t="str">
        <f t="shared" ca="1" si="198"/>
        <v/>
      </c>
      <c r="AC428" s="310" t="e">
        <f t="shared" ca="1" si="199"/>
        <v>#N/A</v>
      </c>
      <c r="AD428" s="323" t="e">
        <f t="shared" ca="1" si="200"/>
        <v>#N/A</v>
      </c>
      <c r="AE428" s="324">
        <f t="shared" ca="1" si="179"/>
        <v>884.50952717355756</v>
      </c>
      <c r="AG428" s="306">
        <f t="shared" ca="1" si="201"/>
        <v>9.95474292938699</v>
      </c>
      <c r="AH428" s="304">
        <f t="shared" ca="1" si="202"/>
        <v>19.704223745273339</v>
      </c>
    </row>
    <row r="429" spans="1:34" x14ac:dyDescent="0.2">
      <c r="A429" s="347">
        <f t="shared" ca="1" si="180"/>
        <v>0.01</v>
      </c>
      <c r="B429" s="304">
        <f t="shared" ca="1" si="181"/>
        <v>4.2499999999999538</v>
      </c>
      <c r="D429" s="306">
        <f t="shared" ca="1" si="182"/>
        <v>2.0143482641351027</v>
      </c>
      <c r="E429" s="307">
        <f t="shared" ca="1" si="183"/>
        <v>8.2353981785508861</v>
      </c>
      <c r="F429" s="304">
        <f t="shared" ca="1" si="184"/>
        <v>8.4781709164479189</v>
      </c>
      <c r="G429" s="306">
        <f t="shared" ca="1" si="185"/>
        <v>38.249084333667007</v>
      </c>
      <c r="H429" s="307">
        <f t="shared" ca="1" si="186"/>
        <v>342.55364947905645</v>
      </c>
      <c r="I429" s="304">
        <f t="shared" ca="1" si="187"/>
        <v>344.68245563675595</v>
      </c>
      <c r="J429" s="306">
        <f t="shared" ca="1" si="188"/>
        <v>93.983204104612028</v>
      </c>
      <c r="K429" s="307">
        <f t="shared" ca="1" si="189"/>
        <v>887.93465189843914</v>
      </c>
      <c r="L429" s="304">
        <f t="shared" ca="1" si="174"/>
        <v>892.89461231198584</v>
      </c>
      <c r="M429" s="306">
        <f t="shared" ca="1" si="190"/>
        <v>1.4595982584819871</v>
      </c>
      <c r="N429" s="304">
        <f t="shared" ca="1" si="191"/>
        <v>83.62881999566288</v>
      </c>
      <c r="P429" s="310">
        <f t="shared" ca="1" si="192"/>
        <v>16</v>
      </c>
      <c r="Q429" s="304">
        <f t="shared" ca="1" si="193"/>
        <v>480.97083333337969</v>
      </c>
      <c r="R429" s="306">
        <f t="shared" ca="1" si="194"/>
        <v>0.24093380695905908</v>
      </c>
      <c r="S429" s="307">
        <f t="shared" ca="1" si="195"/>
        <v>6.5164639439094909</v>
      </c>
      <c r="T429" s="304">
        <f t="shared" ca="1" si="175"/>
        <v>63.926511289752106</v>
      </c>
      <c r="U429" s="311">
        <f t="shared" ca="1" si="176"/>
        <v>0</v>
      </c>
      <c r="V429" s="306">
        <f t="shared" ca="1" si="177"/>
        <v>1.1208518430182157</v>
      </c>
      <c r="W429" s="304">
        <f t="shared" ca="1" si="178"/>
        <v>362.70078041104875</v>
      </c>
      <c r="Y429" s="314" t="str">
        <f t="shared" ca="1" si="196"/>
        <v/>
      </c>
      <c r="Z429" s="315" t="str">
        <f t="shared" ca="1" si="197"/>
        <v/>
      </c>
      <c r="AA429" s="316" t="str">
        <f t="shared" ca="1" si="198"/>
        <v/>
      </c>
      <c r="AC429" s="310" t="e">
        <f t="shared" ca="1" si="199"/>
        <v>#N/A</v>
      </c>
      <c r="AD429" s="323" t="e">
        <f t="shared" ca="1" si="200"/>
        <v>#N/A</v>
      </c>
      <c r="AE429" s="324">
        <f t="shared" ca="1" si="179"/>
        <v>887.93465189843914</v>
      </c>
      <c r="AG429" s="306">
        <f t="shared" ca="1" si="201"/>
        <v>8.4080311826767584</v>
      </c>
      <c r="AH429" s="304">
        <f t="shared" ca="1" si="202"/>
        <v>18.157477642879581</v>
      </c>
    </row>
    <row r="430" spans="1:34" x14ac:dyDescent="0.2">
      <c r="A430" s="347">
        <f t="shared" ca="1" si="180"/>
        <v>0.01</v>
      </c>
      <c r="B430" s="304">
        <f t="shared" ca="1" si="181"/>
        <v>4.2599999999999536</v>
      </c>
      <c r="D430" s="306">
        <f t="shared" ca="1" si="182"/>
        <v>1.8436916929268721</v>
      </c>
      <c r="E430" s="307">
        <f t="shared" ca="1" si="183"/>
        <v>6.7018545692978808</v>
      </c>
      <c r="F430" s="304">
        <f t="shared" ca="1" si="184"/>
        <v>6.9508311536525209</v>
      </c>
      <c r="G430" s="306">
        <f t="shared" ca="1" si="185"/>
        <v>38.267521250596275</v>
      </c>
      <c r="H430" s="307">
        <f t="shared" ca="1" si="186"/>
        <v>342.62066802474942</v>
      </c>
      <c r="I430" s="304">
        <f t="shared" ca="1" si="187"/>
        <v>344.7511063657235</v>
      </c>
      <c r="J430" s="306">
        <f t="shared" ca="1" si="188"/>
        <v>94.365787132533342</v>
      </c>
      <c r="K430" s="307">
        <f t="shared" ca="1" si="189"/>
        <v>891.3605234859582</v>
      </c>
      <c r="L430" s="304">
        <f t="shared" ca="1" si="174"/>
        <v>896.34172312255112</v>
      </c>
      <c r="M430" s="306">
        <f t="shared" ca="1" si="190"/>
        <v>1.4595666818937914</v>
      </c>
      <c r="N430" s="304">
        <f t="shared" ca="1" si="191"/>
        <v>83.627010790427832</v>
      </c>
      <c r="P430" s="310">
        <f t="shared" ca="1" si="192"/>
        <v>16</v>
      </c>
      <c r="Q430" s="304">
        <f t="shared" ca="1" si="193"/>
        <v>470.92916666671312</v>
      </c>
      <c r="R430" s="306">
        <f t="shared" ca="1" si="194"/>
        <v>0.23590361217272182</v>
      </c>
      <c r="S430" s="307">
        <f t="shared" ca="1" si="195"/>
        <v>6.5141049077877637</v>
      </c>
      <c r="T430" s="304">
        <f t="shared" ca="1" si="175"/>
        <v>63.903369145397967</v>
      </c>
      <c r="U430" s="311">
        <f t="shared" ca="1" si="176"/>
        <v>0</v>
      </c>
      <c r="V430" s="306">
        <f t="shared" ca="1" si="177"/>
        <v>1.1204671582980181</v>
      </c>
      <c r="W430" s="304">
        <f t="shared" ca="1" si="178"/>
        <v>362.72074250363414</v>
      </c>
      <c r="Y430" s="314" t="str">
        <f t="shared" ca="1" si="196"/>
        <v/>
      </c>
      <c r="Z430" s="315" t="str">
        <f t="shared" ca="1" si="197"/>
        <v/>
      </c>
      <c r="AA430" s="316" t="str">
        <f t="shared" ca="1" si="198"/>
        <v/>
      </c>
      <c r="AC430" s="310" t="e">
        <f t="shared" ca="1" si="199"/>
        <v>#N/A</v>
      </c>
      <c r="AD430" s="323" t="e">
        <f t="shared" ca="1" si="200"/>
        <v>#N/A</v>
      </c>
      <c r="AE430" s="324">
        <f t="shared" ca="1" si="179"/>
        <v>891.3605234859582</v>
      </c>
      <c r="AG430" s="306">
        <f t="shared" ca="1" si="201"/>
        <v>6.8650557095154578</v>
      </c>
      <c r="AH430" s="304">
        <f t="shared" ca="1" si="202"/>
        <v>16.614467802978549</v>
      </c>
    </row>
    <row r="431" spans="1:34" x14ac:dyDescent="0.2">
      <c r="A431" s="347">
        <f t="shared" ca="1" si="180"/>
        <v>0.01</v>
      </c>
      <c r="B431" s="304">
        <f t="shared" ca="1" si="181"/>
        <v>4.2699999999999534</v>
      </c>
      <c r="D431" s="306">
        <f t="shared" ca="1" si="182"/>
        <v>1.6733558699521545</v>
      </c>
      <c r="E431" s="307">
        <f t="shared" ca="1" si="183"/>
        <v>5.1720601719064536</v>
      </c>
      <c r="F431" s="304">
        <f t="shared" ca="1" si="184"/>
        <v>5.4360211818318316</v>
      </c>
      <c r="G431" s="306">
        <f t="shared" ca="1" si="185"/>
        <v>38.284254809295795</v>
      </c>
      <c r="H431" s="307">
        <f t="shared" ca="1" si="186"/>
        <v>342.67238862646849</v>
      </c>
      <c r="I431" s="304">
        <f t="shared" ca="1" si="187"/>
        <v>344.80436495681511</v>
      </c>
      <c r="J431" s="306">
        <f t="shared" ca="1" si="188"/>
        <v>94.748546012832804</v>
      </c>
      <c r="K431" s="307">
        <f t="shared" ca="1" si="189"/>
        <v>894.7869887692143</v>
      </c>
      <c r="L431" s="304">
        <f t="shared" ca="1" si="174"/>
        <v>899.78944328227362</v>
      </c>
      <c r="M431" s="306">
        <f t="shared" ca="1" si="190"/>
        <v>1.4595351012545981</v>
      </c>
      <c r="N431" s="304">
        <f t="shared" ca="1" si="191"/>
        <v>83.625201353087732</v>
      </c>
      <c r="P431" s="310">
        <f t="shared" ca="1" si="192"/>
        <v>16</v>
      </c>
      <c r="Q431" s="304">
        <f t="shared" ca="1" si="193"/>
        <v>460.8875000000466</v>
      </c>
      <c r="R431" s="306">
        <f t="shared" ca="1" si="194"/>
        <v>0.23087341738638456</v>
      </c>
      <c r="S431" s="307">
        <f t="shared" ca="1" si="195"/>
        <v>6.5117961736138996</v>
      </c>
      <c r="T431" s="304">
        <f t="shared" ca="1" si="175"/>
        <v>63.880720463152358</v>
      </c>
      <c r="U431" s="311">
        <f t="shared" ca="1" si="176"/>
        <v>0</v>
      </c>
      <c r="V431" s="306">
        <f t="shared" ca="1" si="177"/>
        <v>1.1200825330900537</v>
      </c>
      <c r="W431" s="304">
        <f t="shared" ca="1" si="178"/>
        <v>362.70826997669485</v>
      </c>
      <c r="Y431" s="314" t="str">
        <f t="shared" ca="1" si="196"/>
        <v/>
      </c>
      <c r="Z431" s="315" t="str">
        <f t="shared" ca="1" si="197"/>
        <v/>
      </c>
      <c r="AA431" s="316" t="str">
        <f t="shared" ca="1" si="198"/>
        <v/>
      </c>
      <c r="AC431" s="310" t="e">
        <f t="shared" ca="1" si="199"/>
        <v>#N/A</v>
      </c>
      <c r="AD431" s="323" t="e">
        <f t="shared" ca="1" si="200"/>
        <v>#N/A</v>
      </c>
      <c r="AE431" s="324">
        <f t="shared" ca="1" si="179"/>
        <v>894.7869887692143</v>
      </c>
      <c r="AG431" s="306">
        <f t="shared" ca="1" si="201"/>
        <v>5.3258419148572909</v>
      </c>
      <c r="AH431" s="304">
        <f t="shared" ca="1" si="202"/>
        <v>15.075219628984813</v>
      </c>
    </row>
    <row r="432" spans="1:34" x14ac:dyDescent="0.2">
      <c r="A432" s="347">
        <f t="shared" ca="1" si="180"/>
        <v>0.01</v>
      </c>
      <c r="B432" s="304">
        <f t="shared" ca="1" si="181"/>
        <v>4.2799999999999532</v>
      </c>
      <c r="D432" s="306">
        <f t="shared" ca="1" si="182"/>
        <v>1.5033438789301745</v>
      </c>
      <c r="E432" s="307">
        <f t="shared" ca="1" si="183"/>
        <v>3.6460393165834546</v>
      </c>
      <c r="F432" s="304">
        <f t="shared" ca="1" si="184"/>
        <v>3.9438110396403587</v>
      </c>
      <c r="G432" s="306">
        <f t="shared" ca="1" si="185"/>
        <v>38.299288248085098</v>
      </c>
      <c r="H432" s="307">
        <f t="shared" ca="1" si="186"/>
        <v>342.70884901963433</v>
      </c>
      <c r="I432" s="304">
        <f t="shared" ca="1" si="187"/>
        <v>344.84226927201433</v>
      </c>
      <c r="J432" s="306">
        <f t="shared" ca="1" si="188"/>
        <v>95.131463728119712</v>
      </c>
      <c r="K432" s="307">
        <f t="shared" ca="1" si="189"/>
        <v>898.21389495744484</v>
      </c>
      <c r="L432" s="304">
        <f t="shared" ca="1" si="174"/>
        <v>903.2376190602771</v>
      </c>
      <c r="M432" s="306">
        <f t="shared" ca="1" si="190"/>
        <v>1.4595035151582203</v>
      </c>
      <c r="N432" s="304">
        <f t="shared" ca="1" si="191"/>
        <v>83.623391603073998</v>
      </c>
      <c r="P432" s="310">
        <f t="shared" ca="1" si="192"/>
        <v>16</v>
      </c>
      <c r="Q432" s="304">
        <f t="shared" ca="1" si="193"/>
        <v>450.84583333338009</v>
      </c>
      <c r="R432" s="306">
        <f t="shared" ca="1" si="194"/>
        <v>0.22584322260004733</v>
      </c>
      <c r="S432" s="307">
        <f t="shared" ca="1" si="195"/>
        <v>6.5095377413878994</v>
      </c>
      <c r="T432" s="304">
        <f t="shared" ca="1" si="175"/>
        <v>63.858565243015299</v>
      </c>
      <c r="U432" s="311">
        <f t="shared" ca="1" si="176"/>
        <v>0</v>
      </c>
      <c r="V432" s="306">
        <f t="shared" ca="1" si="177"/>
        <v>1.119697984540357</v>
      </c>
      <c r="W432" s="304">
        <f t="shared" ca="1" si="178"/>
        <v>362.66346636937146</v>
      </c>
      <c r="Y432" s="314" t="str">
        <f t="shared" ca="1" si="196"/>
        <v/>
      </c>
      <c r="Z432" s="315" t="str">
        <f t="shared" ca="1" si="197"/>
        <v/>
      </c>
      <c r="AA432" s="316" t="str">
        <f t="shared" ca="1" si="198"/>
        <v/>
      </c>
      <c r="AC432" s="310" t="e">
        <f t="shared" ca="1" si="199"/>
        <v>#N/A</v>
      </c>
      <c r="AD432" s="323" t="e">
        <f t="shared" ca="1" si="200"/>
        <v>#N/A</v>
      </c>
      <c r="AE432" s="324">
        <f t="shared" ca="1" si="179"/>
        <v>898.21389495744484</v>
      </c>
      <c r="AG432" s="306">
        <f t="shared" ca="1" si="201"/>
        <v>3.7904143177836946</v>
      </c>
      <c r="AH432" s="304">
        <f t="shared" ca="1" si="202"/>
        <v>13.539757638442298</v>
      </c>
    </row>
    <row r="433" spans="1:34" x14ac:dyDescent="0.2">
      <c r="A433" s="347">
        <f t="shared" ca="1" si="180"/>
        <v>0.01</v>
      </c>
      <c r="B433" s="304">
        <f t="shared" ca="1" si="181"/>
        <v>4.289999999999953</v>
      </c>
      <c r="D433" s="306">
        <f t="shared" ca="1" si="182"/>
        <v>1.3336587004673714</v>
      </c>
      <c r="E433" s="307">
        <f t="shared" ca="1" si="183"/>
        <v>2.1238154605274318</v>
      </c>
      <c r="F433" s="304">
        <f t="shared" ca="1" si="184"/>
        <v>2.5078352497139171</v>
      </c>
      <c r="G433" s="306">
        <f t="shared" ca="1" si="185"/>
        <v>38.312624835089771</v>
      </c>
      <c r="H433" s="307">
        <f t="shared" ca="1" si="186"/>
        <v>342.7300871742396</v>
      </c>
      <c r="I433" s="304">
        <f t="shared" ca="1" si="187"/>
        <v>344.86485740970511</v>
      </c>
      <c r="J433" s="306">
        <f t="shared" ca="1" si="188"/>
        <v>95.514523293535589</v>
      </c>
      <c r="K433" s="307">
        <f t="shared" ca="1" si="189"/>
        <v>901.6410896384142</v>
      </c>
      <c r="L433" s="304">
        <f t="shared" ca="1" si="174"/>
        <v>906.68609710546355</v>
      </c>
      <c r="M433" s="306">
        <f t="shared" ca="1" si="190"/>
        <v>1.4594719222012986</v>
      </c>
      <c r="N433" s="304">
        <f t="shared" ca="1" si="191"/>
        <v>83.62158145998005</v>
      </c>
      <c r="P433" s="310">
        <f t="shared" ca="1" si="192"/>
        <v>16</v>
      </c>
      <c r="Q433" s="304">
        <f t="shared" ca="1" si="193"/>
        <v>440.80416666671357</v>
      </c>
      <c r="R433" s="306">
        <f t="shared" ca="1" si="194"/>
        <v>0.22081302781371007</v>
      </c>
      <c r="S433" s="307">
        <f t="shared" ca="1" si="195"/>
        <v>6.5073296111097623</v>
      </c>
      <c r="T433" s="304">
        <f t="shared" ca="1" si="175"/>
        <v>63.83690348498677</v>
      </c>
      <c r="U433" s="311">
        <f t="shared" ca="1" si="176"/>
        <v>0</v>
      </c>
      <c r="V433" s="306">
        <f t="shared" ca="1" si="177"/>
        <v>1.1193135297300081</v>
      </c>
      <c r="W433" s="304">
        <f t="shared" ca="1" si="178"/>
        <v>362.58643995521538</v>
      </c>
      <c r="Y433" s="314" t="str">
        <f t="shared" ca="1" si="196"/>
        <v/>
      </c>
      <c r="Z433" s="315" t="str">
        <f t="shared" ca="1" si="197"/>
        <v/>
      </c>
      <c r="AA433" s="316" t="str">
        <f t="shared" ca="1" si="198"/>
        <v/>
      </c>
      <c r="AC433" s="310" t="e">
        <f t="shared" ca="1" si="199"/>
        <v>#N/A</v>
      </c>
      <c r="AD433" s="323" t="e">
        <f t="shared" ca="1" si="200"/>
        <v>#N/A</v>
      </c>
      <c r="AE433" s="324">
        <f t="shared" ca="1" si="179"/>
        <v>901.6410896384142</v>
      </c>
      <c r="AG433" s="306">
        <f t="shared" ca="1" si="201"/>
        <v>2.2587965583383927</v>
      </c>
      <c r="AH433" s="304">
        <f t="shared" ca="1" si="202"/>
        <v>12.008105469858927</v>
      </c>
    </row>
    <row r="434" spans="1:34" x14ac:dyDescent="0.2">
      <c r="A434" s="347">
        <f t="shared" ca="1" si="180"/>
        <v>0.01</v>
      </c>
      <c r="B434" s="304">
        <f t="shared" ca="1" si="181"/>
        <v>4.2999999999999527</v>
      </c>
      <c r="D434" s="306">
        <f t="shared" ca="1" si="182"/>
        <v>1.1643032127733826</v>
      </c>
      <c r="E434" s="307">
        <f t="shared" ca="1" si="183"/>
        <v>0.60541119483921157</v>
      </c>
      <c r="F434" s="304">
        <f t="shared" ca="1" si="184"/>
        <v>1.3122974838469599</v>
      </c>
      <c r="G434" s="306">
        <f t="shared" ca="1" si="185"/>
        <v>38.324267867217507</v>
      </c>
      <c r="H434" s="307">
        <f t="shared" ca="1" si="186"/>
        <v>342.736141286188</v>
      </c>
      <c r="I434" s="304">
        <f t="shared" ca="1" si="187"/>
        <v>344.87216769595085</v>
      </c>
      <c r="J434" s="306">
        <f t="shared" ca="1" si="188"/>
        <v>95.897707757047129</v>
      </c>
      <c r="K434" s="307">
        <f t="shared" ca="1" si="189"/>
        <v>905.06842078071634</v>
      </c>
      <c r="L434" s="304">
        <f t="shared" ca="1" si="174"/>
        <v>910.1347244488345</v>
      </c>
      <c r="M434" s="306">
        <f t="shared" ca="1" si="190"/>
        <v>1.4594403209829507</v>
      </c>
      <c r="N434" s="304">
        <f t="shared" ca="1" si="191"/>
        <v>83.619770843541232</v>
      </c>
      <c r="P434" s="310">
        <f t="shared" ca="1" si="192"/>
        <v>16</v>
      </c>
      <c r="Q434" s="304">
        <f t="shared" ca="1" si="193"/>
        <v>430.76250000004705</v>
      </c>
      <c r="R434" s="306">
        <f t="shared" ca="1" si="194"/>
        <v>0.21578283302737283</v>
      </c>
      <c r="S434" s="307">
        <f t="shared" ca="1" si="195"/>
        <v>6.5051717827794882</v>
      </c>
      <c r="T434" s="304">
        <f t="shared" ca="1" si="175"/>
        <v>63.815735189066785</v>
      </c>
      <c r="U434" s="311">
        <f t="shared" ca="1" si="176"/>
        <v>0</v>
      </c>
      <c r="V434" s="306">
        <f t="shared" ca="1" si="177"/>
        <v>1.1189291856749664</v>
      </c>
      <c r="W434" s="304">
        <f t="shared" ca="1" si="178"/>
        <v>362.47730367524218</v>
      </c>
      <c r="Y434" s="314" t="str">
        <f t="shared" ca="1" si="196"/>
        <v/>
      </c>
      <c r="Z434" s="315" t="str">
        <f t="shared" ca="1" si="197"/>
        <v/>
      </c>
      <c r="AA434" s="316" t="str">
        <f t="shared" ca="1" si="198"/>
        <v/>
      </c>
      <c r="AC434" s="310" t="e">
        <f t="shared" ca="1" si="199"/>
        <v>#N/A</v>
      </c>
      <c r="AD434" s="323" t="e">
        <f t="shared" ca="1" si="200"/>
        <v>#N/A</v>
      </c>
      <c r="AE434" s="324">
        <f t="shared" ca="1" si="179"/>
        <v>905.06842078071634</v>
      </c>
      <c r="AG434" s="306">
        <f t="shared" ca="1" si="201"/>
        <v>0.73101140447395707</v>
      </c>
      <c r="AH434" s="304">
        <f t="shared" ca="1" si="202"/>
        <v>10.480285889652839</v>
      </c>
    </row>
    <row r="435" spans="1:34" x14ac:dyDescent="0.2">
      <c r="A435" s="347">
        <f t="shared" ca="1" si="180"/>
        <v>0.01</v>
      </c>
      <c r="B435" s="304">
        <f t="shared" ca="1" si="181"/>
        <v>4.3099999999999525</v>
      </c>
      <c r="D435" s="306">
        <f t="shared" ca="1" si="182"/>
        <v>0.99528019238738175</v>
      </c>
      <c r="E435" s="307">
        <f t="shared" ca="1" si="183"/>
        <v>-0.90915174846123925</v>
      </c>
      <c r="F435" s="304">
        <f t="shared" ca="1" si="184"/>
        <v>1.3480131909921327</v>
      </c>
      <c r="G435" s="306">
        <f t="shared" ca="1" si="185"/>
        <v>38.334220669141381</v>
      </c>
      <c r="H435" s="307">
        <f t="shared" ca="1" si="186"/>
        <v>342.72704976870341</v>
      </c>
      <c r="I435" s="304">
        <f t="shared" ca="1" si="187"/>
        <v>344.86423867584432</v>
      </c>
      <c r="J435" s="306">
        <f t="shared" ca="1" si="188"/>
        <v>96.281000199728922</v>
      </c>
      <c r="K435" s="307">
        <f t="shared" ca="1" si="189"/>
        <v>908.49573673599082</v>
      </c>
      <c r="L435" s="304">
        <f t="shared" ca="1" si="174"/>
        <v>913.58334850572396</v>
      </c>
      <c r="M435" s="306">
        <f t="shared" ca="1" si="190"/>
        <v>1.4594087101044224</v>
      </c>
      <c r="N435" s="304">
        <f t="shared" ca="1" si="191"/>
        <v>83.617959673614862</v>
      </c>
      <c r="P435" s="310">
        <f t="shared" ca="1" si="192"/>
        <v>16</v>
      </c>
      <c r="Q435" s="304">
        <f t="shared" ca="1" si="193"/>
        <v>420.72083333338054</v>
      </c>
      <c r="R435" s="306">
        <f t="shared" ca="1" si="194"/>
        <v>0.21075263824103557</v>
      </c>
      <c r="S435" s="307">
        <f t="shared" ca="1" si="195"/>
        <v>6.503064256397078</v>
      </c>
      <c r="T435" s="304">
        <f t="shared" ca="1" si="175"/>
        <v>63.795060355255337</v>
      </c>
      <c r="U435" s="311">
        <f t="shared" ca="1" si="176"/>
        <v>0</v>
      </c>
      <c r="V435" s="306">
        <f t="shared" ca="1" si="177"/>
        <v>1.1185449693259166</v>
      </c>
      <c r="W435" s="304">
        <f t="shared" ca="1" si="178"/>
        <v>362.33617507106391</v>
      </c>
      <c r="Y435" s="314" t="str">
        <f t="shared" ca="1" si="196"/>
        <v/>
      </c>
      <c r="Z435" s="315" t="str">
        <f t="shared" ca="1" si="197"/>
        <v/>
      </c>
      <c r="AA435" s="316" t="str">
        <f t="shared" ca="1" si="198"/>
        <v/>
      </c>
      <c r="AC435" s="310" t="e">
        <f t="shared" ca="1" si="199"/>
        <v>#N/A</v>
      </c>
      <c r="AD435" s="323" t="e">
        <f t="shared" ca="1" si="200"/>
        <v>#N/A</v>
      </c>
      <c r="AE435" s="324">
        <f t="shared" ca="1" si="179"/>
        <v>908.49573673599082</v>
      </c>
      <c r="AG435" s="306">
        <f t="shared" ca="1" si="201"/>
        <v>-0.79291924089476673</v>
      </c>
      <c r="AH435" s="304">
        <f t="shared" ca="1" si="202"/>
        <v>8.9563207992054021</v>
      </c>
    </row>
    <row r="436" spans="1:34" x14ac:dyDescent="0.2">
      <c r="A436" s="347">
        <f t="shared" ca="1" si="180"/>
        <v>0.01</v>
      </c>
      <c r="B436" s="304">
        <f t="shared" ca="1" si="181"/>
        <v>4.3199999999999523</v>
      </c>
      <c r="D436" s="306">
        <f t="shared" ca="1" si="182"/>
        <v>0.78804809261592357</v>
      </c>
      <c r="E436" s="307">
        <f t="shared" ca="1" si="183"/>
        <v>-2.7644570583764319</v>
      </c>
      <c r="F436" s="304">
        <f t="shared" ca="1" si="184"/>
        <v>2.8745856438594539</v>
      </c>
      <c r="G436" s="306">
        <f t="shared" ca="1" si="185"/>
        <v>38.342101150067542</v>
      </c>
      <c r="H436" s="307">
        <f t="shared" ca="1" si="186"/>
        <v>342.69940519811962</v>
      </c>
      <c r="I436" s="304">
        <f t="shared" ca="1" si="187"/>
        <v>344.83764157027144</v>
      </c>
      <c r="J436" s="306">
        <f t="shared" ca="1" si="188"/>
        <v>96.66438180882497</v>
      </c>
      <c r="K436" s="307">
        <f t="shared" ca="1" si="189"/>
        <v>911.92286901082491</v>
      </c>
      <c r="L436" s="304">
        <f t="shared" ca="1" si="174"/>
        <v>917.0317997405632</v>
      </c>
      <c r="M436" s="306">
        <f t="shared" ca="1" si="190"/>
        <v>1.4593770878507646</v>
      </c>
      <c r="N436" s="304">
        <f t="shared" ca="1" si="191"/>
        <v>83.616147851941577</v>
      </c>
      <c r="P436" s="310">
        <f t="shared" ca="1" si="192"/>
        <v>17</v>
      </c>
      <c r="Q436" s="304">
        <f t="shared" ca="1" si="193"/>
        <v>408.42500000006868</v>
      </c>
      <c r="R436" s="306">
        <f t="shared" ca="1" si="194"/>
        <v>0.20459325864997518</v>
      </c>
      <c r="S436" s="307">
        <f t="shared" ca="1" si="195"/>
        <v>6.5010183238105785</v>
      </c>
      <c r="T436" s="304">
        <f t="shared" ca="1" si="175"/>
        <v>63.774989756581782</v>
      </c>
      <c r="U436" s="311">
        <f t="shared" ca="1" si="176"/>
        <v>0</v>
      </c>
      <c r="V436" s="306">
        <f t="shared" ca="1" si="177"/>
        <v>1.1181608994987555</v>
      </c>
      <c r="W436" s="304">
        <f t="shared" ca="1" si="178"/>
        <v>362.15589344815766</v>
      </c>
      <c r="Y436" s="314" t="str">
        <f t="shared" ca="1" si="196"/>
        <v/>
      </c>
      <c r="Z436" s="315" t="str">
        <f t="shared" ca="1" si="197"/>
        <v/>
      </c>
      <c r="AA436" s="316" t="str">
        <f t="shared" ca="1" si="198"/>
        <v/>
      </c>
      <c r="AC436" s="310" t="e">
        <f t="shared" ca="1" si="199"/>
        <v>#N/A</v>
      </c>
      <c r="AD436" s="323" t="e">
        <f t="shared" ca="1" si="200"/>
        <v>#N/A</v>
      </c>
      <c r="AE436" s="324">
        <f t="shared" ca="1" si="179"/>
        <v>911.92286901082491</v>
      </c>
      <c r="AG436" s="306">
        <f t="shared" ca="1" si="201"/>
        <v>-2.6597277986006365</v>
      </c>
      <c r="AH436" s="304">
        <f t="shared" ca="1" si="202"/>
        <v>7.0894777761508845</v>
      </c>
    </row>
    <row r="437" spans="1:34" x14ac:dyDescent="0.2">
      <c r="A437" s="347">
        <f t="shared" ca="1" si="180"/>
        <v>0.01</v>
      </c>
      <c r="B437" s="304">
        <f t="shared" ca="1" si="181"/>
        <v>4.3299999999999521</v>
      </c>
      <c r="D437" s="306">
        <f t="shared" ca="1" si="182"/>
        <v>0.54266601665630176</v>
      </c>
      <c r="E437" s="307">
        <f t="shared" ca="1" si="183"/>
        <v>-4.9596836231934063</v>
      </c>
      <c r="F437" s="304">
        <f t="shared" ca="1" si="184"/>
        <v>4.9892833200577504</v>
      </c>
      <c r="G437" s="306">
        <f t="shared" ca="1" si="185"/>
        <v>38.347527810234105</v>
      </c>
      <c r="H437" s="307">
        <f t="shared" ca="1" si="186"/>
        <v>342.64980836188766</v>
      </c>
      <c r="I437" s="304">
        <f t="shared" ca="1" si="187"/>
        <v>344.78895582601689</v>
      </c>
      <c r="J437" s="306">
        <f t="shared" ca="1" si="188"/>
        <v>97.047829953626476</v>
      </c>
      <c r="K437" s="307">
        <f t="shared" ca="1" si="189"/>
        <v>915.34961507862499</v>
      </c>
      <c r="L437" s="304">
        <f t="shared" ca="1" si="174"/>
        <v>920.47987437167524</v>
      </c>
      <c r="M437" s="306">
        <f t="shared" ca="1" si="190"/>
        <v>1.4593454521904534</v>
      </c>
      <c r="N437" s="304">
        <f t="shared" ca="1" si="191"/>
        <v>83.614335262123646</v>
      </c>
      <c r="P437" s="310">
        <f t="shared" ca="1" si="192"/>
        <v>17</v>
      </c>
      <c r="Q437" s="304">
        <f t="shared" ca="1" si="193"/>
        <v>393.87500000006906</v>
      </c>
      <c r="R437" s="306">
        <f t="shared" ca="1" si="194"/>
        <v>0.19730469425417044</v>
      </c>
      <c r="S437" s="307">
        <f t="shared" ca="1" si="195"/>
        <v>6.4990452768680367</v>
      </c>
      <c r="T437" s="304">
        <f t="shared" ca="1" si="175"/>
        <v>63.755634166075446</v>
      </c>
      <c r="U437" s="311">
        <f t="shared" ca="1" si="176"/>
        <v>0</v>
      </c>
      <c r="V437" s="306">
        <f t="shared" ca="1" si="177"/>
        <v>1.1177769987968142</v>
      </c>
      <c r="W437" s="304">
        <f t="shared" ca="1" si="178"/>
        <v>361.92933434767895</v>
      </c>
      <c r="Y437" s="314" t="str">
        <f t="shared" ca="1" si="196"/>
        <v/>
      </c>
      <c r="Z437" s="315" t="str">
        <f t="shared" ca="1" si="197"/>
        <v/>
      </c>
      <c r="AA437" s="316" t="str">
        <f t="shared" ca="1" si="198"/>
        <v/>
      </c>
      <c r="AC437" s="310" t="e">
        <f t="shared" ca="1" si="199"/>
        <v>#N/A</v>
      </c>
      <c r="AD437" s="323" t="e">
        <f t="shared" ca="1" si="200"/>
        <v>#N/A</v>
      </c>
      <c r="AE437" s="324">
        <f t="shared" ca="1" si="179"/>
        <v>915.34961507862499</v>
      </c>
      <c r="AG437" s="306">
        <f t="shared" ca="1" si="201"/>
        <v>-4.8685916789503736</v>
      </c>
      <c r="AH437" s="304">
        <f t="shared" ca="1" si="202"/>
        <v>4.8805794083030616</v>
      </c>
    </row>
    <row r="438" spans="1:34" x14ac:dyDescent="0.2">
      <c r="A438" s="347">
        <f t="shared" ca="1" si="180"/>
        <v>0.01</v>
      </c>
      <c r="B438" s="304">
        <f t="shared" ca="1" si="181"/>
        <v>4.3399999999999519</v>
      </c>
      <c r="D438" s="306">
        <f t="shared" ca="1" si="182"/>
        <v>0.29778478885424853</v>
      </c>
      <c r="E438" s="307">
        <f t="shared" ca="1" si="183"/>
        <v>-7.1491791685000772</v>
      </c>
      <c r="F438" s="304">
        <f t="shared" ca="1" si="184"/>
        <v>7.1553782963438364</v>
      </c>
      <c r="G438" s="306">
        <f t="shared" ca="1" si="185"/>
        <v>38.35050565812265</v>
      </c>
      <c r="H438" s="307">
        <f t="shared" ca="1" si="186"/>
        <v>342.57831657020267</v>
      </c>
      <c r="I438" s="304">
        <f t="shared" ca="1" si="187"/>
        <v>344.71823895510329</v>
      </c>
      <c r="J438" s="306">
        <f t="shared" ca="1" si="188"/>
        <v>97.431320120968266</v>
      </c>
      <c r="K438" s="307">
        <f t="shared" ca="1" si="189"/>
        <v>918.77575570328543</v>
      </c>
      <c r="L438" s="304">
        <f t="shared" ca="1" si="174"/>
        <v>923.92735180243358</v>
      </c>
      <c r="M438" s="306">
        <f t="shared" ca="1" si="190"/>
        <v>1.4593138010932329</v>
      </c>
      <c r="N438" s="304">
        <f t="shared" ca="1" si="191"/>
        <v>83.612521787835945</v>
      </c>
      <c r="P438" s="310">
        <f t="shared" ca="1" si="192"/>
        <v>17</v>
      </c>
      <c r="Q438" s="304">
        <f t="shared" ca="1" si="193"/>
        <v>379.32500000006945</v>
      </c>
      <c r="R438" s="306">
        <f t="shared" ca="1" si="194"/>
        <v>0.19001612985836566</v>
      </c>
      <c r="S438" s="307">
        <f t="shared" ca="1" si="195"/>
        <v>6.4971451155694533</v>
      </c>
      <c r="T438" s="304">
        <f t="shared" ca="1" si="175"/>
        <v>63.736993583736343</v>
      </c>
      <c r="U438" s="311">
        <f t="shared" ca="1" si="176"/>
        <v>0</v>
      </c>
      <c r="V438" s="306">
        <f t="shared" ca="1" si="177"/>
        <v>1.1173932916648177</v>
      </c>
      <c r="W438" s="304">
        <f t="shared" ca="1" si="178"/>
        <v>361.65669372668435</v>
      </c>
      <c r="Y438" s="314" t="str">
        <f t="shared" ca="1" si="196"/>
        <v/>
      </c>
      <c r="Z438" s="315" t="str">
        <f t="shared" ca="1" si="197"/>
        <v/>
      </c>
      <c r="AA438" s="316" t="str">
        <f t="shared" ca="1" si="198"/>
        <v/>
      </c>
      <c r="AC438" s="310" t="e">
        <f t="shared" ca="1" si="199"/>
        <v>#N/A</v>
      </c>
      <c r="AD438" s="323" t="e">
        <f t="shared" ca="1" si="200"/>
        <v>#N/A</v>
      </c>
      <c r="AE438" s="324">
        <f t="shared" ca="1" si="179"/>
        <v>918.77575570328543</v>
      </c>
      <c r="AG438" s="306">
        <f t="shared" ca="1" si="201"/>
        <v>-7.071704358157155</v>
      </c>
      <c r="AH438" s="304">
        <f t="shared" ca="1" si="202"/>
        <v>2.677432217221738</v>
      </c>
    </row>
    <row r="439" spans="1:34" x14ac:dyDescent="0.2">
      <c r="A439" s="347">
        <f t="shared" ca="1" si="180"/>
        <v>0.01</v>
      </c>
      <c r="B439" s="304">
        <f t="shared" ca="1" si="181"/>
        <v>4.3499999999999517</v>
      </c>
      <c r="D439" s="306">
        <f t="shared" ca="1" si="182"/>
        <v>5.3410321600887455E-2</v>
      </c>
      <c r="E439" s="307">
        <f t="shared" ca="1" si="183"/>
        <v>-9.3328949984488734</v>
      </c>
      <c r="F439" s="304">
        <f t="shared" ca="1" si="184"/>
        <v>9.3330478255779603</v>
      </c>
      <c r="G439" s="306">
        <f t="shared" ca="1" si="185"/>
        <v>38.351039761338662</v>
      </c>
      <c r="H439" s="307">
        <f t="shared" ca="1" si="186"/>
        <v>342.48498762021819</v>
      </c>
      <c r="I439" s="304">
        <f t="shared" ca="1" si="187"/>
        <v>344.6255489600224</v>
      </c>
      <c r="J439" s="306">
        <f t="shared" ca="1" si="188"/>
        <v>97.814827848065576</v>
      </c>
      <c r="K439" s="307">
        <f t="shared" ca="1" si="189"/>
        <v>922.20107222423758</v>
      </c>
      <c r="L439" s="304">
        <f t="shared" ca="1" si="174"/>
        <v>927.37401201375064</v>
      </c>
      <c r="M439" s="306">
        <f t="shared" ca="1" si="190"/>
        <v>1.4592821325293934</v>
      </c>
      <c r="N439" s="304">
        <f t="shared" ca="1" si="191"/>
        <v>83.610707312784697</v>
      </c>
      <c r="P439" s="310">
        <f t="shared" ca="1" si="192"/>
        <v>17</v>
      </c>
      <c r="Q439" s="304">
        <f t="shared" ca="1" si="193"/>
        <v>364.77500000006984</v>
      </c>
      <c r="R439" s="306">
        <f t="shared" ca="1" si="194"/>
        <v>0.18272756546256091</v>
      </c>
      <c r="S439" s="307">
        <f t="shared" ca="1" si="195"/>
        <v>6.4953178399148275</v>
      </c>
      <c r="T439" s="304">
        <f t="shared" ca="1" si="175"/>
        <v>63.719068009564459</v>
      </c>
      <c r="U439" s="311">
        <f t="shared" ca="1" si="176"/>
        <v>0</v>
      </c>
      <c r="V439" s="306">
        <f t="shared" ca="1" si="177"/>
        <v>1.1170098024510007</v>
      </c>
      <c r="W439" s="304">
        <f t="shared" ca="1" si="178"/>
        <v>361.33817706440357</v>
      </c>
      <c r="Y439" s="314" t="str">
        <f t="shared" ca="1" si="196"/>
        <v/>
      </c>
      <c r="Z439" s="315" t="str">
        <f t="shared" ca="1" si="197"/>
        <v/>
      </c>
      <c r="AA439" s="316" t="str">
        <f t="shared" ca="1" si="198"/>
        <v/>
      </c>
      <c r="AC439" s="310" t="e">
        <f t="shared" ca="1" si="199"/>
        <v>#N/A</v>
      </c>
      <c r="AD439" s="323" t="e">
        <f t="shared" ca="1" si="200"/>
        <v>#N/A</v>
      </c>
      <c r="AE439" s="324">
        <f t="shared" ca="1" si="179"/>
        <v>922.20107222423758</v>
      </c>
      <c r="AG439" s="306">
        <f t="shared" ca="1" si="201"/>
        <v>-9.2690167893044695</v>
      </c>
      <c r="AH439" s="304">
        <f t="shared" ca="1" si="202"/>
        <v>0.48008524759527016</v>
      </c>
    </row>
    <row r="440" spans="1:34" x14ac:dyDescent="0.2">
      <c r="A440" s="347">
        <f t="shared" ca="1" si="180"/>
        <v>0.01</v>
      </c>
      <c r="B440" s="304">
        <f t="shared" ca="1" si="181"/>
        <v>4.3599999999999515</v>
      </c>
      <c r="D440" s="306">
        <f t="shared" ca="1" si="182"/>
        <v>-0.19045168415758826</v>
      </c>
      <c r="E440" s="307">
        <f t="shared" ca="1" si="183"/>
        <v>-11.510784205509754</v>
      </c>
      <c r="F440" s="304">
        <f t="shared" ca="1" si="184"/>
        <v>11.51235965689968</v>
      </c>
      <c r="G440" s="306">
        <f t="shared" ca="1" si="185"/>
        <v>38.349135244497084</v>
      </c>
      <c r="H440" s="307">
        <f t="shared" ca="1" si="186"/>
        <v>342.36987977816307</v>
      </c>
      <c r="I440" s="304">
        <f t="shared" ca="1" si="187"/>
        <v>344.5109443157279</v>
      </c>
      <c r="J440" s="306">
        <f t="shared" ca="1" si="188"/>
        <v>98.198328723094761</v>
      </c>
      <c r="K440" s="307">
        <f t="shared" ca="1" si="189"/>
        <v>925.62534656122943</v>
      </c>
      <c r="L440" s="304">
        <f t="shared" ca="1" si="174"/>
        <v>930.81963556889207</v>
      </c>
      <c r="M440" s="306">
        <f t="shared" ca="1" si="190"/>
        <v>1.4592504444690479</v>
      </c>
      <c r="N440" s="304">
        <f t="shared" ca="1" si="191"/>
        <v>83.608891720665952</v>
      </c>
      <c r="P440" s="310">
        <f t="shared" ca="1" si="192"/>
        <v>17</v>
      </c>
      <c r="Q440" s="304">
        <f t="shared" ca="1" si="193"/>
        <v>350.22500000007022</v>
      </c>
      <c r="R440" s="306">
        <f t="shared" ca="1" si="194"/>
        <v>0.17543900106675614</v>
      </c>
      <c r="S440" s="307">
        <f t="shared" ca="1" si="195"/>
        <v>6.4935634499041601</v>
      </c>
      <c r="T440" s="304">
        <f t="shared" ca="1" si="175"/>
        <v>63.701857443559817</v>
      </c>
      <c r="U440" s="311">
        <f t="shared" ca="1" si="176"/>
        <v>0</v>
      </c>
      <c r="V440" s="306">
        <f t="shared" ca="1" si="177"/>
        <v>1.1166265554067334</v>
      </c>
      <c r="W440" s="304">
        <f t="shared" ca="1" si="178"/>
        <v>360.9739992191486</v>
      </c>
      <c r="Y440" s="314" t="str">
        <f t="shared" ca="1" si="196"/>
        <v/>
      </c>
      <c r="Z440" s="315" t="str">
        <f t="shared" ca="1" si="197"/>
        <v/>
      </c>
      <c r="AA440" s="316" t="str">
        <f t="shared" ca="1" si="198"/>
        <v/>
      </c>
      <c r="AC440" s="310" t="e">
        <f t="shared" ca="1" si="199"/>
        <v>#N/A</v>
      </c>
      <c r="AD440" s="323" t="e">
        <f t="shared" ca="1" si="200"/>
        <v>#N/A</v>
      </c>
      <c r="AE440" s="324">
        <f t="shared" ca="1" si="179"/>
        <v>925.62534656122943</v>
      </c>
      <c r="AG440" s="306">
        <f t="shared" ca="1" si="201"/>
        <v>-11.460481726190634</v>
      </c>
      <c r="AH440" s="304">
        <f t="shared" ca="1" si="202"/>
        <v>-1.7114142566047252</v>
      </c>
    </row>
    <row r="441" spans="1:34" x14ac:dyDescent="0.2">
      <c r="A441" s="347">
        <f t="shared" ca="1" si="180"/>
        <v>0.01</v>
      </c>
      <c r="B441" s="304">
        <f t="shared" ca="1" si="181"/>
        <v>4.3699999999999513</v>
      </c>
      <c r="D441" s="306">
        <f t="shared" ca="1" si="182"/>
        <v>-0.43379573749351591</v>
      </c>
      <c r="E441" s="307">
        <f t="shared" ca="1" si="183"/>
        <v>-13.682801656335817</v>
      </c>
      <c r="F441" s="304">
        <f t="shared" ca="1" si="184"/>
        <v>13.689676398969178</v>
      </c>
      <c r="G441" s="306">
        <f t="shared" ca="1" si="185"/>
        <v>38.344797287122148</v>
      </c>
      <c r="H441" s="307">
        <f t="shared" ca="1" si="186"/>
        <v>342.23305176159971</v>
      </c>
      <c r="I441" s="304">
        <f t="shared" ca="1" si="187"/>
        <v>344.37448395177057</v>
      </c>
      <c r="J441" s="306">
        <f t="shared" ca="1" si="188"/>
        <v>98.581798385752862</v>
      </c>
      <c r="K441" s="307">
        <f t="shared" ca="1" si="189"/>
        <v>929.04836121892822</v>
      </c>
      <c r="L441" s="304">
        <f t="shared" ca="1" si="174"/>
        <v>934.26400361811295</v>
      </c>
      <c r="M441" s="306">
        <f t="shared" ca="1" si="190"/>
        <v>1.4592187348814132</v>
      </c>
      <c r="N441" s="304">
        <f t="shared" ca="1" si="191"/>
        <v>83.607074895124384</v>
      </c>
      <c r="P441" s="310">
        <f t="shared" ca="1" si="192"/>
        <v>17</v>
      </c>
      <c r="Q441" s="304">
        <f t="shared" ca="1" si="193"/>
        <v>335.67500000007061</v>
      </c>
      <c r="R441" s="306">
        <f t="shared" ca="1" si="194"/>
        <v>0.16815043667095139</v>
      </c>
      <c r="S441" s="307">
        <f t="shared" ca="1" si="195"/>
        <v>6.4918819455374503</v>
      </c>
      <c r="T441" s="304">
        <f t="shared" ca="1" si="175"/>
        <v>63.685361885722394</v>
      </c>
      <c r="U441" s="311">
        <f t="shared" ca="1" si="176"/>
        <v>0</v>
      </c>
      <c r="V441" s="306">
        <f t="shared" ca="1" si="177"/>
        <v>1.1162435746861734</v>
      </c>
      <c r="W441" s="304">
        <f t="shared" ca="1" si="178"/>
        <v>360.56438428523916</v>
      </c>
      <c r="Y441" s="314" t="str">
        <f t="shared" ca="1" si="196"/>
        <v/>
      </c>
      <c r="Z441" s="315" t="str">
        <f t="shared" ca="1" si="197"/>
        <v/>
      </c>
      <c r="AA441" s="316" t="str">
        <f t="shared" ca="1" si="198"/>
        <v/>
      </c>
      <c r="AC441" s="310" t="e">
        <f t="shared" ca="1" si="199"/>
        <v>#N/A</v>
      </c>
      <c r="AD441" s="323" t="e">
        <f t="shared" ca="1" si="200"/>
        <v>#N/A</v>
      </c>
      <c r="AE441" s="324">
        <f t="shared" ca="1" si="179"/>
        <v>929.04836121892822</v>
      </c>
      <c r="AG441" s="306">
        <f t="shared" ca="1" si="201"/>
        <v>-13.646053709124926</v>
      </c>
      <c r="AH441" s="304">
        <f t="shared" ca="1" si="202"/>
        <v>-3.8970208379202944</v>
      </c>
    </row>
    <row r="442" spans="1:34" x14ac:dyDescent="0.2">
      <c r="A442" s="347">
        <f t="shared" ca="1" si="180"/>
        <v>0.01</v>
      </c>
      <c r="B442" s="304">
        <f t="shared" ca="1" si="181"/>
        <v>4.379999999999951</v>
      </c>
      <c r="D442" s="306">
        <f t="shared" ca="1" si="182"/>
        <v>-0.67661655604085191</v>
      </c>
      <c r="E442" s="307">
        <f t="shared" ca="1" si="183"/>
        <v>-15.848903977308343</v>
      </c>
      <c r="F442" s="304">
        <f t="shared" ca="1" si="184"/>
        <v>15.863340355859757</v>
      </c>
      <c r="G442" s="306">
        <f t="shared" ca="1" si="185"/>
        <v>38.338031121561741</v>
      </c>
      <c r="H442" s="307">
        <f t="shared" ca="1" si="186"/>
        <v>342.07456272182662</v>
      </c>
      <c r="I442" s="304">
        <f t="shared" ca="1" si="187"/>
        <v>344.21622723457813</v>
      </c>
      <c r="J442" s="306">
        <f t="shared" ca="1" si="188"/>
        <v>98.965212527796282</v>
      </c>
      <c r="K442" s="307">
        <f t="shared" ca="1" si="189"/>
        <v>932.46989929134531</v>
      </c>
      <c r="L442" s="304">
        <f t="shared" ca="1" si="174"/>
        <v>937.7068979031153</v>
      </c>
      <c r="M442" s="306">
        <f t="shared" ca="1" si="190"/>
        <v>1.4591870017340878</v>
      </c>
      <c r="N442" s="304">
        <f t="shared" ca="1" si="191"/>
        <v>83.60525671971196</v>
      </c>
      <c r="P442" s="310">
        <f t="shared" ca="1" si="192"/>
        <v>17</v>
      </c>
      <c r="Q442" s="304">
        <f t="shared" ca="1" si="193"/>
        <v>321.125000000071</v>
      </c>
      <c r="R442" s="306">
        <f t="shared" ca="1" si="194"/>
        <v>0.16086187227514662</v>
      </c>
      <c r="S442" s="307">
        <f t="shared" ca="1" si="195"/>
        <v>6.490273326814699</v>
      </c>
      <c r="T442" s="304">
        <f t="shared" ca="1" si="175"/>
        <v>63.669581336052204</v>
      </c>
      <c r="U442" s="311">
        <f t="shared" ca="1" si="176"/>
        <v>0</v>
      </c>
      <c r="V442" s="306">
        <f t="shared" ca="1" si="177"/>
        <v>1.1158608843459448</v>
      </c>
      <c r="W442" s="304">
        <f t="shared" ca="1" si="178"/>
        <v>360.10956545001051</v>
      </c>
      <c r="Y442" s="314" t="str">
        <f t="shared" ca="1" si="196"/>
        <v/>
      </c>
      <c r="Z442" s="315" t="str">
        <f t="shared" ca="1" si="197"/>
        <v/>
      </c>
      <c r="AA442" s="316" t="str">
        <f t="shared" ca="1" si="198"/>
        <v/>
      </c>
      <c r="AC442" s="310" t="e">
        <f t="shared" ca="1" si="199"/>
        <v>#N/A</v>
      </c>
      <c r="AD442" s="323" t="e">
        <f t="shared" ca="1" si="200"/>
        <v>#N/A</v>
      </c>
      <c r="AE442" s="324">
        <f t="shared" ca="1" si="179"/>
        <v>932.46989929134531</v>
      </c>
      <c r="AG442" s="306">
        <f t="shared" ca="1" si="201"/>
        <v>-15.825689050401747</v>
      </c>
      <c r="AH442" s="304">
        <f t="shared" ca="1" si="202"/>
        <v>-6.0766908108821127</v>
      </c>
    </row>
    <row r="443" spans="1:34" x14ac:dyDescent="0.2">
      <c r="A443" s="347">
        <f t="shared" ca="1" si="180"/>
        <v>0.01</v>
      </c>
      <c r="B443" s="304">
        <f t="shared" ca="1" si="181"/>
        <v>4.3899999999999508</v>
      </c>
      <c r="D443" s="306">
        <f t="shared" ca="1" si="182"/>
        <v>-0.91890906450915055</v>
      </c>
      <c r="E443" s="307">
        <f t="shared" ca="1" si="183"/>
        <v>-18.009049539774225</v>
      </c>
      <c r="F443" s="304">
        <f t="shared" ca="1" si="184"/>
        <v>18.032477899470148</v>
      </c>
      <c r="G443" s="306">
        <f t="shared" ca="1" si="185"/>
        <v>38.328842030916647</v>
      </c>
      <c r="H443" s="307">
        <f t="shared" ca="1" si="186"/>
        <v>341.89447222642889</v>
      </c>
      <c r="I443" s="304">
        <f t="shared" ca="1" si="187"/>
        <v>344.03623394988404</v>
      </c>
      <c r="J443" s="306">
        <f t="shared" ca="1" si="188"/>
        <v>99.348546893558677</v>
      </c>
      <c r="K443" s="307">
        <f t="shared" ca="1" si="189"/>
        <v>935.88974446608654</v>
      </c>
      <c r="L443" s="304">
        <f t="shared" ca="1" si="174"/>
        <v>941.14810076132994</v>
      </c>
      <c r="M443" s="306">
        <f t="shared" ca="1" si="190"/>
        <v>1.4591552429923305</v>
      </c>
      <c r="N443" s="304">
        <f t="shared" ca="1" si="191"/>
        <v>83.603437077846621</v>
      </c>
      <c r="P443" s="310">
        <f t="shared" ca="1" si="192"/>
        <v>17</v>
      </c>
      <c r="Q443" s="304">
        <f t="shared" ca="1" si="193"/>
        <v>306.57500000007138</v>
      </c>
      <c r="R443" s="306">
        <f t="shared" ca="1" si="194"/>
        <v>0.15357330787934187</v>
      </c>
      <c r="S443" s="307">
        <f t="shared" ca="1" si="195"/>
        <v>6.4887375937359053</v>
      </c>
      <c r="T443" s="304">
        <f t="shared" ca="1" si="175"/>
        <v>63.654515794549233</v>
      </c>
      <c r="U443" s="311">
        <f t="shared" ca="1" si="176"/>
        <v>0</v>
      </c>
      <c r="V443" s="306">
        <f t="shared" ca="1" si="177"/>
        <v>1.1154785083448391</v>
      </c>
      <c r="W443" s="304">
        <f t="shared" ca="1" si="178"/>
        <v>359.60978485097473</v>
      </c>
      <c r="Y443" s="314" t="str">
        <f t="shared" ca="1" si="196"/>
        <v/>
      </c>
      <c r="Z443" s="315" t="str">
        <f t="shared" ca="1" si="197"/>
        <v/>
      </c>
      <c r="AA443" s="316" t="str">
        <f t="shared" ca="1" si="198"/>
        <v/>
      </c>
      <c r="AC443" s="310" t="e">
        <f t="shared" ca="1" si="199"/>
        <v>#N/A</v>
      </c>
      <c r="AD443" s="323" t="e">
        <f t="shared" ca="1" si="200"/>
        <v>#N/A</v>
      </c>
      <c r="AE443" s="324">
        <f t="shared" ca="1" si="179"/>
        <v>935.88974446608654</v>
      </c>
      <c r="AG443" s="306">
        <f t="shared" ca="1" si="201"/>
        <v>-17.999345819465869</v>
      </c>
      <c r="AH443" s="304">
        <f t="shared" ca="1" si="202"/>
        <v>-8.250382247175521</v>
      </c>
    </row>
    <row r="444" spans="1:34" x14ac:dyDescent="0.2">
      <c r="A444" s="347">
        <f t="shared" ca="1" si="180"/>
        <v>0.01</v>
      </c>
      <c r="B444" s="304">
        <f t="shared" ca="1" si="181"/>
        <v>4.3999999999999506</v>
      </c>
      <c r="D444" s="306">
        <f t="shared" ca="1" si="182"/>
        <v>-1.160668393169952</v>
      </c>
      <c r="E444" s="307">
        <f t="shared" ca="1" si="183"/>
        <v>-20.163198444989597</v>
      </c>
      <c r="F444" s="304">
        <f t="shared" ca="1" si="184"/>
        <v>20.196577003317532</v>
      </c>
      <c r="G444" s="306">
        <f t="shared" ca="1" si="185"/>
        <v>38.317235346984944</v>
      </c>
      <c r="H444" s="307">
        <f t="shared" ca="1" si="186"/>
        <v>341.69284024197901</v>
      </c>
      <c r="I444" s="304">
        <f t="shared" ca="1" si="187"/>
        <v>343.8345642853069</v>
      </c>
      <c r="J444" s="306">
        <f t="shared" ca="1" si="188"/>
        <v>99.731777280448185</v>
      </c>
      <c r="K444" s="307">
        <f t="shared" ca="1" si="189"/>
        <v>939.30768102842853</v>
      </c>
      <c r="L444" s="304">
        <f t="shared" ca="1" si="174"/>
        <v>944.5873951300224</v>
      </c>
      <c r="M444" s="306">
        <f t="shared" ca="1" si="190"/>
        <v>1.4591234566183382</v>
      </c>
      <c r="N444" s="304">
        <f t="shared" ca="1" si="191"/>
        <v>83.601615852770848</v>
      </c>
      <c r="P444" s="310">
        <f t="shared" ca="1" si="192"/>
        <v>17</v>
      </c>
      <c r="Q444" s="304">
        <f t="shared" ca="1" si="193"/>
        <v>292.02500000007177</v>
      </c>
      <c r="R444" s="306">
        <f t="shared" ca="1" si="194"/>
        <v>0.14628474348353709</v>
      </c>
      <c r="S444" s="307">
        <f t="shared" ca="1" si="195"/>
        <v>6.48727474630107</v>
      </c>
      <c r="T444" s="304">
        <f t="shared" ca="1" si="175"/>
        <v>63.640165261213504</v>
      </c>
      <c r="U444" s="311">
        <f t="shared" ca="1" si="176"/>
        <v>0</v>
      </c>
      <c r="V444" s="306">
        <f t="shared" ca="1" si="177"/>
        <v>1.1150964705435464</v>
      </c>
      <c r="W444" s="304">
        <f t="shared" ca="1" si="178"/>
        <v>359.06529343319937</v>
      </c>
      <c r="Y444" s="314" t="str">
        <f t="shared" ca="1" si="196"/>
        <v/>
      </c>
      <c r="Z444" s="315" t="str">
        <f t="shared" ca="1" si="197"/>
        <v/>
      </c>
      <c r="AA444" s="316" t="str">
        <f t="shared" ca="1" si="198"/>
        <v/>
      </c>
      <c r="AC444" s="310" t="e">
        <f t="shared" ca="1" si="199"/>
        <v>#N/A</v>
      </c>
      <c r="AD444" s="323" t="e">
        <f t="shared" ca="1" si="200"/>
        <v>#N/A</v>
      </c>
      <c r="AE444" s="324">
        <f t="shared" ca="1" si="179"/>
        <v>939.30768102842853</v>
      </c>
      <c r="AG444" s="306">
        <f t="shared" ca="1" si="201"/>
        <v>-20.166983827782648</v>
      </c>
      <c r="AH444" s="304">
        <f t="shared" ca="1" si="202"/>
        <v>-10.418054960511519</v>
      </c>
    </row>
    <row r="445" spans="1:34" x14ac:dyDescent="0.2">
      <c r="A445" s="347">
        <f t="shared" ca="1" si="180"/>
        <v>0.01</v>
      </c>
      <c r="B445" s="304">
        <f t="shared" ca="1" si="181"/>
        <v>4.4099999999999504</v>
      </c>
      <c r="D445" s="306">
        <f t="shared" ca="1" si="182"/>
        <v>-1.401889876316978</v>
      </c>
      <c r="E445" s="307">
        <f t="shared" ca="1" si="183"/>
        <v>-22.311312508782464</v>
      </c>
      <c r="F445" s="304">
        <f t="shared" ca="1" si="184"/>
        <v>22.35531169744392</v>
      </c>
      <c r="G445" s="306">
        <f t="shared" ca="1" si="185"/>
        <v>38.303216448221775</v>
      </c>
      <c r="H445" s="307">
        <f t="shared" ca="1" si="186"/>
        <v>341.46972711689119</v>
      </c>
      <c r="I445" s="304">
        <f t="shared" ca="1" si="187"/>
        <v>343.61127881308477</v>
      </c>
      <c r="J445" s="306">
        <f t="shared" ca="1" si="188"/>
        <v>100.11487953942422</v>
      </c>
      <c r="K445" s="307">
        <f t="shared" ca="1" si="189"/>
        <v>942.72349386522285</v>
      </c>
      <c r="L445" s="304">
        <f t="shared" ca="1" si="174"/>
        <v>948.02456455022627</v>
      </c>
      <c r="M445" s="306">
        <f t="shared" ca="1" si="190"/>
        <v>1.459091640570521</v>
      </c>
      <c r="N445" s="304">
        <f t="shared" ca="1" si="191"/>
        <v>83.599792927510137</v>
      </c>
      <c r="P445" s="310">
        <f t="shared" ca="1" si="192"/>
        <v>17</v>
      </c>
      <c r="Q445" s="304">
        <f t="shared" ca="1" si="193"/>
        <v>277.47500000007216</v>
      </c>
      <c r="R445" s="306">
        <f t="shared" ca="1" si="194"/>
        <v>0.13899617908773235</v>
      </c>
      <c r="S445" s="307">
        <f t="shared" ca="1" si="195"/>
        <v>6.4858847845101923</v>
      </c>
      <c r="T445" s="304">
        <f t="shared" ca="1" si="175"/>
        <v>63.626529736044994</v>
      </c>
      <c r="U445" s="311">
        <f t="shared" ca="1" si="176"/>
        <v>0</v>
      </c>
      <c r="V445" s="306">
        <f t="shared" ca="1" si="177"/>
        <v>1.1147147947044058</v>
      </c>
      <c r="W445" s="304">
        <f t="shared" ca="1" si="178"/>
        <v>358.47635080696938</v>
      </c>
      <c r="Y445" s="314" t="str">
        <f t="shared" ca="1" si="196"/>
        <v/>
      </c>
      <c r="Z445" s="315" t="str">
        <f t="shared" ca="1" si="197"/>
        <v/>
      </c>
      <c r="AA445" s="316" t="str">
        <f t="shared" ca="1" si="198"/>
        <v/>
      </c>
      <c r="AC445" s="310" t="e">
        <f t="shared" ca="1" si="199"/>
        <v>#N/A</v>
      </c>
      <c r="AD445" s="323" t="e">
        <f t="shared" ca="1" si="200"/>
        <v>#N/A</v>
      </c>
      <c r="AE445" s="324">
        <f t="shared" ca="1" si="179"/>
        <v>942.72349386522285</v>
      </c>
      <c r="AG445" s="306">
        <f t="shared" ca="1" si="201"/>
        <v>-22.328564613426053</v>
      </c>
      <c r="AH445" s="304">
        <f t="shared" ca="1" si="202"/>
        <v>-12.579670491215616</v>
      </c>
    </row>
    <row r="446" spans="1:34" x14ac:dyDescent="0.2">
      <c r="A446" s="347">
        <f t="shared" ca="1" si="180"/>
        <v>0.01</v>
      </c>
      <c r="B446" s="304">
        <f t="shared" ca="1" si="181"/>
        <v>4.4199999999999502</v>
      </c>
      <c r="D446" s="306">
        <f t="shared" ca="1" si="182"/>
        <v>-1.6190901910158666</v>
      </c>
      <c r="E446" s="307">
        <f t="shared" ca="1" si="183"/>
        <v>-24.244043325087134</v>
      </c>
      <c r="F446" s="304">
        <f t="shared" ca="1" si="184"/>
        <v>24.298047036651848</v>
      </c>
      <c r="G446" s="306">
        <f t="shared" ca="1" si="185"/>
        <v>38.287025546311618</v>
      </c>
      <c r="H446" s="307">
        <f t="shared" ca="1" si="186"/>
        <v>341.22728668364033</v>
      </c>
      <c r="I446" s="304">
        <f t="shared" ca="1" si="187"/>
        <v>343.36854471931929</v>
      </c>
      <c r="J446" s="306">
        <f t="shared" ca="1" si="188"/>
        <v>100.49783074939688</v>
      </c>
      <c r="K446" s="307">
        <f t="shared" ca="1" si="189"/>
        <v>946.13697893422545</v>
      </c>
      <c r="L446" s="304">
        <f t="shared" ca="1" si="174"/>
        <v>951.45940370155438</v>
      </c>
      <c r="M446" s="306">
        <f t="shared" ca="1" si="190"/>
        <v>1.4590597929981306</v>
      </c>
      <c r="N446" s="304">
        <f t="shared" ca="1" si="191"/>
        <v>83.597968196024425</v>
      </c>
      <c r="P446" s="310">
        <f t="shared" ca="1" si="192"/>
        <v>18</v>
      </c>
      <c r="Q446" s="304">
        <f t="shared" ca="1" si="193"/>
        <v>264.29090909096794</v>
      </c>
      <c r="R446" s="306">
        <f t="shared" ca="1" si="194"/>
        <v>0.13239184262098644</v>
      </c>
      <c r="S446" s="307">
        <f t="shared" ca="1" si="195"/>
        <v>6.4845608660839824</v>
      </c>
      <c r="T446" s="304">
        <f t="shared" ca="1" si="175"/>
        <v>63.613542096283872</v>
      </c>
      <c r="U446" s="311">
        <f t="shared" ca="1" si="176"/>
        <v>0</v>
      </c>
      <c r="V446" s="306">
        <f t="shared" ca="1" si="177"/>
        <v>1.1143335033223489</v>
      </c>
      <c r="W446" s="304">
        <f t="shared" ca="1" si="178"/>
        <v>357.84761484092422</v>
      </c>
      <c r="Y446" s="314" t="str">
        <f t="shared" ca="1" si="196"/>
        <v/>
      </c>
      <c r="Z446" s="315" t="str">
        <f t="shared" ca="1" si="197"/>
        <v/>
      </c>
      <c r="AA446" s="316" t="str">
        <f t="shared" ca="1" si="198"/>
        <v/>
      </c>
      <c r="AC446" s="310" t="e">
        <f t="shared" ca="1" si="199"/>
        <v>#N/A</v>
      </c>
      <c r="AD446" s="323" t="e">
        <f t="shared" ca="1" si="200"/>
        <v>#N/A</v>
      </c>
      <c r="AE446" s="324">
        <f t="shared" ca="1" si="179"/>
        <v>946.13697893422545</v>
      </c>
      <c r="AG446" s="306">
        <f t="shared" ca="1" si="201"/>
        <v>-24.273426789928912</v>
      </c>
      <c r="AH446" s="304">
        <f t="shared" ca="1" si="202"/>
        <v>-14.524567455078866</v>
      </c>
    </row>
    <row r="447" spans="1:34" x14ac:dyDescent="0.2">
      <c r="A447" s="347">
        <f t="shared" ca="1" si="180"/>
        <v>0.01</v>
      </c>
      <c r="B447" s="304">
        <f t="shared" ca="1" si="181"/>
        <v>4.42999999999995</v>
      </c>
      <c r="D447" s="306">
        <f t="shared" ca="1" si="182"/>
        <v>-1.8123095726580283</v>
      </c>
      <c r="E447" s="307">
        <f t="shared" ca="1" si="183"/>
        <v>-25.961933175400766</v>
      </c>
      <c r="F447" s="304">
        <f t="shared" ca="1" si="184"/>
        <v>26.025111722932579</v>
      </c>
      <c r="G447" s="306">
        <f t="shared" ca="1" si="185"/>
        <v>38.268902450585038</v>
      </c>
      <c r="H447" s="307">
        <f t="shared" ca="1" si="186"/>
        <v>340.96766735188635</v>
      </c>
      <c r="I447" s="304">
        <f t="shared" ca="1" si="187"/>
        <v>343.10852375620021</v>
      </c>
      <c r="J447" s="306">
        <f t="shared" ca="1" si="188"/>
        <v>100.88061038938136</v>
      </c>
      <c r="K447" s="307">
        <f t="shared" ca="1" si="189"/>
        <v>949.54795370440308</v>
      </c>
      <c r="L447" s="304">
        <f t="shared" ca="1" si="174"/>
        <v>954.89172890791826</v>
      </c>
      <c r="M447" s="306">
        <f t="shared" ca="1" si="190"/>
        <v>1.4590279122414698</v>
      </c>
      <c r="N447" s="304">
        <f t="shared" ca="1" si="191"/>
        <v>83.596141563220073</v>
      </c>
      <c r="P447" s="310">
        <f t="shared" ca="1" si="192"/>
        <v>18</v>
      </c>
      <c r="Q447" s="304">
        <f t="shared" ca="1" si="193"/>
        <v>252.47272727278633</v>
      </c>
      <c r="R447" s="306">
        <f t="shared" ca="1" si="194"/>
        <v>0.12647173408331305</v>
      </c>
      <c r="S447" s="307">
        <f t="shared" ca="1" si="195"/>
        <v>6.4832961487431495</v>
      </c>
      <c r="T447" s="304">
        <f t="shared" ca="1" si="175"/>
        <v>63.601135219170303</v>
      </c>
      <c r="U447" s="311">
        <f t="shared" ca="1" si="176"/>
        <v>0</v>
      </c>
      <c r="V447" s="306">
        <f t="shared" ca="1" si="177"/>
        <v>1.1139526164613769</v>
      </c>
      <c r="W447" s="304">
        <f t="shared" ca="1" si="178"/>
        <v>357.18371953947445</v>
      </c>
      <c r="Y447" s="314" t="str">
        <f t="shared" ca="1" si="196"/>
        <v/>
      </c>
      <c r="Z447" s="315" t="str">
        <f t="shared" ca="1" si="197"/>
        <v/>
      </c>
      <c r="AA447" s="316" t="str">
        <f t="shared" ca="1" si="198"/>
        <v/>
      </c>
      <c r="AC447" s="310" t="e">
        <f t="shared" ca="1" si="199"/>
        <v>#N/A</v>
      </c>
      <c r="AD447" s="323" t="e">
        <f t="shared" ca="1" si="200"/>
        <v>#N/A</v>
      </c>
      <c r="AE447" s="324">
        <f t="shared" ca="1" si="179"/>
        <v>949.54795370440308</v>
      </c>
      <c r="AG447" s="306">
        <f t="shared" ca="1" si="201"/>
        <v>-26.002113748387949</v>
      </c>
      <c r="AH447" s="304">
        <f t="shared" ca="1" si="202"/>
        <v>-16.253289245250016</v>
      </c>
    </row>
    <row r="448" spans="1:34" x14ac:dyDescent="0.2">
      <c r="A448" s="347">
        <f t="shared" ca="1" si="180"/>
        <v>0.01</v>
      </c>
      <c r="B448" s="304">
        <f t="shared" ca="1" si="181"/>
        <v>4.4399999999999498</v>
      </c>
      <c r="D448" s="306">
        <f t="shared" ca="1" si="182"/>
        <v>-2.0050909136349739</v>
      </c>
      <c r="E448" s="307">
        <f t="shared" ca="1" si="183"/>
        <v>-27.674927601029943</v>
      </c>
      <c r="F448" s="304">
        <f t="shared" ca="1" si="184"/>
        <v>27.747468484425575</v>
      </c>
      <c r="G448" s="306">
        <f t="shared" ca="1" si="185"/>
        <v>38.248851541448687</v>
      </c>
      <c r="H448" s="307">
        <f t="shared" ca="1" si="186"/>
        <v>340.69091807587603</v>
      </c>
      <c r="I448" s="304">
        <f t="shared" ca="1" si="187"/>
        <v>342.83126506143378</v>
      </c>
      <c r="J448" s="306">
        <f t="shared" ca="1" si="188"/>
        <v>101.26319915934153</v>
      </c>
      <c r="K448" s="307">
        <f t="shared" ca="1" si="189"/>
        <v>952.95624663154194</v>
      </c>
      <c r="L448" s="304">
        <f t="shared" ca="1" si="174"/>
        <v>958.32136754747398</v>
      </c>
      <c r="M448" s="306">
        <f t="shared" ca="1" si="190"/>
        <v>1.4589959966361485</v>
      </c>
      <c r="N448" s="304">
        <f t="shared" ca="1" si="191"/>
        <v>83.594312933734571</v>
      </c>
      <c r="P448" s="310">
        <f t="shared" ca="1" si="192"/>
        <v>18</v>
      </c>
      <c r="Q448" s="304">
        <f t="shared" ca="1" si="193"/>
        <v>240.65454545460472</v>
      </c>
      <c r="R448" s="306">
        <f t="shared" ca="1" si="194"/>
        <v>0.12055162554563965</v>
      </c>
      <c r="S448" s="307">
        <f t="shared" ca="1" si="195"/>
        <v>6.4820906324876928</v>
      </c>
      <c r="T448" s="304">
        <f t="shared" ca="1" si="175"/>
        <v>63.58930910470427</v>
      </c>
      <c r="U448" s="311">
        <f t="shared" ca="1" si="176"/>
        <v>0</v>
      </c>
      <c r="V448" s="306">
        <f t="shared" ca="1" si="177"/>
        <v>1.1135721529331877</v>
      </c>
      <c r="W448" s="304">
        <f t="shared" ca="1" si="178"/>
        <v>356.48489087841352</v>
      </c>
      <c r="Y448" s="314" t="str">
        <f t="shared" ca="1" si="196"/>
        <v/>
      </c>
      <c r="Z448" s="315" t="str">
        <f t="shared" ca="1" si="197"/>
        <v/>
      </c>
      <c r="AA448" s="316" t="str">
        <f t="shared" ca="1" si="198"/>
        <v/>
      </c>
      <c r="AC448" s="310" t="e">
        <f t="shared" ca="1" si="199"/>
        <v>#N/A</v>
      </c>
      <c r="AD448" s="323" t="e">
        <f t="shared" ca="1" si="200"/>
        <v>#N/A</v>
      </c>
      <c r="AE448" s="324">
        <f t="shared" ca="1" si="179"/>
        <v>952.95624663154194</v>
      </c>
      <c r="AG448" s="306">
        <f t="shared" ca="1" si="201"/>
        <v>-27.725886937141588</v>
      </c>
      <c r="AH448" s="304">
        <f t="shared" ca="1" si="202"/>
        <v>-17.977097311912814</v>
      </c>
    </row>
    <row r="449" spans="1:34" x14ac:dyDescent="0.2">
      <c r="A449" s="347">
        <f t="shared" ca="1" si="180"/>
        <v>0.01</v>
      </c>
      <c r="B449" s="304">
        <f t="shared" ca="1" si="181"/>
        <v>4.4499999999999496</v>
      </c>
      <c r="D449" s="306">
        <f t="shared" ca="1" si="182"/>
        <v>-2.1974322632813887</v>
      </c>
      <c r="E449" s="307">
        <f t="shared" ca="1" si="183"/>
        <v>-29.383011607305676</v>
      </c>
      <c r="F449" s="304">
        <f t="shared" ca="1" si="184"/>
        <v>29.465065410868682</v>
      </c>
      <c r="G449" s="306">
        <f t="shared" ca="1" si="185"/>
        <v>38.226877218815872</v>
      </c>
      <c r="H449" s="307">
        <f t="shared" ca="1" si="186"/>
        <v>340.39708795980295</v>
      </c>
      <c r="I449" s="304">
        <f t="shared" ca="1" si="187"/>
        <v>342.53681792387846</v>
      </c>
      <c r="J449" s="306">
        <f t="shared" ca="1" si="188"/>
        <v>101.64557780314284</v>
      </c>
      <c r="K449" s="307">
        <f t="shared" ca="1" si="189"/>
        <v>956.36168666172034</v>
      </c>
      <c r="L449" s="304">
        <f t="shared" ca="1" si="174"/>
        <v>961.7481474904879</v>
      </c>
      <c r="M449" s="306">
        <f t="shared" ca="1" si="190"/>
        <v>1.4589640445125971</v>
      </c>
      <c r="N449" s="304">
        <f t="shared" ca="1" si="191"/>
        <v>83.592482211908589</v>
      </c>
      <c r="P449" s="310">
        <f t="shared" ca="1" si="192"/>
        <v>18</v>
      </c>
      <c r="Q449" s="304">
        <f t="shared" ca="1" si="193"/>
        <v>228.83636363642307</v>
      </c>
      <c r="R449" s="306">
        <f t="shared" ca="1" si="194"/>
        <v>0.11463151700796624</v>
      </c>
      <c r="S449" s="307">
        <f t="shared" ca="1" si="195"/>
        <v>6.4809443173176131</v>
      </c>
      <c r="T449" s="304">
        <f t="shared" ca="1" si="175"/>
        <v>63.578063752885789</v>
      </c>
      <c r="U449" s="311">
        <f t="shared" ca="1" si="176"/>
        <v>0</v>
      </c>
      <c r="V449" s="306">
        <f t="shared" ca="1" si="177"/>
        <v>1.113192131470391</v>
      </c>
      <c r="W449" s="304">
        <f t="shared" ca="1" si="178"/>
        <v>355.75135983744946</v>
      </c>
      <c r="Y449" s="314" t="str">
        <f t="shared" ca="1" si="196"/>
        <v/>
      </c>
      <c r="Z449" s="315" t="str">
        <f t="shared" ca="1" si="197"/>
        <v/>
      </c>
      <c r="AA449" s="316" t="str">
        <f t="shared" ca="1" si="198"/>
        <v/>
      </c>
      <c r="AC449" s="310" t="e">
        <f t="shared" ca="1" si="199"/>
        <v>#N/A</v>
      </c>
      <c r="AD449" s="323" t="e">
        <f t="shared" ca="1" si="200"/>
        <v>#N/A</v>
      </c>
      <c r="AE449" s="324">
        <f t="shared" ca="1" si="179"/>
        <v>956.36168666172034</v>
      </c>
      <c r="AG449" s="306">
        <f t="shared" ca="1" si="201"/>
        <v>-29.444731240976026</v>
      </c>
      <c r="AH449" s="304">
        <f t="shared" ca="1" si="202"/>
        <v>-19.695976541705988</v>
      </c>
    </row>
    <row r="450" spans="1:34" x14ac:dyDescent="0.2">
      <c r="A450" s="347">
        <f t="shared" ca="1" si="180"/>
        <v>0.01</v>
      </c>
      <c r="B450" s="304">
        <f t="shared" ca="1" si="181"/>
        <v>4.4599999999999493</v>
      </c>
      <c r="D450" s="306">
        <f t="shared" ca="1" si="182"/>
        <v>-2.3893317945981862</v>
      </c>
      <c r="E450" s="307">
        <f t="shared" ca="1" si="183"/>
        <v>-31.0861712235982</v>
      </c>
      <c r="F450" s="304">
        <f t="shared" ca="1" si="184"/>
        <v>31.1778598971697</v>
      </c>
      <c r="G450" s="306">
        <f t="shared" ca="1" si="185"/>
        <v>38.202983900869889</v>
      </c>
      <c r="H450" s="307">
        <f t="shared" ca="1" si="186"/>
        <v>340.08622624756697</v>
      </c>
      <c r="I450" s="304">
        <f t="shared" ca="1" si="187"/>
        <v>342.22523177323063</v>
      </c>
      <c r="J450" s="306">
        <f t="shared" ca="1" si="188"/>
        <v>102.02772710874127</v>
      </c>
      <c r="K450" s="307">
        <f t="shared" ca="1" si="189"/>
        <v>959.76410323275718</v>
      </c>
      <c r="L450" s="304">
        <f t="shared" ca="1" si="174"/>
        <v>965.17189710079845</v>
      </c>
      <c r="M450" s="306">
        <f t="shared" ca="1" si="190"/>
        <v>1.4589320541955799</v>
      </c>
      <c r="N450" s="304">
        <f t="shared" ca="1" si="191"/>
        <v>83.590649301758219</v>
      </c>
      <c r="P450" s="310">
        <f t="shared" ca="1" si="192"/>
        <v>18</v>
      </c>
      <c r="Q450" s="304">
        <f t="shared" ca="1" si="193"/>
        <v>217.01818181824146</v>
      </c>
      <c r="R450" s="306">
        <f t="shared" ca="1" si="194"/>
        <v>0.10871140847029283</v>
      </c>
      <c r="S450" s="307">
        <f t="shared" ca="1" si="195"/>
        <v>6.4798572032329105</v>
      </c>
      <c r="T450" s="304">
        <f t="shared" ca="1" si="175"/>
        <v>63.567399163714853</v>
      </c>
      <c r="U450" s="311">
        <f t="shared" ca="1" si="176"/>
        <v>0</v>
      </c>
      <c r="V450" s="306">
        <f t="shared" ca="1" si="177"/>
        <v>1.11281257072652</v>
      </c>
      <c r="W450" s="304">
        <f t="shared" ca="1" si="178"/>
        <v>354.98336231187892</v>
      </c>
      <c r="Y450" s="314" t="str">
        <f t="shared" ca="1" si="196"/>
        <v/>
      </c>
      <c r="Z450" s="315" t="str">
        <f t="shared" ca="1" si="197"/>
        <v/>
      </c>
      <c r="AA450" s="316" t="str">
        <f t="shared" ca="1" si="198"/>
        <v/>
      </c>
      <c r="AC450" s="310" t="e">
        <f t="shared" ca="1" si="199"/>
        <v>#N/A</v>
      </c>
      <c r="AD450" s="323" t="e">
        <f t="shared" ca="1" si="200"/>
        <v>#N/A</v>
      </c>
      <c r="AE450" s="324">
        <f t="shared" ca="1" si="179"/>
        <v>959.76410323275718</v>
      </c>
      <c r="AG450" s="306">
        <f t="shared" ca="1" si="201"/>
        <v>-31.158632576109273</v>
      </c>
      <c r="AH450" s="304">
        <f t="shared" ca="1" si="202"/>
        <v>-21.409912852707876</v>
      </c>
    </row>
    <row r="451" spans="1:34" x14ac:dyDescent="0.2">
      <c r="A451" s="347">
        <f t="shared" ca="1" si="180"/>
        <v>0.01</v>
      </c>
      <c r="B451" s="304">
        <f t="shared" ca="1" si="181"/>
        <v>4.4699999999999491</v>
      </c>
      <c r="D451" s="306">
        <f t="shared" ca="1" si="182"/>
        <v>-2.5807878031080556</v>
      </c>
      <c r="E451" s="307">
        <f t="shared" ca="1" si="183"/>
        <v>-32.78439349193826</v>
      </c>
      <c r="F451" s="304">
        <f t="shared" ca="1" si="184"/>
        <v>32.885816430779322</v>
      </c>
      <c r="G451" s="306">
        <f t="shared" ca="1" si="185"/>
        <v>38.177176022838808</v>
      </c>
      <c r="H451" s="307">
        <f t="shared" ca="1" si="186"/>
        <v>339.7583823126476</v>
      </c>
      <c r="I451" s="304">
        <f t="shared" ca="1" si="187"/>
        <v>341.89655616982458</v>
      </c>
      <c r="J451" s="306">
        <f t="shared" ca="1" si="188"/>
        <v>102.40962790835982</v>
      </c>
      <c r="K451" s="307">
        <f t="shared" ca="1" si="189"/>
        <v>963.16332627555823</v>
      </c>
      <c r="L451" s="304">
        <f t="shared" ca="1" si="174"/>
        <v>968.59244523717314</v>
      </c>
      <c r="M451" s="306">
        <f t="shared" ca="1" si="190"/>
        <v>1.4589000240037022</v>
      </c>
      <c r="N451" s="304">
        <f t="shared" ca="1" si="191"/>
        <v>83.588814106946629</v>
      </c>
      <c r="P451" s="310">
        <f t="shared" ca="1" si="192"/>
        <v>18</v>
      </c>
      <c r="Q451" s="304">
        <f t="shared" ca="1" si="193"/>
        <v>205.20000000005982</v>
      </c>
      <c r="R451" s="306">
        <f t="shared" ca="1" si="194"/>
        <v>0.10279129993261941</v>
      </c>
      <c r="S451" s="307">
        <f t="shared" ca="1" si="195"/>
        <v>6.478829290233584</v>
      </c>
      <c r="T451" s="304">
        <f t="shared" ca="1" si="175"/>
        <v>63.557315337191461</v>
      </c>
      <c r="U451" s="311">
        <f t="shared" ca="1" si="176"/>
        <v>0</v>
      </c>
      <c r="V451" s="306">
        <f t="shared" ca="1" si="177"/>
        <v>1.1124334892760499</v>
      </c>
      <c r="W451" s="304">
        <f t="shared" ca="1" si="178"/>
        <v>354.18113902482082</v>
      </c>
      <c r="Y451" s="314" t="str">
        <f t="shared" ca="1" si="196"/>
        <v/>
      </c>
      <c r="Z451" s="315" t="str">
        <f t="shared" ca="1" si="197"/>
        <v/>
      </c>
      <c r="AA451" s="316" t="str">
        <f t="shared" ca="1" si="198"/>
        <v/>
      </c>
      <c r="AC451" s="310" t="e">
        <f t="shared" ca="1" si="199"/>
        <v>#N/A</v>
      </c>
      <c r="AD451" s="323" t="e">
        <f t="shared" ca="1" si="200"/>
        <v>#N/A</v>
      </c>
      <c r="AE451" s="324">
        <f t="shared" ca="1" si="179"/>
        <v>963.16332627555823</v>
      </c>
      <c r="AG451" s="306">
        <f t="shared" ca="1" si="201"/>
        <v>-32.867577878756862</v>
      </c>
      <c r="AH451" s="304">
        <f t="shared" ca="1" si="202"/>
        <v>-23.118893183002651</v>
      </c>
    </row>
    <row r="452" spans="1:34" x14ac:dyDescent="0.2">
      <c r="A452" s="347">
        <f t="shared" ca="1" si="180"/>
        <v>0.01</v>
      </c>
      <c r="B452" s="304">
        <f t="shared" ca="1" si="181"/>
        <v>4.4799999999999489</v>
      </c>
      <c r="D452" s="306">
        <f t="shared" ca="1" si="182"/>
        <v>-2.771798705706388</v>
      </c>
      <c r="E452" s="307">
        <f t="shared" ca="1" si="183"/>
        <v>-34.477666455573186</v>
      </c>
      <c r="F452" s="304">
        <f t="shared" ca="1" si="184"/>
        <v>34.588905046079617</v>
      </c>
      <c r="G452" s="306">
        <f t="shared" ca="1" si="185"/>
        <v>38.149458035781741</v>
      </c>
      <c r="H452" s="307">
        <f t="shared" ca="1" si="186"/>
        <v>339.41360564809185</v>
      </c>
      <c r="I452" s="304">
        <f t="shared" ca="1" si="187"/>
        <v>341.55084079454741</v>
      </c>
      <c r="J452" s="306">
        <f t="shared" ca="1" si="188"/>
        <v>102.79126107865292</v>
      </c>
      <c r="K452" s="307">
        <f t="shared" ca="1" si="189"/>
        <v>966.55918621536193</v>
      </c>
      <c r="L452" s="304">
        <f t="shared" ref="L452:L515" ca="1" si="203">SQRT(pos_x^2+pos_z^2)</f>
        <v>972.00962125456476</v>
      </c>
      <c r="M452" s="306">
        <f t="shared" ca="1" si="190"/>
        <v>1.458867952248915</v>
      </c>
      <c r="N452" s="304">
        <f t="shared" ca="1" si="191"/>
        <v>83.586976530755749</v>
      </c>
      <c r="P452" s="310">
        <f t="shared" ca="1" si="192"/>
        <v>18</v>
      </c>
      <c r="Q452" s="304">
        <f t="shared" ca="1" si="193"/>
        <v>193.3818181818782</v>
      </c>
      <c r="R452" s="306">
        <f t="shared" ca="1" si="194"/>
        <v>9.6871191394946016E-2</v>
      </c>
      <c r="S452" s="307">
        <f t="shared" ca="1" si="195"/>
        <v>6.4778605783196346</v>
      </c>
      <c r="T452" s="304">
        <f t="shared" ref="T452:T515" ca="1" si="204">m*g</f>
        <v>63.547812273315621</v>
      </c>
      <c r="U452" s="311">
        <f t="shared" ref="U452:U515" ca="1" si="205">IF(pos_xz&lt;L_rampe,Poids*COS(Beta),0)</f>
        <v>0</v>
      </c>
      <c r="V452" s="306">
        <f t="shared" ref="V452:V515" ca="1" si="206">Rho_moyen*(20000-Alt_rampe-pos_z)/(20000+Alt_rampe+pos_z)</f>
        <v>1.1120549056144347</v>
      </c>
      <c r="W452" s="304">
        <f t="shared" ref="W452:W515" ca="1" si="207">1/2*Rho*Sref*Cx*vit_xz^2</f>
        <v>353.34493544003732</v>
      </c>
      <c r="Y452" s="314" t="str">
        <f t="shared" ca="1" si="196"/>
        <v/>
      </c>
      <c r="Z452" s="315" t="str">
        <f t="shared" ca="1" si="197"/>
        <v/>
      </c>
      <c r="AA452" s="316" t="str">
        <f t="shared" ca="1" si="198"/>
        <v/>
      </c>
      <c r="AC452" s="310" t="e">
        <f t="shared" ca="1" si="199"/>
        <v>#N/A</v>
      </c>
      <c r="AD452" s="323" t="e">
        <f t="shared" ca="1" si="200"/>
        <v>#N/A</v>
      </c>
      <c r="AE452" s="324">
        <f t="shared" ref="AE452:AE515" ca="1" si="208">IF(t&lt;T_para, pos_z, NA())</f>
        <v>966.55918621536193</v>
      </c>
      <c r="AG452" s="306">
        <f t="shared" ca="1" si="201"/>
        <v>-34.571555093632206</v>
      </c>
      <c r="AH452" s="304">
        <f t="shared" ca="1" si="202"/>
        <v>-24.822905479181241</v>
      </c>
    </row>
    <row r="453" spans="1:34" x14ac:dyDescent="0.2">
      <c r="A453" s="347">
        <f t="shared" ref="A453:A516" ca="1" si="209">IF(B452+0.01&lt;=T_ini+ROUNDUP(Temps_fin_propu,0), 0.01, IF(K452&gt;0, 0.1, 0.0001))</f>
        <v>0.01</v>
      </c>
      <c r="B453" s="304">
        <f t="shared" ref="B453:B516" ca="1" si="210">B452+pas</f>
        <v>4.4899999999999487</v>
      </c>
      <c r="D453" s="306">
        <f t="shared" ref="D453:D516" ca="1" si="211">IF(AND(L452&lt;L_rampe,Poussee&lt;Poids*SIN(M452)),0,(-W452+Poussee)/m*COS(M452)-U452/m*SIN(M452))</f>
        <v>-2.9623630395082201</v>
      </c>
      <c r="E453" s="307">
        <f t="shared" ref="E453:E516" ca="1" si="212">IF(AND(L452&lt;L_rampe,Poussee&lt;Poids*SIN(M452)),0,(-W452+Poussee)/m*SIN(M452)+U452/m*COS(M452)-Poids/m)</f>
        <v>-36.165979147464228</v>
      </c>
      <c r="F453" s="304">
        <f t="shared" ref="F453:F516" ca="1" si="213">SQRT(acc_x^2+acc_z^2)</f>
        <v>36.287100221327435</v>
      </c>
      <c r="G453" s="306">
        <f t="shared" ref="G453:G516" ca="1" si="214">G452+acc_x*pas</f>
        <v>38.119834405386662</v>
      </c>
      <c r="H453" s="307">
        <f t="shared" ref="H453:H516" ca="1" si="215">H452+acc_z*pas</f>
        <v>339.05194585661718</v>
      </c>
      <c r="I453" s="304">
        <f t="shared" ref="I453:I516" ca="1" si="216">SQRT(vit_x^2+vit_z^2)</f>
        <v>341.18813543886984</v>
      </c>
      <c r="J453" s="306">
        <f t="shared" ref="J453:J516" ca="1" si="217">J452+0.5*(vit_x+G452)*pas*(K452&gt;=0)</f>
        <v>103.17260754085876</v>
      </c>
      <c r="K453" s="307">
        <f t="shared" ref="K453:K516" ca="1" si="218">K452+0.5*(vit_z+H452)*pas</f>
        <v>969.95151397288544</v>
      </c>
      <c r="L453" s="304">
        <f t="shared" ca="1" si="203"/>
        <v>975.42325500526829</v>
      </c>
      <c r="M453" s="306">
        <f t="shared" ref="M453:M516" ca="1" si="219">IF(AND(L452&gt;L_rampe,G453&gt;0),ATAN2(G453,H453),$M$4)</f>
        <v>1.458835837236016</v>
      </c>
      <c r="N453" s="304">
        <f t="shared" ref="N453:N516" ca="1" si="220">DEGREES(Beta)</f>
        <v>83.585136476057627</v>
      </c>
      <c r="P453" s="310">
        <f t="shared" ref="P453:P516" ca="1" si="221">MATCH(t-pas/2-T_ini,CdP_t)</f>
        <v>18</v>
      </c>
      <c r="Q453" s="304">
        <f t="shared" ref="Q453:Q516" ca="1" si="222">(INDEX(CdP,2,i_P+1)-INDEX(CdP,2,i_P+0))/(INDEX(CdP,1,i_P+1)-INDEX(CdP,1,i_P+0))*(t-pas/2-T_ini-INDEX(CdP,1,i_P+0))+INDEX(CdP,2,i_P+0)</f>
        <v>181.56363636369656</v>
      </c>
      <c r="R453" s="306">
        <f t="shared" ref="R453:R516" ca="1" si="223">Poussee/(g*ISP)</f>
        <v>9.0951082857272603E-2</v>
      </c>
      <c r="S453" s="307">
        <f t="shared" ref="S453:S516" ca="1" si="224">S452-Débit*pas</f>
        <v>6.4769510674910622</v>
      </c>
      <c r="T453" s="304">
        <f t="shared" ca="1" si="204"/>
        <v>63.538889972087325</v>
      </c>
      <c r="U453" s="311">
        <f t="shared" ca="1" si="205"/>
        <v>0</v>
      </c>
      <c r="V453" s="306">
        <f t="shared" ca="1" si="206"/>
        <v>1.1116768381581559</v>
      </c>
      <c r="W453" s="304">
        <f t="shared" ca="1" si="207"/>
        <v>352.47500167536566</v>
      </c>
      <c r="Y453" s="314" t="str">
        <f t="shared" ref="Y453:Y516" ca="1" si="225">IF(AND(pos_z&lt;=0,K452&gt;0),"Impact balistique","") &amp; IF(AND(H454&lt;0,vit_z&gt;=0),"Apogée","") &amp; IF(AND(Poussee=0,Q452&gt;0),"Fin de propulsion","") &amp; IF(AND(L454&gt;L_rampe,pos_xz&lt;=L_rampe),"Sortie de rampe","")</f>
        <v/>
      </c>
      <c r="Z453" s="315" t="str">
        <f t="shared" ref="Z453:Z516" ca="1" si="226">IF(ABS(t-T_para)&lt;pas/2,"Para","")</f>
        <v/>
      </c>
      <c r="AA453" s="316" t="str">
        <f t="shared" ref="AA453:AA516" ca="1" si="227">IF(ABS(t-T_satellite)&lt;pas/2,"Satellite","")</f>
        <v/>
      </c>
      <c r="AC453" s="310" t="e">
        <f t="shared" ref="AC453:AC516" ca="1" si="228">IF(ABS(t-ROUND(t,0))&lt;0.001,t,NA())</f>
        <v>#N/A</v>
      </c>
      <c r="AD453" s="323" t="e">
        <f t="shared" ref="AD453:AD516" ca="1" si="229">IF(ABS(t-ROUND(t,0))&lt;0.001,pos_x,NA())</f>
        <v>#N/A</v>
      </c>
      <c r="AE453" s="324">
        <f t="shared" ca="1" si="208"/>
        <v>969.95151397288544</v>
      </c>
      <c r="AG453" s="306">
        <f t="shared" ref="AG453:AG516" ca="1" si="230">IF(AND(L452&lt;L_rampe,Poussee&lt;Poids*SIN(M452)),0,(-W452+Poussee)/m-Poids*SIN(M452)/m)</f>
        <v>-36.270553162388161</v>
      </c>
      <c r="AH453" s="304">
        <f t="shared" ref="AH453:AH516" ca="1" si="231">IF(AND(L452&lt;L_rampe,Poussee&lt;Poids*SIN(M452)), g*SIN(M452), (-W452+Poussee)/m)</f>
        <v>-26.521938684783464</v>
      </c>
    </row>
    <row r="454" spans="1:34" x14ac:dyDescent="0.2">
      <c r="A454" s="347">
        <f t="shared" ca="1" si="209"/>
        <v>0.01</v>
      </c>
      <c r="B454" s="304">
        <f t="shared" ca="1" si="210"/>
        <v>4.4999999999999485</v>
      </c>
      <c r="D454" s="306">
        <f t="shared" ca="1" si="211"/>
        <v>-3.152479460691886</v>
      </c>
      <c r="E454" s="307">
        <f t="shared" ca="1" si="212"/>
        <v>-37.849321578730823</v>
      </c>
      <c r="F454" s="304">
        <f t="shared" ca="1" si="213"/>
        <v>37.980380076037456</v>
      </c>
      <c r="G454" s="306">
        <f t="shared" ca="1" si="214"/>
        <v>38.088309610779746</v>
      </c>
      <c r="H454" s="307">
        <f t="shared" ca="1" si="215"/>
        <v>338.67345264082985</v>
      </c>
      <c r="I454" s="304">
        <f t="shared" ca="1" si="216"/>
        <v>340.80848999499267</v>
      </c>
      <c r="J454" s="306">
        <f t="shared" ca="1" si="217"/>
        <v>103.5536482609396</v>
      </c>
      <c r="K454" s="307">
        <f t="shared" ca="1" si="218"/>
        <v>973.34014096537271</v>
      </c>
      <c r="L454" s="304">
        <f t="shared" ca="1" si="203"/>
        <v>978.83317683997711</v>
      </c>
      <c r="M454" s="306">
        <f t="shared" ca="1" si="219"/>
        <v>1.4588036772621433</v>
      </c>
      <c r="N454" s="304">
        <f t="shared" ca="1" si="220"/>
        <v>83.583293845285468</v>
      </c>
      <c r="P454" s="310">
        <f t="shared" ca="1" si="221"/>
        <v>18</v>
      </c>
      <c r="Q454" s="304">
        <f t="shared" ca="1" si="222"/>
        <v>169.74545454551495</v>
      </c>
      <c r="R454" s="306">
        <f t="shared" ca="1" si="223"/>
        <v>8.5030974319599203E-2</v>
      </c>
      <c r="S454" s="307">
        <f t="shared" ca="1" si="224"/>
        <v>6.476100757747866</v>
      </c>
      <c r="T454" s="304">
        <f t="shared" ca="1" si="204"/>
        <v>63.530548433506567</v>
      </c>
      <c r="U454" s="311">
        <f t="shared" ca="1" si="205"/>
        <v>0</v>
      </c>
      <c r="V454" s="306">
        <f t="shared" ca="1" si="206"/>
        <v>1.1112993052447868</v>
      </c>
      <c r="W454" s="304">
        <f t="shared" ca="1" si="207"/>
        <v>351.57159241678397</v>
      </c>
      <c r="Y454" s="314" t="str">
        <f t="shared" ca="1" si="225"/>
        <v/>
      </c>
      <c r="Z454" s="315" t="str">
        <f t="shared" ca="1" si="226"/>
        <v/>
      </c>
      <c r="AA454" s="316" t="str">
        <f t="shared" ca="1" si="227"/>
        <v/>
      </c>
      <c r="AC454" s="310" t="e">
        <f t="shared" ca="1" si="228"/>
        <v>#N/A</v>
      </c>
      <c r="AD454" s="323" t="e">
        <f t="shared" ca="1" si="229"/>
        <v>#N/A</v>
      </c>
      <c r="AE454" s="324">
        <f t="shared" ca="1" si="208"/>
        <v>973.34014096537271</v>
      </c>
      <c r="AG454" s="306">
        <f t="shared" ca="1" si="230"/>
        <v>-37.964562012005466</v>
      </c>
      <c r="AH454" s="304">
        <f t="shared" ca="1" si="231"/>
        <v>-28.21598272868702</v>
      </c>
    </row>
    <row r="455" spans="1:34" x14ac:dyDescent="0.2">
      <c r="A455" s="347">
        <f t="shared" ca="1" si="209"/>
        <v>0.01</v>
      </c>
      <c r="B455" s="304">
        <f t="shared" ca="1" si="210"/>
        <v>4.5099999999999483</v>
      </c>
      <c r="D455" s="306">
        <f t="shared" ca="1" si="211"/>
        <v>-3.3421467433401788</v>
      </c>
      <c r="E455" s="307">
        <f t="shared" ca="1" si="212"/>
        <v>-39.527684727047479</v>
      </c>
      <c r="F455" s="304">
        <f t="shared" ca="1" si="213"/>
        <v>39.668725776546971</v>
      </c>
      <c r="G455" s="306">
        <f t="shared" ca="1" si="214"/>
        <v>38.054888143346346</v>
      </c>
      <c r="H455" s="307">
        <f t="shared" ca="1" si="215"/>
        <v>338.2781757935594</v>
      </c>
      <c r="I455" s="304">
        <f t="shared" ca="1" si="216"/>
        <v>340.4119544461106</v>
      </c>
      <c r="J455" s="306">
        <f t="shared" ca="1" si="217"/>
        <v>103.93436424971023</v>
      </c>
      <c r="K455" s="307">
        <f t="shared" ca="1" si="218"/>
        <v>976.72489910754462</v>
      </c>
      <c r="L455" s="304">
        <f t="shared" ca="1" si="203"/>
        <v>982.23921760874259</v>
      </c>
      <c r="M455" s="306">
        <f t="shared" ca="1" si="219"/>
        <v>1.4587714706162676</v>
      </c>
      <c r="N455" s="304">
        <f t="shared" ca="1" si="220"/>
        <v>83.581448540404509</v>
      </c>
      <c r="P455" s="310">
        <f t="shared" ca="1" si="221"/>
        <v>18</v>
      </c>
      <c r="Q455" s="304">
        <f t="shared" ca="1" si="222"/>
        <v>157.92727272733333</v>
      </c>
      <c r="R455" s="306">
        <f t="shared" ca="1" si="223"/>
        <v>7.9110865781925804E-2</v>
      </c>
      <c r="S455" s="307">
        <f t="shared" ca="1" si="224"/>
        <v>6.4753096490900468</v>
      </c>
      <c r="T455" s="304">
        <f t="shared" ca="1" si="204"/>
        <v>63.52278765757336</v>
      </c>
      <c r="U455" s="311">
        <f t="shared" ca="1" si="205"/>
        <v>0</v>
      </c>
      <c r="V455" s="306">
        <f t="shared" ca="1" si="206"/>
        <v>1.1109223251330675</v>
      </c>
      <c r="W455" s="304">
        <f t="shared" ca="1" si="207"/>
        <v>350.63496683313332</v>
      </c>
      <c r="Y455" s="314" t="str">
        <f t="shared" ca="1" si="225"/>
        <v/>
      </c>
      <c r="Z455" s="315" t="str">
        <f t="shared" ca="1" si="226"/>
        <v/>
      </c>
      <c r="AA455" s="316" t="str">
        <f t="shared" ca="1" si="227"/>
        <v/>
      </c>
      <c r="AC455" s="310" t="e">
        <f t="shared" ca="1" si="228"/>
        <v>#N/A</v>
      </c>
      <c r="AD455" s="323" t="e">
        <f t="shared" ca="1" si="229"/>
        <v>#N/A</v>
      </c>
      <c r="AE455" s="324">
        <f t="shared" ca="1" si="208"/>
        <v>976.72489910754462</v>
      </c>
      <c r="AG455" s="306">
        <f t="shared" ca="1" si="230"/>
        <v>-39.653572543133905</v>
      </c>
      <c r="AH455" s="304">
        <f t="shared" ca="1" si="231"/>
        <v>-29.90502851344921</v>
      </c>
    </row>
    <row r="456" spans="1:34" x14ac:dyDescent="0.2">
      <c r="A456" s="347">
        <f t="shared" ca="1" si="209"/>
        <v>0.01</v>
      </c>
      <c r="B456" s="304">
        <f t="shared" ca="1" si="210"/>
        <v>4.5199999999999481</v>
      </c>
      <c r="D456" s="306">
        <f t="shared" ca="1" si="211"/>
        <v>-3.5313637782795224</v>
      </c>
      <c r="E456" s="307">
        <f t="shared" ca="1" si="212"/>
        <v>-41.201060524998908</v>
      </c>
      <c r="F456" s="304">
        <f t="shared" ca="1" si="213"/>
        <v>41.352121088514529</v>
      </c>
      <c r="G456" s="306">
        <f t="shared" ca="1" si="214"/>
        <v>38.019574505563554</v>
      </c>
      <c r="H456" s="307">
        <f t="shared" ca="1" si="215"/>
        <v>337.86616518830942</v>
      </c>
      <c r="I456" s="304">
        <f t="shared" ca="1" si="216"/>
        <v>339.99857885679182</v>
      </c>
      <c r="J456" s="306">
        <f t="shared" ca="1" si="217"/>
        <v>104.31473656295478</v>
      </c>
      <c r="K456" s="307">
        <f t="shared" ca="1" si="218"/>
        <v>980.10562081245394</v>
      </c>
      <c r="L456" s="304">
        <f t="shared" ca="1" si="203"/>
        <v>985.64120866183578</v>
      </c>
      <c r="M456" s="306">
        <f t="shared" ca="1" si="219"/>
        <v>1.458739215578676</v>
      </c>
      <c r="N456" s="304">
        <f t="shared" ca="1" si="220"/>
        <v>83.579600462882482</v>
      </c>
      <c r="P456" s="310">
        <f t="shared" ca="1" si="221"/>
        <v>18</v>
      </c>
      <c r="Q456" s="304">
        <f t="shared" ca="1" si="222"/>
        <v>146.10909090915169</v>
      </c>
      <c r="R456" s="306">
        <f t="shared" ca="1" si="223"/>
        <v>7.3190757244252391E-2</v>
      </c>
      <c r="S456" s="307">
        <f t="shared" ca="1" si="224"/>
        <v>6.4745777415176047</v>
      </c>
      <c r="T456" s="304">
        <f t="shared" ca="1" si="204"/>
        <v>63.515607644287705</v>
      </c>
      <c r="U456" s="311">
        <f t="shared" ca="1" si="205"/>
        <v>0</v>
      </c>
      <c r="V456" s="306">
        <f t="shared" ca="1" si="206"/>
        <v>1.1105459160029949</v>
      </c>
      <c r="W456" s="304">
        <f t="shared" ca="1" si="207"/>
        <v>349.66538849151669</v>
      </c>
      <c r="Y456" s="314" t="str">
        <f t="shared" ca="1" si="225"/>
        <v/>
      </c>
      <c r="Z456" s="315" t="str">
        <f t="shared" ca="1" si="226"/>
        <v/>
      </c>
      <c r="AA456" s="316" t="str">
        <f t="shared" ca="1" si="227"/>
        <v/>
      </c>
      <c r="AC456" s="310" t="e">
        <f t="shared" ca="1" si="228"/>
        <v>#N/A</v>
      </c>
      <c r="AD456" s="323" t="e">
        <f t="shared" ca="1" si="229"/>
        <v>#N/A</v>
      </c>
      <c r="AE456" s="324">
        <f t="shared" ca="1" si="208"/>
        <v>980.10562081245394</v>
      </c>
      <c r="AG456" s="306">
        <f t="shared" ca="1" si="230"/>
        <v>-41.33757661839168</v>
      </c>
      <c r="AH456" s="304">
        <f t="shared" ca="1" si="231"/>
        <v>-31.589067903606932</v>
      </c>
    </row>
    <row r="457" spans="1:34" x14ac:dyDescent="0.2">
      <c r="A457" s="347">
        <f t="shared" ca="1" si="209"/>
        <v>0.01</v>
      </c>
      <c r="B457" s="304">
        <f t="shared" ca="1" si="210"/>
        <v>4.5299999999999478</v>
      </c>
      <c r="D457" s="306">
        <f t="shared" ca="1" si="211"/>
        <v>-3.6864040278140275</v>
      </c>
      <c r="E457" s="307">
        <f t="shared" ca="1" si="212"/>
        <v>-42.569735173522325</v>
      </c>
      <c r="F457" s="304">
        <f t="shared" ca="1" si="213"/>
        <v>42.729052498272267</v>
      </c>
      <c r="G457" s="306">
        <f t="shared" ca="1" si="214"/>
        <v>37.982710465285415</v>
      </c>
      <c r="H457" s="307">
        <f t="shared" ca="1" si="215"/>
        <v>337.44046783657421</v>
      </c>
      <c r="I457" s="304">
        <f t="shared" ca="1" si="216"/>
        <v>339.57142934595629</v>
      </c>
      <c r="J457" s="306">
        <f t="shared" ca="1" si="217"/>
        <v>104.69474798780902</v>
      </c>
      <c r="K457" s="307">
        <f t="shared" ca="1" si="218"/>
        <v>983.48215397757838</v>
      </c>
      <c r="L457" s="304">
        <f t="shared" ca="1" si="203"/>
        <v>989.03899693015535</v>
      </c>
      <c r="M457" s="306">
        <f t="shared" ca="1" si="219"/>
        <v>1.458706910707378</v>
      </c>
      <c r="N457" s="304">
        <f t="shared" ca="1" si="220"/>
        <v>83.577749530099396</v>
      </c>
      <c r="P457" s="310">
        <f t="shared" ca="1" si="221"/>
        <v>19</v>
      </c>
      <c r="Q457" s="304">
        <f t="shared" ca="1" si="222"/>
        <v>136.24375000004085</v>
      </c>
      <c r="R457" s="306">
        <f t="shared" ca="1" si="223"/>
        <v>6.82488897182989E-2</v>
      </c>
      <c r="S457" s="307">
        <f t="shared" ca="1" si="224"/>
        <v>6.4738952526204221</v>
      </c>
      <c r="T457" s="304">
        <f t="shared" ca="1" si="204"/>
        <v>63.508912428206344</v>
      </c>
      <c r="U457" s="311">
        <f t="shared" ca="1" si="205"/>
        <v>0</v>
      </c>
      <c r="V457" s="306">
        <f t="shared" ca="1" si="206"/>
        <v>1.1101700942882677</v>
      </c>
      <c r="W457" s="304">
        <f t="shared" ca="1" si="207"/>
        <v>348.66931829713019</v>
      </c>
      <c r="Y457" s="314" t="str">
        <f t="shared" ca="1" si="225"/>
        <v/>
      </c>
      <c r="Z457" s="315" t="str">
        <f t="shared" ca="1" si="226"/>
        <v/>
      </c>
      <c r="AA457" s="316" t="str">
        <f t="shared" ca="1" si="227"/>
        <v/>
      </c>
      <c r="AC457" s="310" t="e">
        <f t="shared" ca="1" si="228"/>
        <v>#N/A</v>
      </c>
      <c r="AD457" s="323" t="e">
        <f t="shared" ca="1" si="229"/>
        <v>#N/A</v>
      </c>
      <c r="AE457" s="324">
        <f t="shared" ca="1" si="208"/>
        <v>983.48215397757838</v>
      </c>
      <c r="AG457" s="306">
        <f t="shared" ca="1" si="230"/>
        <v>-42.714968802472839</v>
      </c>
      <c r="AH457" s="304">
        <f t="shared" ca="1" si="231"/>
        <v>-32.966495465784639</v>
      </c>
    </row>
    <row r="458" spans="1:34" x14ac:dyDescent="0.2">
      <c r="A458" s="347">
        <f t="shared" ca="1" si="209"/>
        <v>0.01</v>
      </c>
      <c r="B458" s="304">
        <f t="shared" ca="1" si="210"/>
        <v>4.5399999999999476</v>
      </c>
      <c r="D458" s="306">
        <f t="shared" ca="1" si="211"/>
        <v>-3.807341274244203</v>
      </c>
      <c r="E458" s="307">
        <f t="shared" ca="1" si="212"/>
        <v>-43.634627180534437</v>
      </c>
      <c r="F458" s="304">
        <f t="shared" ca="1" si="213"/>
        <v>43.800417084347472</v>
      </c>
      <c r="G458" s="306">
        <f t="shared" ca="1" si="214"/>
        <v>37.944637052542973</v>
      </c>
      <c r="H458" s="307">
        <f t="shared" ca="1" si="215"/>
        <v>337.00412156476887</v>
      </c>
      <c r="I458" s="304">
        <f t="shared" ca="1" si="216"/>
        <v>339.13356282251209</v>
      </c>
      <c r="J458" s="306">
        <f t="shared" ca="1" si="217"/>
        <v>105.07438472539816</v>
      </c>
      <c r="K458" s="307">
        <f t="shared" ca="1" si="218"/>
        <v>986.85437692458504</v>
      </c>
      <c r="L458" s="304">
        <f t="shared" ca="1" si="203"/>
        <v>992.4324599591813</v>
      </c>
      <c r="M458" s="306">
        <f t="shared" ca="1" si="219"/>
        <v>1.4586745548401019</v>
      </c>
      <c r="N458" s="304">
        <f t="shared" ca="1" si="220"/>
        <v>83.575895675461993</v>
      </c>
      <c r="P458" s="310">
        <f t="shared" ca="1" si="221"/>
        <v>19</v>
      </c>
      <c r="Q458" s="304">
        <f t="shared" ca="1" si="222"/>
        <v>128.33125000004102</v>
      </c>
      <c r="R458" s="306">
        <f t="shared" ca="1" si="223"/>
        <v>6.4285263204085466E-2</v>
      </c>
      <c r="S458" s="307">
        <f t="shared" ca="1" si="224"/>
        <v>6.4732523999883815</v>
      </c>
      <c r="T458" s="304">
        <f t="shared" ca="1" si="204"/>
        <v>63.502606043886026</v>
      </c>
      <c r="U458" s="311">
        <f t="shared" ca="1" si="205"/>
        <v>0</v>
      </c>
      <c r="V458" s="306">
        <f t="shared" ca="1" si="206"/>
        <v>1.1097948730170999</v>
      </c>
      <c r="W458" s="304">
        <f t="shared" ca="1" si="207"/>
        <v>347.65316070139829</v>
      </c>
      <c r="Y458" s="314" t="str">
        <f t="shared" ca="1" si="225"/>
        <v/>
      </c>
      <c r="Z458" s="315" t="str">
        <f t="shared" ca="1" si="226"/>
        <v/>
      </c>
      <c r="AA458" s="316" t="str">
        <f t="shared" ca="1" si="227"/>
        <v/>
      </c>
      <c r="AC458" s="310" t="e">
        <f t="shared" ca="1" si="228"/>
        <v>#N/A</v>
      </c>
      <c r="AD458" s="323" t="e">
        <f t="shared" ca="1" si="229"/>
        <v>#N/A</v>
      </c>
      <c r="AE458" s="324">
        <f t="shared" ca="1" si="208"/>
        <v>986.85437692458504</v>
      </c>
      <c r="AG458" s="306">
        <f t="shared" ca="1" si="230"/>
        <v>-43.786670096405288</v>
      </c>
      <c r="AH458" s="304">
        <f t="shared" ca="1" si="231"/>
        <v>-34.038232202638142</v>
      </c>
    </row>
    <row r="459" spans="1:34" x14ac:dyDescent="0.2">
      <c r="A459" s="347">
        <f t="shared" ca="1" si="209"/>
        <v>0.01</v>
      </c>
      <c r="B459" s="304">
        <f t="shared" ca="1" si="210"/>
        <v>4.5499999999999474</v>
      </c>
      <c r="D459" s="306">
        <f t="shared" ca="1" si="211"/>
        <v>-3.9280016361038315</v>
      </c>
      <c r="E459" s="307">
        <f t="shared" ca="1" si="212"/>
        <v>-44.696425163247987</v>
      </c>
      <c r="F459" s="304">
        <f t="shared" ca="1" si="213"/>
        <v>44.868693085792707</v>
      </c>
      <c r="G459" s="306">
        <f t="shared" ca="1" si="214"/>
        <v>37.905357036181933</v>
      </c>
      <c r="H459" s="307">
        <f t="shared" ca="1" si="215"/>
        <v>336.55715731313637</v>
      </c>
      <c r="I459" s="304">
        <f t="shared" ca="1" si="216"/>
        <v>338.68501034255951</v>
      </c>
      <c r="J459" s="306">
        <f t="shared" ca="1" si="217"/>
        <v>105.45363469584179</v>
      </c>
      <c r="K459" s="307">
        <f t="shared" ca="1" si="218"/>
        <v>990.22218331897454</v>
      </c>
      <c r="L459" s="304">
        <f t="shared" ca="1" si="203"/>
        <v>995.82149073393714</v>
      </c>
      <c r="M459" s="306">
        <f t="shared" ca="1" si="219"/>
        <v>1.4586421468078645</v>
      </c>
      <c r="N459" s="304">
        <f t="shared" ca="1" si="220"/>
        <v>83.574038831992468</v>
      </c>
      <c r="P459" s="310">
        <f t="shared" ca="1" si="221"/>
        <v>19</v>
      </c>
      <c r="Q459" s="304">
        <f t="shared" ca="1" si="222"/>
        <v>120.4187500000412</v>
      </c>
      <c r="R459" s="306">
        <f t="shared" ca="1" si="223"/>
        <v>6.0321636689872032E-2</v>
      </c>
      <c r="S459" s="307">
        <f t="shared" ca="1" si="224"/>
        <v>6.472649183621483</v>
      </c>
      <c r="T459" s="304">
        <f t="shared" ca="1" si="204"/>
        <v>63.496688491326751</v>
      </c>
      <c r="U459" s="311">
        <f t="shared" ca="1" si="205"/>
        <v>0</v>
      </c>
      <c r="V459" s="306">
        <f t="shared" ca="1" si="206"/>
        <v>1.1094202634949011</v>
      </c>
      <c r="W459" s="304">
        <f t="shared" ca="1" si="207"/>
        <v>346.61708759295249</v>
      </c>
      <c r="Y459" s="314" t="str">
        <f t="shared" ca="1" si="225"/>
        <v/>
      </c>
      <c r="Z459" s="315" t="str">
        <f t="shared" ca="1" si="226"/>
        <v/>
      </c>
      <c r="AA459" s="316" t="str">
        <f t="shared" ca="1" si="227"/>
        <v/>
      </c>
      <c r="AC459" s="310" t="e">
        <f t="shared" ca="1" si="228"/>
        <v>#N/A</v>
      </c>
      <c r="AD459" s="323" t="e">
        <f t="shared" ca="1" si="229"/>
        <v>#N/A</v>
      </c>
      <c r="AE459" s="324">
        <f t="shared" ca="1" si="208"/>
        <v>990.22218331897454</v>
      </c>
      <c r="AG459" s="306">
        <f t="shared" ca="1" si="230"/>
        <v>-44.855265780965595</v>
      </c>
      <c r="AH459" s="304">
        <f t="shared" ca="1" si="231"/>
        <v>-35.106863396266782</v>
      </c>
    </row>
    <row r="460" spans="1:34" x14ac:dyDescent="0.2">
      <c r="A460" s="347">
        <f t="shared" ca="1" si="209"/>
        <v>0.01</v>
      </c>
      <c r="B460" s="304">
        <f t="shared" ca="1" si="210"/>
        <v>4.5599999999999472</v>
      </c>
      <c r="D460" s="306">
        <f t="shared" ca="1" si="211"/>
        <v>-4.0483856957758642</v>
      </c>
      <c r="E460" s="307">
        <f t="shared" ca="1" si="212"/>
        <v>-45.755135147439006</v>
      </c>
      <c r="F460" s="304">
        <f t="shared" ca="1" si="213"/>
        <v>45.933885303794746</v>
      </c>
      <c r="G460" s="306">
        <f t="shared" ca="1" si="214"/>
        <v>37.864873179224176</v>
      </c>
      <c r="H460" s="307">
        <f t="shared" ca="1" si="215"/>
        <v>336.09960596166201</v>
      </c>
      <c r="I460" s="304">
        <f t="shared" ca="1" si="216"/>
        <v>338.22580290164615</v>
      </c>
      <c r="J460" s="306">
        <f t="shared" ca="1" si="217"/>
        <v>105.83248584691881</v>
      </c>
      <c r="K460" s="307">
        <f t="shared" ca="1" si="218"/>
        <v>993.58546713534849</v>
      </c>
      <c r="L460" s="304">
        <f t="shared" ca="1" si="203"/>
        <v>999.20598254969775</v>
      </c>
      <c r="M460" s="306">
        <f t="shared" ca="1" si="219"/>
        <v>1.4586096854347259</v>
      </c>
      <c r="N460" s="304">
        <f t="shared" ca="1" si="220"/>
        <v>83.572178932314415</v>
      </c>
      <c r="P460" s="310">
        <f t="shared" ca="1" si="221"/>
        <v>19</v>
      </c>
      <c r="Q460" s="304">
        <f t="shared" ca="1" si="222"/>
        <v>112.50625000004138</v>
      </c>
      <c r="R460" s="306">
        <f t="shared" ca="1" si="223"/>
        <v>5.6358010175658606E-2</v>
      </c>
      <c r="S460" s="307">
        <f t="shared" ca="1" si="224"/>
        <v>6.4720856035197265</v>
      </c>
      <c r="T460" s="304">
        <f t="shared" ca="1" si="204"/>
        <v>63.491159770528519</v>
      </c>
      <c r="U460" s="311">
        <f t="shared" ca="1" si="205"/>
        <v>0</v>
      </c>
      <c r="V460" s="306">
        <f t="shared" ca="1" si="206"/>
        <v>1.1090462769786333</v>
      </c>
      <c r="W460" s="304">
        <f t="shared" ca="1" si="207"/>
        <v>345.56127215210216</v>
      </c>
      <c r="Y460" s="314" t="str">
        <f t="shared" ca="1" si="225"/>
        <v/>
      </c>
      <c r="Z460" s="315" t="str">
        <f t="shared" ca="1" si="226"/>
        <v/>
      </c>
      <c r="AA460" s="316" t="str">
        <f t="shared" ca="1" si="227"/>
        <v/>
      </c>
      <c r="AC460" s="310" t="e">
        <f t="shared" ca="1" si="228"/>
        <v>#N/A</v>
      </c>
      <c r="AD460" s="323" t="e">
        <f t="shared" ca="1" si="229"/>
        <v>#N/A</v>
      </c>
      <c r="AE460" s="324">
        <f t="shared" ca="1" si="208"/>
        <v>993.58546713534849</v>
      </c>
      <c r="AG460" s="306">
        <f t="shared" ca="1" si="230"/>
        <v>-45.920761911453965</v>
      </c>
      <c r="AH460" s="304">
        <f t="shared" ca="1" si="231"/>
        <v>-36.172395103302428</v>
      </c>
    </row>
    <row r="461" spans="1:34" x14ac:dyDescent="0.2">
      <c r="A461" s="347">
        <f t="shared" ca="1" si="209"/>
        <v>0.01</v>
      </c>
      <c r="B461" s="304">
        <f t="shared" ca="1" si="210"/>
        <v>4.569999999999947</v>
      </c>
      <c r="D461" s="306">
        <f t="shared" ca="1" si="211"/>
        <v>-4.1684940760140075</v>
      </c>
      <c r="E461" s="307">
        <f t="shared" ca="1" si="212"/>
        <v>-46.810763472002073</v>
      </c>
      <c r="F461" s="304">
        <f t="shared" ca="1" si="213"/>
        <v>46.995998975375421</v>
      </c>
      <c r="G461" s="306">
        <f t="shared" ca="1" si="214"/>
        <v>37.823188238464034</v>
      </c>
      <c r="H461" s="307">
        <f t="shared" ca="1" si="215"/>
        <v>335.63149832694199</v>
      </c>
      <c r="I461" s="304">
        <f t="shared" ca="1" si="216"/>
        <v>337.75597143160968</v>
      </c>
      <c r="J461" s="306">
        <f t="shared" ca="1" si="217"/>
        <v>106.21092615400725</v>
      </c>
      <c r="K461" s="307">
        <f t="shared" ca="1" si="218"/>
        <v>996.94412265679148</v>
      </c>
      <c r="L461" s="304">
        <f t="shared" ca="1" si="203"/>
        <v>1002.5858290113679</v>
      </c>
      <c r="M461" s="306">
        <f t="shared" ca="1" si="219"/>
        <v>1.45857716953754</v>
      </c>
      <c r="N461" s="304">
        <f t="shared" ca="1" si="220"/>
        <v>83.570315908638591</v>
      </c>
      <c r="P461" s="310">
        <f t="shared" ca="1" si="221"/>
        <v>19</v>
      </c>
      <c r="Q461" s="304">
        <f t="shared" ca="1" si="222"/>
        <v>104.59375000004155</v>
      </c>
      <c r="R461" s="306">
        <f t="shared" ca="1" si="223"/>
        <v>5.2394383661445172E-2</v>
      </c>
      <c r="S461" s="307">
        <f t="shared" ca="1" si="224"/>
        <v>6.471561659683112</v>
      </c>
      <c r="T461" s="304">
        <f t="shared" ca="1" si="204"/>
        <v>63.48601988149133</v>
      </c>
      <c r="U461" s="311">
        <f t="shared" ca="1" si="205"/>
        <v>0</v>
      </c>
      <c r="V461" s="306">
        <f t="shared" ca="1" si="206"/>
        <v>1.1086729246769993</v>
      </c>
      <c r="W461" s="304">
        <f t="shared" ca="1" si="207"/>
        <v>344.48588882151688</v>
      </c>
      <c r="Y461" s="314" t="str">
        <f t="shared" ca="1" si="225"/>
        <v/>
      </c>
      <c r="Z461" s="315" t="str">
        <f t="shared" ca="1" si="226"/>
        <v/>
      </c>
      <c r="AA461" s="316" t="str">
        <f t="shared" ca="1" si="227"/>
        <v/>
      </c>
      <c r="AC461" s="310" t="e">
        <f t="shared" ca="1" si="228"/>
        <v>#N/A</v>
      </c>
      <c r="AD461" s="323" t="e">
        <f t="shared" ca="1" si="229"/>
        <v>#N/A</v>
      </c>
      <c r="AE461" s="324">
        <f t="shared" ca="1" si="208"/>
        <v>996.94412265679148</v>
      </c>
      <c r="AG461" s="306">
        <f t="shared" ca="1" si="230"/>
        <v>-46.983164858838549</v>
      </c>
      <c r="AH461" s="304">
        <f t="shared" ca="1" si="231"/>
        <v>-37.23483369605411</v>
      </c>
    </row>
    <row r="462" spans="1:34" x14ac:dyDescent="0.2">
      <c r="A462" s="347">
        <f t="shared" ca="1" si="209"/>
        <v>0.01</v>
      </c>
      <c r="B462" s="304">
        <f t="shared" ca="1" si="210"/>
        <v>4.5799999999999468</v>
      </c>
      <c r="D462" s="306">
        <f t="shared" ca="1" si="211"/>
        <v>-4.2883274394712592</v>
      </c>
      <c r="E462" s="307">
        <f t="shared" ca="1" si="212"/>
        <v>-47.863316784188839</v>
      </c>
      <c r="F462" s="304">
        <f t="shared" ca="1" si="213"/>
        <v>48.05503975455369</v>
      </c>
      <c r="G462" s="306">
        <f t="shared" ca="1" si="214"/>
        <v>37.780304964069323</v>
      </c>
      <c r="H462" s="307">
        <f t="shared" ca="1" si="215"/>
        <v>335.15286515910009</v>
      </c>
      <c r="I462" s="304">
        <f t="shared" ca="1" si="216"/>
        <v>337.27554679746947</v>
      </c>
      <c r="J462" s="306">
        <f t="shared" ca="1" si="217"/>
        <v>106.58894362001992</v>
      </c>
      <c r="K462" s="307">
        <f t="shared" ca="1" si="218"/>
        <v>1000.2980444742217</v>
      </c>
      <c r="L462" s="304">
        <f t="shared" ca="1" si="203"/>
        <v>1005.9609240328293</v>
      </c>
      <c r="M462" s="306">
        <f t="shared" ca="1" si="219"/>
        <v>1.4585445979257026</v>
      </c>
      <c r="N462" s="304">
        <f t="shared" ca="1" si="220"/>
        <v>83.568449692748359</v>
      </c>
      <c r="P462" s="310">
        <f t="shared" ca="1" si="221"/>
        <v>19</v>
      </c>
      <c r="Q462" s="304">
        <f t="shared" ca="1" si="222"/>
        <v>96.681250000041729</v>
      </c>
      <c r="R462" s="306">
        <f t="shared" ca="1" si="223"/>
        <v>4.8430757147231746E-2</v>
      </c>
      <c r="S462" s="307">
        <f t="shared" ca="1" si="224"/>
        <v>6.4710773521116396</v>
      </c>
      <c r="T462" s="304">
        <f t="shared" ca="1" si="204"/>
        <v>63.481268824215185</v>
      </c>
      <c r="U462" s="311">
        <f t="shared" ca="1" si="205"/>
        <v>0</v>
      </c>
      <c r="V462" s="306">
        <f t="shared" ca="1" si="206"/>
        <v>1.1083002177506383</v>
      </c>
      <c r="W462" s="304">
        <f t="shared" ca="1" si="207"/>
        <v>343.39111327728938</v>
      </c>
      <c r="Y462" s="314" t="str">
        <f t="shared" ca="1" si="225"/>
        <v/>
      </c>
      <c r="Z462" s="315" t="str">
        <f t="shared" ca="1" si="226"/>
        <v/>
      </c>
      <c r="AA462" s="316" t="str">
        <f t="shared" ca="1" si="227"/>
        <v/>
      </c>
      <c r="AC462" s="310" t="e">
        <f t="shared" ca="1" si="228"/>
        <v>#N/A</v>
      </c>
      <c r="AD462" s="323" t="e">
        <f t="shared" ca="1" si="229"/>
        <v>#N/A</v>
      </c>
      <c r="AE462" s="324">
        <f t="shared" ca="1" si="208"/>
        <v>1000.2980444742217</v>
      </c>
      <c r="AG462" s="306">
        <f t="shared" ca="1" si="230"/>
        <v>-48.042481304971695</v>
      </c>
      <c r="AH462" s="304">
        <f t="shared" ca="1" si="231"/>
        <v>-38.294185857724543</v>
      </c>
    </row>
    <row r="463" spans="1:34" x14ac:dyDescent="0.2">
      <c r="A463" s="347">
        <f t="shared" ca="1" si="209"/>
        <v>0.01</v>
      </c>
      <c r="B463" s="304">
        <f t="shared" ca="1" si="210"/>
        <v>4.5899999999999466</v>
      </c>
      <c r="D463" s="306">
        <f t="shared" ca="1" si="211"/>
        <v>-4.4078864882324211</v>
      </c>
      <c r="E463" s="307">
        <f t="shared" ca="1" si="212"/>
        <v>-48.912802034874289</v>
      </c>
      <c r="F463" s="304">
        <f t="shared" ca="1" si="213"/>
        <v>49.111013695462894</v>
      </c>
      <c r="G463" s="306">
        <f t="shared" ca="1" si="214"/>
        <v>37.736226099187</v>
      </c>
      <c r="H463" s="307">
        <f t="shared" ca="1" si="215"/>
        <v>334.66373713875134</v>
      </c>
      <c r="I463" s="304">
        <f t="shared" ca="1" si="216"/>
        <v>336.78455979436501</v>
      </c>
      <c r="J463" s="306">
        <f t="shared" ca="1" si="217"/>
        <v>106.96652627533621</v>
      </c>
      <c r="K463" s="307">
        <f t="shared" ca="1" si="218"/>
        <v>1003.6471274857109</v>
      </c>
      <c r="L463" s="304">
        <f t="shared" ca="1" si="203"/>
        <v>1009.3311618362584</v>
      </c>
      <c r="M463" s="306">
        <f t="shared" ca="1" si="219"/>
        <v>1.4585119694008959</v>
      </c>
      <c r="N463" s="304">
        <f t="shared" ca="1" si="220"/>
        <v>83.566580215985198</v>
      </c>
      <c r="P463" s="310">
        <f t="shared" ca="1" si="221"/>
        <v>19</v>
      </c>
      <c r="Q463" s="304">
        <f t="shared" ca="1" si="222"/>
        <v>88.768750000041905</v>
      </c>
      <c r="R463" s="306">
        <f t="shared" ca="1" si="223"/>
        <v>4.4467130633018312E-2</v>
      </c>
      <c r="S463" s="307">
        <f t="shared" ca="1" si="224"/>
        <v>6.4706326808053092</v>
      </c>
      <c r="T463" s="304">
        <f t="shared" ca="1" si="204"/>
        <v>63.476906598700083</v>
      </c>
      <c r="U463" s="311">
        <f t="shared" ca="1" si="205"/>
        <v>0</v>
      </c>
      <c r="V463" s="306">
        <f t="shared" ca="1" si="206"/>
        <v>1.1079281673123242</v>
      </c>
      <c r="W463" s="304">
        <f t="shared" ca="1" si="207"/>
        <v>342.2771224003763</v>
      </c>
      <c r="Y463" s="314" t="str">
        <f t="shared" ca="1" si="225"/>
        <v/>
      </c>
      <c r="Z463" s="315" t="str">
        <f t="shared" ca="1" si="226"/>
        <v/>
      </c>
      <c r="AA463" s="316" t="str">
        <f t="shared" ca="1" si="227"/>
        <v/>
      </c>
      <c r="AC463" s="310" t="e">
        <f t="shared" ca="1" si="228"/>
        <v>#N/A</v>
      </c>
      <c r="AD463" s="323" t="e">
        <f t="shared" ca="1" si="229"/>
        <v>#N/A</v>
      </c>
      <c r="AE463" s="324">
        <f t="shared" ca="1" si="208"/>
        <v>1003.6471274857109</v>
      </c>
      <c r="AG463" s="306">
        <f t="shared" ca="1" si="230"/>
        <v>-49.098718237834149</v>
      </c>
      <c r="AH463" s="304">
        <f t="shared" ca="1" si="231"/>
        <v>-39.350458577654599</v>
      </c>
    </row>
    <row r="464" spans="1:34" x14ac:dyDescent="0.2">
      <c r="A464" s="347">
        <f t="shared" ca="1" si="209"/>
        <v>0.01</v>
      </c>
      <c r="B464" s="304">
        <f t="shared" ca="1" si="210"/>
        <v>4.5999999999999464</v>
      </c>
      <c r="D464" s="306">
        <f t="shared" ca="1" si="211"/>
        <v>-4.5271719633506011</v>
      </c>
      <c r="E464" s="307">
        <f t="shared" ca="1" si="212"/>
        <v>-49.95922647385057</v>
      </c>
      <c r="F464" s="304">
        <f t="shared" ca="1" si="213"/>
        <v>50.16392723712169</v>
      </c>
      <c r="G464" s="306">
        <f t="shared" ca="1" si="214"/>
        <v>37.690954379553496</v>
      </c>
      <c r="H464" s="307">
        <f t="shared" ca="1" si="215"/>
        <v>334.16414487401283</v>
      </c>
      <c r="I464" s="304">
        <f t="shared" ca="1" si="216"/>
        <v>336.28304114454215</v>
      </c>
      <c r="J464" s="306">
        <f t="shared" ca="1" si="217"/>
        <v>107.34366217772991</v>
      </c>
      <c r="K464" s="307">
        <f t="shared" ca="1" si="218"/>
        <v>1006.9912668957747</v>
      </c>
      <c r="L464" s="304">
        <f t="shared" ca="1" si="203"/>
        <v>1012.6964369514114</v>
      </c>
      <c r="M464" s="306">
        <f t="shared" ca="1" si="219"/>
        <v>1.4584792827568305</v>
      </c>
      <c r="N464" s="304">
        <f t="shared" ca="1" si="220"/>
        <v>83.564707409233804</v>
      </c>
      <c r="P464" s="310">
        <f t="shared" ca="1" si="221"/>
        <v>19</v>
      </c>
      <c r="Q464" s="304">
        <f t="shared" ca="1" si="222"/>
        <v>80.856250000042081</v>
      </c>
      <c r="R464" s="306">
        <f t="shared" ca="1" si="223"/>
        <v>4.0503504118804885E-2</v>
      </c>
      <c r="S464" s="307">
        <f t="shared" ca="1" si="224"/>
        <v>6.4702276457641208</v>
      </c>
      <c r="T464" s="304">
        <f t="shared" ca="1" si="204"/>
        <v>63.472933204946031</v>
      </c>
      <c r="U464" s="311">
        <f t="shared" ca="1" si="205"/>
        <v>0</v>
      </c>
      <c r="V464" s="306">
        <f t="shared" ca="1" si="206"/>
        <v>1.1075567844271679</v>
      </c>
      <c r="W464" s="304">
        <f t="shared" ca="1" si="207"/>
        <v>341.14409424842137</v>
      </c>
      <c r="Y464" s="314" t="str">
        <f t="shared" ca="1" si="225"/>
        <v/>
      </c>
      <c r="Z464" s="315" t="str">
        <f t="shared" ca="1" si="226"/>
        <v/>
      </c>
      <c r="AA464" s="316" t="str">
        <f t="shared" ca="1" si="227"/>
        <v/>
      </c>
      <c r="AC464" s="310" t="e">
        <f t="shared" ca="1" si="228"/>
        <v>#N/A</v>
      </c>
      <c r="AD464" s="323" t="e">
        <f t="shared" ca="1" si="229"/>
        <v>#N/A</v>
      </c>
      <c r="AE464" s="324">
        <f t="shared" ca="1" si="208"/>
        <v>1006.9912668957747</v>
      </c>
      <c r="AG464" s="306">
        <f t="shared" ca="1" si="230"/>
        <v>-50.151882946807163</v>
      </c>
      <c r="AH464" s="304">
        <f t="shared" ca="1" si="231"/>
        <v>-40.403659146595757</v>
      </c>
    </row>
    <row r="465" spans="1:34" x14ac:dyDescent="0.2">
      <c r="A465" s="347">
        <f t="shared" ca="1" si="209"/>
        <v>0.01</v>
      </c>
      <c r="B465" s="304">
        <f t="shared" ca="1" si="210"/>
        <v>4.6099999999999461</v>
      </c>
      <c r="D465" s="306">
        <f t="shared" ca="1" si="211"/>
        <v>-4.6157664193173122</v>
      </c>
      <c r="E465" s="307">
        <f t="shared" ca="1" si="212"/>
        <v>-50.732912774161157</v>
      </c>
      <c r="F465" s="304">
        <f t="shared" ca="1" si="213"/>
        <v>50.942455164512261</v>
      </c>
      <c r="G465" s="306">
        <f t="shared" ca="1" si="214"/>
        <v>37.644796715360322</v>
      </c>
      <c r="H465" s="307">
        <f t="shared" ca="1" si="215"/>
        <v>333.65681574627121</v>
      </c>
      <c r="I465" s="304">
        <f t="shared" ca="1" si="216"/>
        <v>335.7737354435007</v>
      </c>
      <c r="J465" s="306">
        <f t="shared" ca="1" si="217"/>
        <v>107.72034093320448</v>
      </c>
      <c r="K465" s="307">
        <f t="shared" ca="1" si="218"/>
        <v>1010.3303716988762</v>
      </c>
      <c r="L465" s="304">
        <f t="shared" ca="1" si="203"/>
        <v>1016.0566577843753</v>
      </c>
      <c r="M465" s="306">
        <f t="shared" ca="1" si="219"/>
        <v>1.4584465370436555</v>
      </c>
      <c r="N465" s="304">
        <f t="shared" ca="1" si="220"/>
        <v>83.562831218071736</v>
      </c>
      <c r="P465" s="310">
        <f t="shared" ca="1" si="221"/>
        <v>20</v>
      </c>
      <c r="Q465" s="304">
        <f t="shared" ca="1" si="222"/>
        <v>74.700000000023536</v>
      </c>
      <c r="R465" s="306">
        <f t="shared" ca="1" si="223"/>
        <v>3.7419639887752688E-2</v>
      </c>
      <c r="S465" s="307">
        <f t="shared" ca="1" si="224"/>
        <v>6.4698534493652433</v>
      </c>
      <c r="T465" s="304">
        <f t="shared" ca="1" si="204"/>
        <v>63.46926233827304</v>
      </c>
      <c r="U465" s="311">
        <f t="shared" ca="1" si="205"/>
        <v>0</v>
      </c>
      <c r="V465" s="306">
        <f t="shared" ca="1" si="206"/>
        <v>1.1071860786160452</v>
      </c>
      <c r="W465" s="304">
        <f t="shared" ca="1" si="207"/>
        <v>339.99770372625483</v>
      </c>
      <c r="Y465" s="314" t="str">
        <f t="shared" ca="1" si="225"/>
        <v/>
      </c>
      <c r="Z465" s="315" t="str">
        <f t="shared" ca="1" si="226"/>
        <v/>
      </c>
      <c r="AA465" s="316" t="str">
        <f t="shared" ca="1" si="227"/>
        <v/>
      </c>
      <c r="AC465" s="310" t="e">
        <f t="shared" ca="1" si="228"/>
        <v>#N/A</v>
      </c>
      <c r="AD465" s="323" t="e">
        <f t="shared" ca="1" si="229"/>
        <v>#N/A</v>
      </c>
      <c r="AE465" s="324">
        <f t="shared" ca="1" si="208"/>
        <v>1010.3303716988762</v>
      </c>
      <c r="AG465" s="306">
        <f t="shared" ca="1" si="230"/>
        <v>-50.930588106347578</v>
      </c>
      <c r="AH465" s="304">
        <f t="shared" ca="1" si="231"/>
        <v>-41.182400240385455</v>
      </c>
    </row>
    <row r="466" spans="1:34" x14ac:dyDescent="0.2">
      <c r="A466" s="347">
        <f t="shared" ca="1" si="209"/>
        <v>0.01</v>
      </c>
      <c r="B466" s="304">
        <f t="shared" ca="1" si="210"/>
        <v>4.6199999999999459</v>
      </c>
      <c r="D466" s="306">
        <f t="shared" ca="1" si="211"/>
        <v>-4.6737413973826802</v>
      </c>
      <c r="E466" s="307">
        <f t="shared" ca="1" si="212"/>
        <v>-51.234733517977467</v>
      </c>
      <c r="F466" s="304">
        <f t="shared" ca="1" si="213"/>
        <v>51.447466189383633</v>
      </c>
      <c r="G466" s="306">
        <f t="shared" ca="1" si="214"/>
        <v>37.598059301386492</v>
      </c>
      <c r="H466" s="307">
        <f t="shared" ca="1" si="215"/>
        <v>333.14446841109145</v>
      </c>
      <c r="I466" s="304">
        <f t="shared" ca="1" si="216"/>
        <v>335.25937853569326</v>
      </c>
      <c r="J466" s="306">
        <f t="shared" ca="1" si="217"/>
        <v>108.09655521328821</v>
      </c>
      <c r="K466" s="307">
        <f t="shared" ca="1" si="218"/>
        <v>1013.6643781196631</v>
      </c>
      <c r="L466" s="304">
        <f t="shared" ca="1" si="203"/>
        <v>1019.4117601429281</v>
      </c>
      <c r="M466" s="306">
        <f t="shared" ca="1" si="219"/>
        <v>1.458413731570507</v>
      </c>
      <c r="N466" s="304">
        <f t="shared" ca="1" si="220"/>
        <v>83.560951602915395</v>
      </c>
      <c r="P466" s="310">
        <f t="shared" ca="1" si="221"/>
        <v>20</v>
      </c>
      <c r="Q466" s="304">
        <f t="shared" ca="1" si="222"/>
        <v>70.300000000023687</v>
      </c>
      <c r="R466" s="306">
        <f t="shared" ca="1" si="223"/>
        <v>3.5215537939880477E-2</v>
      </c>
      <c r="S466" s="307">
        <f t="shared" ca="1" si="224"/>
        <v>6.4695012939858447</v>
      </c>
      <c r="T466" s="304">
        <f t="shared" ca="1" si="204"/>
        <v>63.465807694001143</v>
      </c>
      <c r="U466" s="311">
        <f t="shared" ca="1" si="205"/>
        <v>0</v>
      </c>
      <c r="V466" s="306">
        <f t="shared" ca="1" si="206"/>
        <v>1.1068160563666813</v>
      </c>
      <c r="W466" s="304">
        <f t="shared" ca="1" si="207"/>
        <v>338.84356714256421</v>
      </c>
      <c r="Y466" s="314" t="str">
        <f t="shared" ca="1" si="225"/>
        <v/>
      </c>
      <c r="Z466" s="315" t="str">
        <f t="shared" ca="1" si="226"/>
        <v/>
      </c>
      <c r="AA466" s="316" t="str">
        <f t="shared" ca="1" si="227"/>
        <v/>
      </c>
      <c r="AC466" s="310" t="e">
        <f t="shared" ca="1" si="228"/>
        <v>#N/A</v>
      </c>
      <c r="AD466" s="323" t="e">
        <f t="shared" ca="1" si="229"/>
        <v>#N/A</v>
      </c>
      <c r="AE466" s="324">
        <f t="shared" ca="1" si="208"/>
        <v>1013.6643781196631</v>
      </c>
      <c r="AG466" s="306">
        <f t="shared" ca="1" si="230"/>
        <v>-51.435708821030858</v>
      </c>
      <c r="AH466" s="304">
        <f t="shared" ca="1" si="231"/>
        <v>-41.687556964699361</v>
      </c>
    </row>
    <row r="467" spans="1:34" x14ac:dyDescent="0.2">
      <c r="A467" s="347">
        <f t="shared" ca="1" si="209"/>
        <v>0.01</v>
      </c>
      <c r="B467" s="304">
        <f t="shared" ca="1" si="210"/>
        <v>4.6299999999999457</v>
      </c>
      <c r="D467" s="306">
        <f t="shared" ca="1" si="211"/>
        <v>-4.731607515395245</v>
      </c>
      <c r="E467" s="307">
        <f t="shared" ca="1" si="212"/>
        <v>-51.735272201167724</v>
      </c>
      <c r="F467" s="304">
        <f t="shared" ca="1" si="213"/>
        <v>51.951193435845752</v>
      </c>
      <c r="G467" s="306">
        <f t="shared" ca="1" si="214"/>
        <v>37.550743226232541</v>
      </c>
      <c r="H467" s="307">
        <f t="shared" ca="1" si="215"/>
        <v>332.6271156890798</v>
      </c>
      <c r="I467" s="304">
        <f t="shared" ca="1" si="216"/>
        <v>334.73998328326257</v>
      </c>
      <c r="J467" s="306">
        <f t="shared" ca="1" si="217"/>
        <v>108.47229922592631</v>
      </c>
      <c r="K467" s="307">
        <f t="shared" ca="1" si="218"/>
        <v>1016.9932360401639</v>
      </c>
      <c r="L467" s="304">
        <f t="shared" ca="1" si="203"/>
        <v>1022.7616935781293</v>
      </c>
      <c r="M467" s="306">
        <f t="shared" ca="1" si="219"/>
        <v>1.4583808656416932</v>
      </c>
      <c r="N467" s="304">
        <f t="shared" ca="1" si="220"/>
        <v>83.559068523904585</v>
      </c>
      <c r="P467" s="310">
        <f t="shared" ca="1" si="221"/>
        <v>20</v>
      </c>
      <c r="Q467" s="304">
        <f t="shared" ca="1" si="222"/>
        <v>65.900000000023837</v>
      </c>
      <c r="R467" s="306">
        <f t="shared" ca="1" si="223"/>
        <v>3.3011435992008266E-2</v>
      </c>
      <c r="S467" s="307">
        <f t="shared" ca="1" si="224"/>
        <v>6.469171179625925</v>
      </c>
      <c r="T467" s="304">
        <f t="shared" ca="1" si="204"/>
        <v>63.462569272130331</v>
      </c>
      <c r="U467" s="311">
        <f t="shared" ca="1" si="205"/>
        <v>0</v>
      </c>
      <c r="V467" s="306">
        <f t="shared" ca="1" si="206"/>
        <v>1.1064467226441448</v>
      </c>
      <c r="W467" s="304">
        <f t="shared" ca="1" si="207"/>
        <v>337.68176568607851</v>
      </c>
      <c r="Y467" s="314" t="str">
        <f t="shared" ca="1" si="225"/>
        <v/>
      </c>
      <c r="Z467" s="315" t="str">
        <f t="shared" ca="1" si="226"/>
        <v/>
      </c>
      <c r="AA467" s="316" t="str">
        <f t="shared" ca="1" si="227"/>
        <v/>
      </c>
      <c r="AC467" s="310" t="e">
        <f t="shared" ca="1" si="228"/>
        <v>#N/A</v>
      </c>
      <c r="AD467" s="323" t="e">
        <f t="shared" ca="1" si="229"/>
        <v>#N/A</v>
      </c>
      <c r="AE467" s="324">
        <f t="shared" ca="1" si="208"/>
        <v>1016.9932360401639</v>
      </c>
      <c r="AG467" s="306">
        <f t="shared" ca="1" si="230"/>
        <v>-51.939543321864029</v>
      </c>
      <c r="AH467" s="304">
        <f t="shared" ca="1" si="231"/>
        <v>-42.191427551361087</v>
      </c>
    </row>
    <row r="468" spans="1:34" x14ac:dyDescent="0.2">
      <c r="A468" s="347">
        <f t="shared" ca="1" si="209"/>
        <v>0.01</v>
      </c>
      <c r="B468" s="304">
        <f t="shared" ca="1" si="210"/>
        <v>4.6399999999999455</v>
      </c>
      <c r="D468" s="306">
        <f t="shared" ca="1" si="211"/>
        <v>-4.7893655747077801</v>
      </c>
      <c r="E468" s="307">
        <f t="shared" ca="1" si="212"/>
        <v>-52.234535980494726</v>
      </c>
      <c r="F468" s="304">
        <f t="shared" ca="1" si="213"/>
        <v>52.453644026948162</v>
      </c>
      <c r="G468" s="306">
        <f t="shared" ca="1" si="214"/>
        <v>37.502849570485466</v>
      </c>
      <c r="H468" s="307">
        <f t="shared" ca="1" si="215"/>
        <v>332.10477032927486</v>
      </c>
      <c r="I468" s="304">
        <f t="shared" ca="1" si="216"/>
        <v>334.21556247632583</v>
      </c>
      <c r="J468" s="306">
        <f t="shared" ca="1" si="217"/>
        <v>108.8475671899099</v>
      </c>
      <c r="K468" s="307">
        <f t="shared" ca="1" si="218"/>
        <v>1020.3168954702556</v>
      </c>
      <c r="L468" s="304">
        <f t="shared" ca="1" si="203"/>
        <v>1026.1064077693027</v>
      </c>
      <c r="M468" s="306">
        <f t="shared" ca="1" si="219"/>
        <v>1.4583479385566016</v>
      </c>
      <c r="N468" s="304">
        <f t="shared" ca="1" si="220"/>
        <v>83.557181940897166</v>
      </c>
      <c r="P468" s="310">
        <f t="shared" ca="1" si="221"/>
        <v>20</v>
      </c>
      <c r="Q468" s="304">
        <f t="shared" ca="1" si="222"/>
        <v>61.500000000023995</v>
      </c>
      <c r="R468" s="306">
        <f t="shared" ca="1" si="223"/>
        <v>3.0807334044136055E-2</v>
      </c>
      <c r="S468" s="307">
        <f t="shared" ca="1" si="224"/>
        <v>6.4688631062854833</v>
      </c>
      <c r="T468" s="304">
        <f t="shared" ca="1" si="204"/>
        <v>63.459547072660598</v>
      </c>
      <c r="U468" s="311">
        <f t="shared" ca="1" si="205"/>
        <v>0</v>
      </c>
      <c r="V468" s="306">
        <f t="shared" ca="1" si="206"/>
        <v>1.1060780823936669</v>
      </c>
      <c r="W468" s="304">
        <f t="shared" ca="1" si="207"/>
        <v>336.51238054486407</v>
      </c>
      <c r="Y468" s="314" t="str">
        <f t="shared" ca="1" si="225"/>
        <v/>
      </c>
      <c r="Z468" s="315" t="str">
        <f t="shared" ca="1" si="226"/>
        <v/>
      </c>
      <c r="AA468" s="316" t="str">
        <f t="shared" ca="1" si="227"/>
        <v/>
      </c>
      <c r="AC468" s="310" t="e">
        <f t="shared" ca="1" si="228"/>
        <v>#N/A</v>
      </c>
      <c r="AD468" s="323" t="e">
        <f t="shared" ca="1" si="229"/>
        <v>#N/A</v>
      </c>
      <c r="AE468" s="324">
        <f t="shared" ca="1" si="208"/>
        <v>1020.3168954702556</v>
      </c>
      <c r="AG468" s="306">
        <f t="shared" ca="1" si="230"/>
        <v>-52.442098811383829</v>
      </c>
      <c r="AH468" s="304">
        <f t="shared" ca="1" si="231"/>
        <v>-42.69401920373025</v>
      </c>
    </row>
    <row r="469" spans="1:34" x14ac:dyDescent="0.2">
      <c r="A469" s="347">
        <f t="shared" ca="1" si="209"/>
        <v>0.01</v>
      </c>
      <c r="B469" s="304">
        <f t="shared" ca="1" si="210"/>
        <v>4.6499999999999453</v>
      </c>
      <c r="D469" s="306">
        <f t="shared" ca="1" si="211"/>
        <v>-4.8470163818359708</v>
      </c>
      <c r="E469" s="307">
        <f t="shared" ca="1" si="212"/>
        <v>-52.732532039770803</v>
      </c>
      <c r="F469" s="304">
        <f t="shared" ca="1" si="213"/>
        <v>52.954825116614636</v>
      </c>
      <c r="G469" s="306">
        <f t="shared" ca="1" si="214"/>
        <v>37.454379406667108</v>
      </c>
      <c r="H469" s="307">
        <f t="shared" ca="1" si="215"/>
        <v>331.57744500887713</v>
      </c>
      <c r="I469" s="304">
        <f t="shared" ca="1" si="216"/>
        <v>333.68612883270038</v>
      </c>
      <c r="J469" s="306">
        <f t="shared" ca="1" si="217"/>
        <v>109.22235333479566</v>
      </c>
      <c r="K469" s="307">
        <f t="shared" ca="1" si="218"/>
        <v>1023.6353065469464</v>
      </c>
      <c r="L469" s="304">
        <f t="shared" ca="1" si="203"/>
        <v>1029.4458525233135</v>
      </c>
      <c r="M469" s="306">
        <f t="shared" ca="1" si="219"/>
        <v>1.4583149496096066</v>
      </c>
      <c r="N469" s="304">
        <f t="shared" ca="1" si="220"/>
        <v>83.555291813463782</v>
      </c>
      <c r="P469" s="310">
        <f t="shared" ca="1" si="221"/>
        <v>20</v>
      </c>
      <c r="Q469" s="304">
        <f t="shared" ca="1" si="222"/>
        <v>57.100000000024153</v>
      </c>
      <c r="R469" s="306">
        <f t="shared" ca="1" si="223"/>
        <v>2.8603232096263843E-2</v>
      </c>
      <c r="S469" s="307">
        <f t="shared" ca="1" si="224"/>
        <v>6.4685770739645205</v>
      </c>
      <c r="T469" s="304">
        <f t="shared" ca="1" si="204"/>
        <v>63.456741095591951</v>
      </c>
      <c r="U469" s="311">
        <f t="shared" ca="1" si="205"/>
        <v>0</v>
      </c>
      <c r="V469" s="306">
        <f t="shared" ca="1" si="206"/>
        <v>1.1057101405407739</v>
      </c>
      <c r="W469" s="304">
        <f t="shared" ca="1" si="207"/>
        <v>335.33549290297583</v>
      </c>
      <c r="Y469" s="314" t="str">
        <f t="shared" ca="1" si="225"/>
        <v/>
      </c>
      <c r="Z469" s="315" t="str">
        <f t="shared" ca="1" si="226"/>
        <v/>
      </c>
      <c r="AA469" s="316" t="str">
        <f t="shared" ca="1" si="227"/>
        <v/>
      </c>
      <c r="AC469" s="310" t="e">
        <f t="shared" ca="1" si="228"/>
        <v>#N/A</v>
      </c>
      <c r="AD469" s="323" t="e">
        <f t="shared" ca="1" si="229"/>
        <v>#N/A</v>
      </c>
      <c r="AE469" s="324">
        <f t="shared" ca="1" si="208"/>
        <v>1023.6353065469464</v>
      </c>
      <c r="AG469" s="306">
        <f t="shared" ca="1" si="230"/>
        <v>-52.943382519586507</v>
      </c>
      <c r="AH469" s="304">
        <f t="shared" ca="1" si="231"/>
        <v>-43.195339152632393</v>
      </c>
    </row>
    <row r="470" spans="1:34" x14ac:dyDescent="0.2">
      <c r="A470" s="347">
        <f t="shared" ca="1" si="209"/>
        <v>0.01</v>
      </c>
      <c r="B470" s="304">
        <f t="shared" ca="1" si="210"/>
        <v>4.6599999999999451</v>
      </c>
      <c r="D470" s="306">
        <f t="shared" ca="1" si="211"/>
        <v>-4.9301507240460305</v>
      </c>
      <c r="E470" s="307">
        <f t="shared" ca="1" si="212"/>
        <v>-53.45581142404027</v>
      </c>
      <c r="F470" s="304">
        <f t="shared" ca="1" si="213"/>
        <v>53.682680271800571</v>
      </c>
      <c r="G470" s="306">
        <f t="shared" ca="1" si="214"/>
        <v>37.405077899426651</v>
      </c>
      <c r="H470" s="307">
        <f t="shared" ca="1" si="215"/>
        <v>331.04288689463675</v>
      </c>
      <c r="I470" s="304">
        <f t="shared" ca="1" si="216"/>
        <v>333.14941515211672</v>
      </c>
      <c r="J470" s="306">
        <f t="shared" ca="1" si="217"/>
        <v>109.59665062132612</v>
      </c>
      <c r="K470" s="307">
        <f t="shared" ca="1" si="218"/>
        <v>1026.9484082064639</v>
      </c>
      <c r="L470" s="304">
        <f t="shared" ca="1" si="203"/>
        <v>1032.779966374834</v>
      </c>
      <c r="M470" s="306">
        <f t="shared" ca="1" si="219"/>
        <v>1.4582818978637917</v>
      </c>
      <c r="N470" s="304">
        <f t="shared" ca="1" si="220"/>
        <v>83.553398087923043</v>
      </c>
      <c r="P470" s="310">
        <f t="shared" ca="1" si="221"/>
        <v>21</v>
      </c>
      <c r="Q470" s="304">
        <f t="shared" ca="1" si="222"/>
        <v>51.225000000040474</v>
      </c>
      <c r="R470" s="306">
        <f t="shared" ca="1" si="223"/>
        <v>2.5660255063601634E-2</v>
      </c>
      <c r="S470" s="307">
        <f t="shared" ca="1" si="224"/>
        <v>6.4683204714138842</v>
      </c>
      <c r="T470" s="304">
        <f t="shared" ca="1" si="204"/>
        <v>63.454223824570207</v>
      </c>
      <c r="U470" s="311">
        <f t="shared" ca="1" si="205"/>
        <v>0</v>
      </c>
      <c r="V470" s="306">
        <f t="shared" ca="1" si="206"/>
        <v>1.105342903246775</v>
      </c>
      <c r="W470" s="304">
        <f t="shared" ca="1" si="207"/>
        <v>334.14661096175524</v>
      </c>
      <c r="Y470" s="314" t="str">
        <f t="shared" ca="1" si="225"/>
        <v/>
      </c>
      <c r="Z470" s="315" t="str">
        <f t="shared" ca="1" si="226"/>
        <v/>
      </c>
      <c r="AA470" s="316" t="str">
        <f t="shared" ca="1" si="227"/>
        <v/>
      </c>
      <c r="AC470" s="310" t="e">
        <f t="shared" ca="1" si="228"/>
        <v>#N/A</v>
      </c>
      <c r="AD470" s="323" t="e">
        <f t="shared" ca="1" si="229"/>
        <v>#N/A</v>
      </c>
      <c r="AE470" s="324">
        <f t="shared" ca="1" si="208"/>
        <v>1026.9484082064639</v>
      </c>
      <c r="AG470" s="306">
        <f t="shared" ca="1" si="230"/>
        <v>-53.671386255283316</v>
      </c>
      <c r="AH470" s="304">
        <f t="shared" ca="1" si="231"/>
        <v>-43.923379207714603</v>
      </c>
    </row>
    <row r="471" spans="1:34" x14ac:dyDescent="0.2">
      <c r="A471" s="347">
        <f t="shared" ca="1" si="209"/>
        <v>0.01</v>
      </c>
      <c r="B471" s="304">
        <f t="shared" ca="1" si="210"/>
        <v>4.6699999999999449</v>
      </c>
      <c r="D471" s="306">
        <f t="shared" ca="1" si="211"/>
        <v>-5.0387092595952891</v>
      </c>
      <c r="E471" s="307">
        <f t="shared" ca="1" si="212"/>
        <v>-54.403647525720821</v>
      </c>
      <c r="F471" s="304">
        <f t="shared" ca="1" si="213"/>
        <v>54.636484651792891</v>
      </c>
      <c r="G471" s="306">
        <f t="shared" ca="1" si="214"/>
        <v>37.354690806830696</v>
      </c>
      <c r="H471" s="307">
        <f t="shared" ca="1" si="215"/>
        <v>330.49885041937955</v>
      </c>
      <c r="I471" s="304">
        <f t="shared" ca="1" si="216"/>
        <v>332.60316152106151</v>
      </c>
      <c r="J471" s="306">
        <f t="shared" ca="1" si="217"/>
        <v>109.97044946485741</v>
      </c>
      <c r="K471" s="307">
        <f t="shared" ca="1" si="218"/>
        <v>1030.256116893034</v>
      </c>
      <c r="L471" s="304">
        <f t="shared" ca="1" si="203"/>
        <v>1036.1086652234001</v>
      </c>
      <c r="M471" s="306">
        <f t="shared" ca="1" si="219"/>
        <v>1.4582487821483003</v>
      </c>
      <c r="N471" s="304">
        <f t="shared" ca="1" si="220"/>
        <v>83.551500697189837</v>
      </c>
      <c r="P471" s="310">
        <f t="shared" ca="1" si="221"/>
        <v>21</v>
      </c>
      <c r="Q471" s="304">
        <f t="shared" ca="1" si="222"/>
        <v>43.875000000040473</v>
      </c>
      <c r="R471" s="306">
        <f t="shared" ca="1" si="223"/>
        <v>2.1978402946133152E-2</v>
      </c>
      <c r="S471" s="307">
        <f t="shared" ca="1" si="224"/>
        <v>6.4681006873844229</v>
      </c>
      <c r="T471" s="304">
        <f t="shared" ca="1" si="204"/>
        <v>63.452067743241194</v>
      </c>
      <c r="U471" s="311">
        <f t="shared" ca="1" si="205"/>
        <v>0</v>
      </c>
      <c r="V471" s="306">
        <f t="shared" ca="1" si="206"/>
        <v>1.1049763791578189</v>
      </c>
      <c r="W471" s="304">
        <f t="shared" ca="1" si="207"/>
        <v>332.94129425959483</v>
      </c>
      <c r="Y471" s="314" t="str">
        <f t="shared" ca="1" si="225"/>
        <v/>
      </c>
      <c r="Z471" s="315" t="str">
        <f t="shared" ca="1" si="226"/>
        <v/>
      </c>
      <c r="AA471" s="316" t="str">
        <f t="shared" ca="1" si="227"/>
        <v/>
      </c>
      <c r="AC471" s="310" t="e">
        <f t="shared" ca="1" si="228"/>
        <v>#N/A</v>
      </c>
      <c r="AD471" s="323" t="e">
        <f t="shared" ca="1" si="229"/>
        <v>#N/A</v>
      </c>
      <c r="AE471" s="324">
        <f t="shared" ca="1" si="208"/>
        <v>1030.256116893034</v>
      </c>
      <c r="AG471" s="306">
        <f t="shared" ca="1" si="230"/>
        <v>-54.62538134299642</v>
      </c>
      <c r="AH471" s="304">
        <f t="shared" ca="1" si="231"/>
        <v>-44.877410694590637</v>
      </c>
    </row>
    <row r="472" spans="1:34" x14ac:dyDescent="0.2">
      <c r="A472" s="347">
        <f t="shared" ca="1" si="209"/>
        <v>0.01</v>
      </c>
      <c r="B472" s="304">
        <f t="shared" ca="1" si="210"/>
        <v>4.6799999999999446</v>
      </c>
      <c r="D472" s="306">
        <f t="shared" ca="1" si="211"/>
        <v>-5.4321635324458857</v>
      </c>
      <c r="E472" s="307">
        <f t="shared" ca="1" si="212"/>
        <v>-57.871535619380552</v>
      </c>
      <c r="F472" s="304">
        <f t="shared" ca="1" si="213"/>
        <v>58.125923954707737</v>
      </c>
      <c r="G472" s="306">
        <f t="shared" ca="1" si="214"/>
        <v>37.30036917150624</v>
      </c>
      <c r="H472" s="307">
        <f t="shared" ca="1" si="215"/>
        <v>329.92013506318574</v>
      </c>
      <c r="I472" s="304">
        <f t="shared" ca="1" si="216"/>
        <v>332.02200689177425</v>
      </c>
      <c r="J472" s="306">
        <f t="shared" ca="1" si="217"/>
        <v>110.3437247647491</v>
      </c>
      <c r="K472" s="307">
        <f t="shared" ca="1" si="218"/>
        <v>1033.5582118204468</v>
      </c>
      <c r="L472" s="304">
        <f t="shared" ca="1" si="203"/>
        <v>1039.4317268663865</v>
      </c>
      <c r="M472" s="306">
        <f t="shared" ca="1" si="219"/>
        <v>1.4582155987461645</v>
      </c>
      <c r="N472" s="304">
        <f t="shared" ca="1" si="220"/>
        <v>83.549599428297569</v>
      </c>
      <c r="P472" s="310">
        <f t="shared" ca="1" si="221"/>
        <v>22</v>
      </c>
      <c r="Q472" s="304">
        <f t="shared" ca="1" si="222"/>
        <v>20.100000000221371</v>
      </c>
      <c r="R472" s="306">
        <f t="shared" ca="1" si="223"/>
        <v>1.0068738443800211E-2</v>
      </c>
      <c r="S472" s="307">
        <f t="shared" ca="1" si="224"/>
        <v>6.4679999999999849</v>
      </c>
      <c r="T472" s="304">
        <f t="shared" ca="1" si="204"/>
        <v>63.451079999999855</v>
      </c>
      <c r="U472" s="311">
        <f t="shared" ca="1" si="205"/>
        <v>0</v>
      </c>
      <c r="V472" s="306">
        <f t="shared" ca="1" si="206"/>
        <v>1.1046105921090879</v>
      </c>
      <c r="W472" s="304">
        <f t="shared" ca="1" si="207"/>
        <v>331.66898908713284</v>
      </c>
      <c r="Y472" s="314" t="str">
        <f t="shared" ca="1" si="225"/>
        <v/>
      </c>
      <c r="Z472" s="315" t="str">
        <f t="shared" ca="1" si="226"/>
        <v/>
      </c>
      <c r="AA472" s="316" t="str">
        <f t="shared" ca="1" si="227"/>
        <v/>
      </c>
      <c r="AC472" s="310" t="e">
        <f t="shared" ca="1" si="228"/>
        <v>#N/A</v>
      </c>
      <c r="AD472" s="323" t="e">
        <f t="shared" ca="1" si="229"/>
        <v>#N/A</v>
      </c>
      <c r="AE472" s="324">
        <f t="shared" ca="1" si="208"/>
        <v>1033.5582118204468</v>
      </c>
      <c r="AG472" s="306">
        <f t="shared" ca="1" si="230"/>
        <v>-58.115481208834225</v>
      </c>
      <c r="AH472" s="304">
        <f t="shared" ca="1" si="231"/>
        <v>-48.367547040719572</v>
      </c>
    </row>
    <row r="473" spans="1:34" x14ac:dyDescent="0.2">
      <c r="A473" s="347">
        <f t="shared" ca="1" si="209"/>
        <v>0.01</v>
      </c>
      <c r="B473" s="304">
        <f t="shared" ca="1" si="210"/>
        <v>4.6899999999999444</v>
      </c>
      <c r="D473" s="306">
        <f t="shared" ca="1" si="211"/>
        <v>-5.7607776855457136</v>
      </c>
      <c r="E473" s="307">
        <f t="shared" ca="1" si="212"/>
        <v>-60.763826846735206</v>
      </c>
      <c r="F473" s="304">
        <f t="shared" ca="1" si="213"/>
        <v>61.036294224029525</v>
      </c>
      <c r="G473" s="306">
        <f t="shared" ca="1" si="214"/>
        <v>37.242761394650785</v>
      </c>
      <c r="H473" s="307">
        <f t="shared" ca="1" si="215"/>
        <v>329.31249679471841</v>
      </c>
      <c r="I473" s="304">
        <f t="shared" ca="1" si="216"/>
        <v>331.41174363843885</v>
      </c>
      <c r="J473" s="306">
        <f t="shared" ca="1" si="217"/>
        <v>110.71644041757989</v>
      </c>
      <c r="K473" s="307">
        <f t="shared" ca="1" si="218"/>
        <v>1036.8543749797363</v>
      </c>
      <c r="L473" s="304">
        <f t="shared" ca="1" si="203"/>
        <v>1042.7488312596467</v>
      </c>
      <c r="M473" s="306">
        <f t="shared" ca="1" si="219"/>
        <v>1.4581823444796083</v>
      </c>
      <c r="N473" s="304">
        <f t="shared" ca="1" si="220"/>
        <v>83.547694099173086</v>
      </c>
      <c r="P473" s="310">
        <f t="shared" ca="1" si="221"/>
        <v>23</v>
      </c>
      <c r="Q473" s="304">
        <f t="shared" ca="1" si="222"/>
        <v>0</v>
      </c>
      <c r="R473" s="306">
        <f t="shared" ca="1" si="223"/>
        <v>0</v>
      </c>
      <c r="S473" s="307">
        <f t="shared" ca="1" si="224"/>
        <v>6.4679999999999849</v>
      </c>
      <c r="T473" s="304">
        <f t="shared" ca="1" si="204"/>
        <v>63.451079999999855</v>
      </c>
      <c r="U473" s="311">
        <f t="shared" ca="1" si="205"/>
        <v>0</v>
      </c>
      <c r="V473" s="306">
        <f t="shared" ca="1" si="206"/>
        <v>1.104245576671308</v>
      </c>
      <c r="W473" s="304">
        <f t="shared" ca="1" si="207"/>
        <v>330.34168421566159</v>
      </c>
      <c r="Y473" s="314" t="str">
        <f t="shared" ca="1" si="225"/>
        <v>Fin de propulsion</v>
      </c>
      <c r="Z473" s="315" t="str">
        <f t="shared" ca="1" si="226"/>
        <v/>
      </c>
      <c r="AA473" s="316" t="str">
        <f t="shared" ca="1" si="227"/>
        <v/>
      </c>
      <c r="AC473" s="310" t="e">
        <f t="shared" ca="1" si="228"/>
        <v>#N/A</v>
      </c>
      <c r="AD473" s="323" t="e">
        <f t="shared" ca="1" si="229"/>
        <v>#N/A</v>
      </c>
      <c r="AE473" s="324">
        <f t="shared" ca="1" si="208"/>
        <v>1036.8543749797363</v>
      </c>
      <c r="AG473" s="306">
        <f t="shared" ca="1" si="230"/>
        <v>-61.026343658061684</v>
      </c>
      <c r="AH473" s="304">
        <f t="shared" ca="1" si="231"/>
        <v>-51.278446055524675</v>
      </c>
    </row>
    <row r="474" spans="1:34" x14ac:dyDescent="0.2">
      <c r="A474" s="347">
        <f t="shared" ca="1" si="209"/>
        <v>0.01</v>
      </c>
      <c r="B474" s="304">
        <f t="shared" ca="1" si="210"/>
        <v>4.6999999999999442</v>
      </c>
      <c r="D474" s="306">
        <f t="shared" ca="1" si="211"/>
        <v>-5.739411299166334</v>
      </c>
      <c r="E474" s="307">
        <f t="shared" ca="1" si="212"/>
        <v>-60.559724088175557</v>
      </c>
      <c r="F474" s="304">
        <f t="shared" ca="1" si="213"/>
        <v>60.831085998007211</v>
      </c>
      <c r="G474" s="306">
        <f t="shared" ca="1" si="214"/>
        <v>37.185367281659119</v>
      </c>
      <c r="H474" s="307">
        <f t="shared" ca="1" si="215"/>
        <v>328.70689955383665</v>
      </c>
      <c r="I474" s="304">
        <f t="shared" ca="1" si="216"/>
        <v>330.80353286228359</v>
      </c>
      <c r="J474" s="306">
        <f t="shared" ca="1" si="217"/>
        <v>111.08858106096145</v>
      </c>
      <c r="K474" s="307">
        <f t="shared" ca="1" si="218"/>
        <v>1040.1444719614792</v>
      </c>
      <c r="L474" s="304">
        <f t="shared" ca="1" si="203"/>
        <v>1046.0598431228311</v>
      </c>
      <c r="M474" s="306">
        <f t="shared" ca="1" si="219"/>
        <v>1.4581490192730933</v>
      </c>
      <c r="N474" s="304">
        <f t="shared" ca="1" si="220"/>
        <v>83.545784705488373</v>
      </c>
      <c r="P474" s="310">
        <f t="shared" ca="1" si="221"/>
        <v>23</v>
      </c>
      <c r="Q474" s="304">
        <f t="shared" ca="1" si="222"/>
        <v>0</v>
      </c>
      <c r="R474" s="306">
        <f t="shared" ca="1" si="223"/>
        <v>0</v>
      </c>
      <c r="S474" s="307">
        <f t="shared" ca="1" si="224"/>
        <v>6.4679999999999849</v>
      </c>
      <c r="T474" s="304">
        <f t="shared" ca="1" si="204"/>
        <v>63.451079999999855</v>
      </c>
      <c r="U474" s="311">
        <f t="shared" ca="1" si="205"/>
        <v>0</v>
      </c>
      <c r="V474" s="306">
        <f t="shared" ca="1" si="206"/>
        <v>1.1038813470505577</v>
      </c>
      <c r="W474" s="304">
        <f t="shared" ca="1" si="207"/>
        <v>329.02174091982113</v>
      </c>
      <c r="Y474" s="314" t="str">
        <f t="shared" ca="1" si="225"/>
        <v/>
      </c>
      <c r="Z474" s="315" t="str">
        <f t="shared" ca="1" si="226"/>
        <v/>
      </c>
      <c r="AA474" s="316" t="str">
        <f t="shared" ca="1" si="227"/>
        <v/>
      </c>
      <c r="AC474" s="310" t="e">
        <f t="shared" ca="1" si="228"/>
        <v>#N/A</v>
      </c>
      <c r="AD474" s="323" t="e">
        <f t="shared" ca="1" si="229"/>
        <v>#N/A</v>
      </c>
      <c r="AE474" s="324">
        <f t="shared" ca="1" si="208"/>
        <v>1040.1444719614792</v>
      </c>
      <c r="AG474" s="306">
        <f t="shared" ca="1" si="230"/>
        <v>-60.821095984539113</v>
      </c>
      <c r="AH474" s="304">
        <f t="shared" ca="1" si="231"/>
        <v>-51.073235036435122</v>
      </c>
    </row>
    <row r="475" spans="1:34" x14ac:dyDescent="0.2">
      <c r="A475" s="347">
        <f t="shared" ca="1" si="209"/>
        <v>0.01</v>
      </c>
      <c r="B475" s="304">
        <f t="shared" ca="1" si="210"/>
        <v>4.709999999999944</v>
      </c>
      <c r="D475" s="306">
        <f t="shared" ca="1" si="211"/>
        <v>-5.7181628692391131</v>
      </c>
      <c r="E475" s="307">
        <f t="shared" ca="1" si="212"/>
        <v>-60.35675334129435</v>
      </c>
      <c r="F475" s="304">
        <f t="shared" ca="1" si="213"/>
        <v>60.627015929377485</v>
      </c>
      <c r="G475" s="306">
        <f t="shared" ca="1" si="214"/>
        <v>37.128185652966728</v>
      </c>
      <c r="H475" s="307">
        <f t="shared" ca="1" si="215"/>
        <v>328.10333202042369</v>
      </c>
      <c r="I475" s="304">
        <f t="shared" ca="1" si="216"/>
        <v>330.19736318266621</v>
      </c>
      <c r="J475" s="306">
        <f t="shared" ca="1" si="217"/>
        <v>111.46014882563458</v>
      </c>
      <c r="K475" s="307">
        <f t="shared" ca="1" si="218"/>
        <v>1043.4285231193505</v>
      </c>
      <c r="L475" s="304">
        <f t="shared" ca="1" si="203"/>
        <v>1049.364782921202</v>
      </c>
      <c r="M475" s="306">
        <f t="shared" ca="1" si="219"/>
        <v>1.4581156230508128</v>
      </c>
      <c r="N475" s="304">
        <f t="shared" ca="1" si="220"/>
        <v>83.543871242900025</v>
      </c>
      <c r="P475" s="310">
        <f t="shared" ca="1" si="221"/>
        <v>23</v>
      </c>
      <c r="Q475" s="304">
        <f t="shared" ca="1" si="222"/>
        <v>0</v>
      </c>
      <c r="R475" s="306">
        <f t="shared" ca="1" si="223"/>
        <v>0</v>
      </c>
      <c r="S475" s="307">
        <f t="shared" ca="1" si="224"/>
        <v>6.4679999999999849</v>
      </c>
      <c r="T475" s="304">
        <f t="shared" ca="1" si="204"/>
        <v>63.451079999999855</v>
      </c>
      <c r="U475" s="311">
        <f t="shared" ca="1" si="205"/>
        <v>0</v>
      </c>
      <c r="V475" s="306">
        <f t="shared" ca="1" si="206"/>
        <v>1.1035179003110724</v>
      </c>
      <c r="W475" s="304">
        <f t="shared" ca="1" si="207"/>
        <v>327.70910438106353</v>
      </c>
      <c r="Y475" s="314" t="str">
        <f t="shared" ca="1" si="225"/>
        <v/>
      </c>
      <c r="Z475" s="315" t="str">
        <f t="shared" ca="1" si="226"/>
        <v/>
      </c>
      <c r="AA475" s="316" t="str">
        <f t="shared" ca="1" si="227"/>
        <v/>
      </c>
      <c r="AC475" s="310" t="e">
        <f t="shared" ca="1" si="228"/>
        <v>#N/A</v>
      </c>
      <c r="AD475" s="323" t="e">
        <f t="shared" ca="1" si="229"/>
        <v>#N/A</v>
      </c>
      <c r="AE475" s="324">
        <f t="shared" ca="1" si="208"/>
        <v>1043.4285231193505</v>
      </c>
      <c r="AG475" s="306">
        <f t="shared" ca="1" si="230"/>
        <v>-60.616986375322334</v>
      </c>
      <c r="AH475" s="304">
        <f t="shared" ca="1" si="231"/>
        <v>-50.869162170658917</v>
      </c>
    </row>
    <row r="476" spans="1:34" x14ac:dyDescent="0.2">
      <c r="A476" s="347">
        <f t="shared" ca="1" si="209"/>
        <v>0.01</v>
      </c>
      <c r="B476" s="304">
        <f t="shared" ca="1" si="210"/>
        <v>4.7199999999999438</v>
      </c>
      <c r="D476" s="306">
        <f t="shared" ca="1" si="211"/>
        <v>-5.697031516537014</v>
      </c>
      <c r="E476" s="307">
        <f t="shared" ca="1" si="212"/>
        <v>-60.154906176469773</v>
      </c>
      <c r="F476" s="304">
        <f t="shared" ca="1" si="213"/>
        <v>60.4240755427859</v>
      </c>
      <c r="G476" s="306">
        <f t="shared" ca="1" si="214"/>
        <v>37.071215337801355</v>
      </c>
      <c r="H476" s="307">
        <f t="shared" ca="1" si="215"/>
        <v>327.50178295865902</v>
      </c>
      <c r="I476" s="304">
        <f t="shared" ca="1" si="216"/>
        <v>329.59322330369935</v>
      </c>
      <c r="J476" s="306">
        <f t="shared" ca="1" si="217"/>
        <v>111.83114583058841</v>
      </c>
      <c r="K476" s="307">
        <f t="shared" ca="1" si="218"/>
        <v>1046.7065486942458</v>
      </c>
      <c r="L476" s="304">
        <f t="shared" ca="1" si="203"/>
        <v>1052.6636710066525</v>
      </c>
      <c r="M476" s="306">
        <f t="shared" ca="1" si="219"/>
        <v>1.4580821557366928</v>
      </c>
      <c r="N476" s="304">
        <f t="shared" ca="1" si="220"/>
        <v>83.541953707049316</v>
      </c>
      <c r="P476" s="310">
        <f t="shared" ca="1" si="221"/>
        <v>23</v>
      </c>
      <c r="Q476" s="304">
        <f t="shared" ca="1" si="222"/>
        <v>0</v>
      </c>
      <c r="R476" s="306">
        <f t="shared" ca="1" si="223"/>
        <v>0</v>
      </c>
      <c r="S476" s="307">
        <f t="shared" ca="1" si="224"/>
        <v>6.4679999999999849</v>
      </c>
      <c r="T476" s="304">
        <f t="shared" ca="1" si="204"/>
        <v>63.451079999999855</v>
      </c>
      <c r="U476" s="311">
        <f t="shared" ca="1" si="205"/>
        <v>0</v>
      </c>
      <c r="V476" s="306">
        <f t="shared" ca="1" si="206"/>
        <v>1.1031552335341515</v>
      </c>
      <c r="W476" s="304">
        <f t="shared" ca="1" si="207"/>
        <v>326.40372029401283</v>
      </c>
      <c r="Y476" s="314" t="str">
        <f t="shared" ca="1" si="225"/>
        <v/>
      </c>
      <c r="Z476" s="315" t="str">
        <f t="shared" ca="1" si="226"/>
        <v/>
      </c>
      <c r="AA476" s="316" t="str">
        <f t="shared" ca="1" si="227"/>
        <v/>
      </c>
      <c r="AC476" s="310" t="e">
        <f t="shared" ca="1" si="228"/>
        <v>#N/A</v>
      </c>
      <c r="AD476" s="323" t="e">
        <f t="shared" ca="1" si="229"/>
        <v>#N/A</v>
      </c>
      <c r="AE476" s="324">
        <f t="shared" ca="1" si="208"/>
        <v>1046.7065486942458</v>
      </c>
      <c r="AG476" s="306">
        <f t="shared" ca="1" si="230"/>
        <v>-60.414006354911109</v>
      </c>
      <c r="AH476" s="304">
        <f t="shared" ca="1" si="231"/>
        <v>-50.666218982848527</v>
      </c>
    </row>
    <row r="477" spans="1:34" x14ac:dyDescent="0.2">
      <c r="A477" s="347">
        <f t="shared" ca="1" si="209"/>
        <v>0.01</v>
      </c>
      <c r="B477" s="304">
        <f t="shared" ca="1" si="210"/>
        <v>4.7299999999999436</v>
      </c>
      <c r="D477" s="306">
        <f t="shared" ca="1" si="211"/>
        <v>-5.6760163700630768</v>
      </c>
      <c r="E477" s="307">
        <f t="shared" ca="1" si="212"/>
        <v>-59.954174242992103</v>
      </c>
      <c r="F477" s="304">
        <f t="shared" ca="1" si="213"/>
        <v>60.222256442218118</v>
      </c>
      <c r="G477" s="306">
        <f t="shared" ca="1" si="214"/>
        <v>37.014455174100725</v>
      </c>
      <c r="H477" s="307">
        <f t="shared" ca="1" si="215"/>
        <v>326.90224121622907</v>
      </c>
      <c r="I477" s="304">
        <f t="shared" ca="1" si="216"/>
        <v>328.99110201345741</v>
      </c>
      <c r="J477" s="306">
        <f t="shared" ca="1" si="217"/>
        <v>112.20157418314793</v>
      </c>
      <c r="K477" s="307">
        <f t="shared" ca="1" si="218"/>
        <v>1049.9785688151203</v>
      </c>
      <c r="L477" s="304">
        <f t="shared" ca="1" si="203"/>
        <v>1055.9565276185497</v>
      </c>
      <c r="M477" s="306">
        <f t="shared" ca="1" si="219"/>
        <v>1.4580486172543903</v>
      </c>
      <c r="N477" s="304">
        <f t="shared" ca="1" si="220"/>
        <v>83.540032093562104</v>
      </c>
      <c r="P477" s="310">
        <f t="shared" ca="1" si="221"/>
        <v>23</v>
      </c>
      <c r="Q477" s="304">
        <f t="shared" ca="1" si="222"/>
        <v>0</v>
      </c>
      <c r="R477" s="306">
        <f t="shared" ca="1" si="223"/>
        <v>0</v>
      </c>
      <c r="S477" s="307">
        <f t="shared" ca="1" si="224"/>
        <v>6.4679999999999849</v>
      </c>
      <c r="T477" s="304">
        <f t="shared" ca="1" si="204"/>
        <v>63.451079999999855</v>
      </c>
      <c r="U477" s="311">
        <f t="shared" ca="1" si="205"/>
        <v>0</v>
      </c>
      <c r="V477" s="306">
        <f t="shared" ca="1" si="206"/>
        <v>1.1027933438180291</v>
      </c>
      <c r="W477" s="304">
        <f t="shared" ca="1" si="207"/>
        <v>325.10553486068659</v>
      </c>
      <c r="Y477" s="314" t="str">
        <f t="shared" ca="1" si="225"/>
        <v/>
      </c>
      <c r="Z477" s="315" t="str">
        <f t="shared" ca="1" si="226"/>
        <v/>
      </c>
      <c r="AA477" s="316" t="str">
        <f t="shared" ca="1" si="227"/>
        <v/>
      </c>
      <c r="AC477" s="310" t="e">
        <f t="shared" ca="1" si="228"/>
        <v>#N/A</v>
      </c>
      <c r="AD477" s="323" t="e">
        <f t="shared" ca="1" si="229"/>
        <v>#N/A</v>
      </c>
      <c r="AE477" s="324">
        <f t="shared" ca="1" si="208"/>
        <v>1049.9785688151203</v>
      </c>
      <c r="AG477" s="306">
        <f t="shared" ca="1" si="230"/>
        <v>-60.212147527144779</v>
      </c>
      <c r="AH477" s="304">
        <f t="shared" ca="1" si="231"/>
        <v>-50.464397076996534</v>
      </c>
    </row>
    <row r="478" spans="1:34" x14ac:dyDescent="0.2">
      <c r="A478" s="347">
        <f t="shared" ca="1" si="209"/>
        <v>0.01</v>
      </c>
      <c r="B478" s="304">
        <f t="shared" ca="1" si="210"/>
        <v>4.7399999999999434</v>
      </c>
      <c r="D478" s="306">
        <f t="shared" ca="1" si="211"/>
        <v>-5.6551165669577985</v>
      </c>
      <c r="E478" s="307">
        <f t="shared" ca="1" si="212"/>
        <v>-59.754549268175111</v>
      </c>
      <c r="F478" s="304">
        <f t="shared" ca="1" si="213"/>
        <v>60.021550310106512</v>
      </c>
      <c r="G478" s="306">
        <f t="shared" ca="1" si="214"/>
        <v>36.95790400843115</v>
      </c>
      <c r="H478" s="307">
        <f t="shared" ca="1" si="215"/>
        <v>326.3046957235473</v>
      </c>
      <c r="I478" s="304">
        <f t="shared" ca="1" si="216"/>
        <v>328.39098818319178</v>
      </c>
      <c r="J478" s="306">
        <f t="shared" ca="1" si="217"/>
        <v>112.57143597906058</v>
      </c>
      <c r="K478" s="307">
        <f t="shared" ca="1" si="218"/>
        <v>1053.2446034998193</v>
      </c>
      <c r="L478" s="304">
        <f t="shared" ca="1" si="203"/>
        <v>1059.2433728845695</v>
      </c>
      <c r="M478" s="306">
        <f t="shared" ca="1" si="219"/>
        <v>1.4580150075272931</v>
      </c>
      <c r="N478" s="304">
        <f t="shared" ca="1" si="220"/>
        <v>83.538106398048853</v>
      </c>
      <c r="P478" s="310">
        <f t="shared" ca="1" si="221"/>
        <v>23</v>
      </c>
      <c r="Q478" s="304">
        <f t="shared" ca="1" si="222"/>
        <v>0</v>
      </c>
      <c r="R478" s="306">
        <f t="shared" ca="1" si="223"/>
        <v>0</v>
      </c>
      <c r="S478" s="307">
        <f t="shared" ca="1" si="224"/>
        <v>6.4679999999999849</v>
      </c>
      <c r="T478" s="304">
        <f t="shared" ca="1" si="204"/>
        <v>63.451079999999855</v>
      </c>
      <c r="U478" s="311">
        <f t="shared" ca="1" si="205"/>
        <v>0</v>
      </c>
      <c r="V478" s="306">
        <f t="shared" ca="1" si="206"/>
        <v>1.102432228277745</v>
      </c>
      <c r="W478" s="304">
        <f t="shared" ca="1" si="207"/>
        <v>323.81449478479095</v>
      </c>
      <c r="Y478" s="314" t="str">
        <f t="shared" ca="1" si="225"/>
        <v/>
      </c>
      <c r="Z478" s="315" t="str">
        <f t="shared" ca="1" si="226"/>
        <v/>
      </c>
      <c r="AA478" s="316" t="str">
        <f t="shared" ca="1" si="227"/>
        <v/>
      </c>
      <c r="AC478" s="310" t="e">
        <f t="shared" ca="1" si="228"/>
        <v>#N/A</v>
      </c>
      <c r="AD478" s="323" t="e">
        <f t="shared" ca="1" si="229"/>
        <v>#N/A</v>
      </c>
      <c r="AE478" s="324">
        <f t="shared" ca="1" si="208"/>
        <v>1053.2446034998193</v>
      </c>
      <c r="AG478" s="306">
        <f t="shared" ca="1" si="230"/>
        <v>-60.011401574308849</v>
      </c>
      <c r="AH478" s="304">
        <f t="shared" ca="1" si="231"/>
        <v>-50.26368813554226</v>
      </c>
    </row>
    <row r="479" spans="1:34" x14ac:dyDescent="0.2">
      <c r="A479" s="347">
        <f t="shared" ca="1" si="209"/>
        <v>0.01</v>
      </c>
      <c r="B479" s="304">
        <f t="shared" ca="1" si="210"/>
        <v>4.7499999999999432</v>
      </c>
      <c r="D479" s="306">
        <f t="shared" ca="1" si="211"/>
        <v>-5.6343312524076463</v>
      </c>
      <c r="E479" s="307">
        <f t="shared" ca="1" si="212"/>
        <v>-59.556023056478864</v>
      </c>
      <c r="F479" s="304">
        <f t="shared" ca="1" si="213"/>
        <v>59.821948906448206</v>
      </c>
      <c r="G479" s="306">
        <f t="shared" ca="1" si="214"/>
        <v>36.901560695907072</v>
      </c>
      <c r="H479" s="307">
        <f t="shared" ca="1" si="215"/>
        <v>325.70913549298251</v>
      </c>
      <c r="I479" s="304">
        <f t="shared" ca="1" si="216"/>
        <v>327.7928707665555</v>
      </c>
      <c r="J479" s="306">
        <f t="shared" ca="1" si="217"/>
        <v>112.94073330258227</v>
      </c>
      <c r="K479" s="307">
        <f t="shared" ca="1" si="218"/>
        <v>1056.5046726559019</v>
      </c>
      <c r="L479" s="304">
        <f t="shared" ca="1" si="203"/>
        <v>1062.524226821525</v>
      </c>
      <c r="M479" s="306">
        <f t="shared" ca="1" si="219"/>
        <v>1.4579813264785206</v>
      </c>
      <c r="N479" s="304">
        <f t="shared" ca="1" si="220"/>
        <v>83.536176616104612</v>
      </c>
      <c r="P479" s="310">
        <f t="shared" ca="1" si="221"/>
        <v>23</v>
      </c>
      <c r="Q479" s="304">
        <f t="shared" ca="1" si="222"/>
        <v>0</v>
      </c>
      <c r="R479" s="306">
        <f t="shared" ca="1" si="223"/>
        <v>0</v>
      </c>
      <c r="S479" s="307">
        <f t="shared" ca="1" si="224"/>
        <v>6.4679999999999849</v>
      </c>
      <c r="T479" s="304">
        <f t="shared" ca="1" si="204"/>
        <v>63.451079999999855</v>
      </c>
      <c r="U479" s="311">
        <f t="shared" ca="1" si="205"/>
        <v>0</v>
      </c>
      <c r="V479" s="306">
        <f t="shared" ca="1" si="206"/>
        <v>1.1020718840450137</v>
      </c>
      <c r="W479" s="304">
        <f t="shared" ca="1" si="207"/>
        <v>322.53054726609167</v>
      </c>
      <c r="Y479" s="314" t="str">
        <f t="shared" ca="1" si="225"/>
        <v/>
      </c>
      <c r="Z479" s="315" t="str">
        <f t="shared" ca="1" si="226"/>
        <v/>
      </c>
      <c r="AA479" s="316" t="str">
        <f t="shared" ca="1" si="227"/>
        <v/>
      </c>
      <c r="AC479" s="310" t="e">
        <f t="shared" ca="1" si="228"/>
        <v>#N/A</v>
      </c>
      <c r="AD479" s="323" t="e">
        <f t="shared" ca="1" si="229"/>
        <v>#N/A</v>
      </c>
      <c r="AE479" s="324">
        <f t="shared" ca="1" si="208"/>
        <v>1056.5046726559019</v>
      </c>
      <c r="AG479" s="306">
        <f t="shared" ca="1" si="230"/>
        <v>-59.811760256253031</v>
      </c>
      <c r="AH479" s="304">
        <f t="shared" ca="1" si="231"/>
        <v>-50.06408391848975</v>
      </c>
    </row>
    <row r="480" spans="1:34" x14ac:dyDescent="0.2">
      <c r="A480" s="347">
        <f t="shared" ca="1" si="209"/>
        <v>0.01</v>
      </c>
      <c r="B480" s="304">
        <f t="shared" ca="1" si="210"/>
        <v>4.7599999999999429</v>
      </c>
      <c r="D480" s="306">
        <f t="shared" ca="1" si="211"/>
        <v>-5.6136595795546951</v>
      </c>
      <c r="E480" s="307">
        <f t="shared" ca="1" si="212"/>
        <v>-59.358587488644069</v>
      </c>
      <c r="F480" s="304">
        <f t="shared" ca="1" si="213"/>
        <v>59.623444067934706</v>
      </c>
      <c r="G480" s="306">
        <f t="shared" ca="1" si="214"/>
        <v>36.845424100111522</v>
      </c>
      <c r="H480" s="307">
        <f t="shared" ca="1" si="215"/>
        <v>325.11554961809605</v>
      </c>
      <c r="I480" s="304">
        <f t="shared" ca="1" si="216"/>
        <v>327.19673879883607</v>
      </c>
      <c r="J480" s="306">
        <f t="shared" ca="1" si="217"/>
        <v>113.30946822656237</v>
      </c>
      <c r="K480" s="307">
        <f t="shared" ca="1" si="218"/>
        <v>1059.7587960814574</v>
      </c>
      <c r="L480" s="304">
        <f t="shared" ca="1" si="203"/>
        <v>1065.7991093361854</v>
      </c>
      <c r="M480" s="306">
        <f t="shared" ca="1" si="219"/>
        <v>1.4579475740309211</v>
      </c>
      <c r="N480" s="304">
        <f t="shared" ca="1" si="220"/>
        <v>83.534242743308923</v>
      </c>
      <c r="P480" s="310">
        <f t="shared" ca="1" si="221"/>
        <v>23</v>
      </c>
      <c r="Q480" s="304">
        <f t="shared" ca="1" si="222"/>
        <v>0</v>
      </c>
      <c r="R480" s="306">
        <f t="shared" ca="1" si="223"/>
        <v>0</v>
      </c>
      <c r="S480" s="307">
        <f t="shared" ca="1" si="224"/>
        <v>6.4679999999999849</v>
      </c>
      <c r="T480" s="304">
        <f t="shared" ca="1" si="204"/>
        <v>63.451079999999855</v>
      </c>
      <c r="U480" s="311">
        <f t="shared" ca="1" si="205"/>
        <v>0</v>
      </c>
      <c r="V480" s="306">
        <f t="shared" ca="1" si="206"/>
        <v>1.1017123082680951</v>
      </c>
      <c r="W480" s="304">
        <f t="shared" ca="1" si="207"/>
        <v>321.25363999485813</v>
      </c>
      <c r="Y480" s="314" t="str">
        <f t="shared" ca="1" si="225"/>
        <v/>
      </c>
      <c r="Z480" s="315" t="str">
        <f t="shared" ca="1" si="226"/>
        <v/>
      </c>
      <c r="AA480" s="316" t="str">
        <f t="shared" ca="1" si="227"/>
        <v/>
      </c>
      <c r="AC480" s="310" t="e">
        <f t="shared" ca="1" si="228"/>
        <v>#N/A</v>
      </c>
      <c r="AD480" s="323" t="e">
        <f t="shared" ca="1" si="229"/>
        <v>#N/A</v>
      </c>
      <c r="AE480" s="324">
        <f t="shared" ca="1" si="208"/>
        <v>1059.7587960814574</v>
      </c>
      <c r="AG480" s="306">
        <f t="shared" ca="1" si="230"/>
        <v>-59.613215409520919</v>
      </c>
      <c r="AH480" s="304">
        <f t="shared" ca="1" si="231"/>
        <v>-49.865576262537481</v>
      </c>
    </row>
    <row r="481" spans="1:34" x14ac:dyDescent="0.2">
      <c r="A481" s="347">
        <f t="shared" ca="1" si="209"/>
        <v>0.01</v>
      </c>
      <c r="B481" s="304">
        <f t="shared" ca="1" si="210"/>
        <v>4.7699999999999427</v>
      </c>
      <c r="D481" s="306">
        <f t="shared" ca="1" si="211"/>
        <v>-5.5931007094076541</v>
      </c>
      <c r="E481" s="307">
        <f t="shared" ca="1" si="212"/>
        <v>-59.162234520837757</v>
      </c>
      <c r="F481" s="304">
        <f t="shared" ca="1" si="213"/>
        <v>59.426027707092985</v>
      </c>
      <c r="G481" s="306">
        <f t="shared" ca="1" si="214"/>
        <v>36.789493093017448</v>
      </c>
      <c r="H481" s="307">
        <f t="shared" ca="1" si="215"/>
        <v>324.5239272728877</v>
      </c>
      <c r="I481" s="304">
        <f t="shared" ca="1" si="216"/>
        <v>326.60258139619731</v>
      </c>
      <c r="J481" s="306">
        <f t="shared" ca="1" si="217"/>
        <v>113.67764281252802</v>
      </c>
      <c r="K481" s="307">
        <f t="shared" ca="1" si="218"/>
        <v>1063.0069934659123</v>
      </c>
      <c r="L481" s="304">
        <f t="shared" ca="1" si="203"/>
        <v>1069.0680402260889</v>
      </c>
      <c r="M481" s="306">
        <f t="shared" ca="1" si="219"/>
        <v>1.4579137501070738</v>
      </c>
      <c r="N481" s="304">
        <f t="shared" ca="1" si="220"/>
        <v>83.532304775225896</v>
      </c>
      <c r="P481" s="310">
        <f t="shared" ca="1" si="221"/>
        <v>23</v>
      </c>
      <c r="Q481" s="304">
        <f t="shared" ca="1" si="222"/>
        <v>0</v>
      </c>
      <c r="R481" s="306">
        <f t="shared" ca="1" si="223"/>
        <v>0</v>
      </c>
      <c r="S481" s="307">
        <f t="shared" ca="1" si="224"/>
        <v>6.4679999999999849</v>
      </c>
      <c r="T481" s="304">
        <f t="shared" ca="1" si="204"/>
        <v>63.451079999999855</v>
      </c>
      <c r="U481" s="311">
        <f t="shared" ca="1" si="205"/>
        <v>0</v>
      </c>
      <c r="V481" s="306">
        <f t="shared" ca="1" si="206"/>
        <v>1.1013534981116704</v>
      </c>
      <c r="W481" s="304">
        <f t="shared" ca="1" si="207"/>
        <v>319.98372114638136</v>
      </c>
      <c r="Y481" s="314" t="str">
        <f t="shared" ca="1" si="225"/>
        <v/>
      </c>
      <c r="Z481" s="315" t="str">
        <f t="shared" ca="1" si="226"/>
        <v/>
      </c>
      <c r="AA481" s="316" t="str">
        <f t="shared" ca="1" si="227"/>
        <v/>
      </c>
      <c r="AC481" s="310" t="e">
        <f t="shared" ca="1" si="228"/>
        <v>#N/A</v>
      </c>
      <c r="AD481" s="323" t="e">
        <f t="shared" ca="1" si="229"/>
        <v>#N/A</v>
      </c>
      <c r="AE481" s="324">
        <f t="shared" ca="1" si="208"/>
        <v>1063.0069934659123</v>
      </c>
      <c r="AG481" s="306">
        <f t="shared" ca="1" si="230"/>
        <v>-59.415758946490996</v>
      </c>
      <c r="AH481" s="304">
        <f t="shared" ca="1" si="231"/>
        <v>-49.668157080219373</v>
      </c>
    </row>
    <row r="482" spans="1:34" x14ac:dyDescent="0.2">
      <c r="A482" s="347">
        <f t="shared" ca="1" si="209"/>
        <v>0.01</v>
      </c>
      <c r="B482" s="304">
        <f t="shared" ca="1" si="210"/>
        <v>4.7799999999999425</v>
      </c>
      <c r="D482" s="306">
        <f t="shared" ca="1" si="211"/>
        <v>-5.5726538107538106</v>
      </c>
      <c r="E482" s="307">
        <f t="shared" ca="1" si="212"/>
        <v>-58.966956183810268</v>
      </c>
      <c r="F482" s="304">
        <f t="shared" ca="1" si="213"/>
        <v>59.22969181143786</v>
      </c>
      <c r="G482" s="306">
        <f t="shared" ca="1" si="214"/>
        <v>36.733766554909913</v>
      </c>
      <c r="H482" s="307">
        <f t="shared" ca="1" si="215"/>
        <v>323.93425771104961</v>
      </c>
      <c r="I482" s="304">
        <f t="shared" ca="1" si="216"/>
        <v>326.01038775492924</v>
      </c>
      <c r="J482" s="306">
        <f t="shared" ca="1" si="217"/>
        <v>114.04525911076766</v>
      </c>
      <c r="K482" s="307">
        <f t="shared" ca="1" si="218"/>
        <v>1066.2492843908319</v>
      </c>
      <c r="L482" s="304">
        <f t="shared" ca="1" si="203"/>
        <v>1072.3310391803473</v>
      </c>
      <c r="M482" s="306">
        <f t="shared" ca="1" si="219"/>
        <v>1.4578798546292864</v>
      </c>
      <c r="N482" s="304">
        <f t="shared" ca="1" si="220"/>
        <v>83.530362707404095</v>
      </c>
      <c r="P482" s="310">
        <f t="shared" ca="1" si="221"/>
        <v>23</v>
      </c>
      <c r="Q482" s="304">
        <f t="shared" ca="1" si="222"/>
        <v>0</v>
      </c>
      <c r="R482" s="306">
        <f t="shared" ca="1" si="223"/>
        <v>0</v>
      </c>
      <c r="S482" s="307">
        <f t="shared" ca="1" si="224"/>
        <v>6.4679999999999849</v>
      </c>
      <c r="T482" s="304">
        <f t="shared" ca="1" si="204"/>
        <v>63.451079999999855</v>
      </c>
      <c r="U482" s="311">
        <f t="shared" ca="1" si="205"/>
        <v>0</v>
      </c>
      <c r="V482" s="306">
        <f t="shared" ca="1" si="206"/>
        <v>1.1009954507567159</v>
      </c>
      <c r="W482" s="304">
        <f t="shared" ca="1" si="207"/>
        <v>318.72073937556257</v>
      </c>
      <c r="Y482" s="314" t="str">
        <f t="shared" ca="1" si="225"/>
        <v/>
      </c>
      <c r="Z482" s="315" t="str">
        <f t="shared" ca="1" si="226"/>
        <v/>
      </c>
      <c r="AA482" s="316" t="str">
        <f t="shared" ca="1" si="227"/>
        <v/>
      </c>
      <c r="AC482" s="310" t="e">
        <f t="shared" ca="1" si="228"/>
        <v>#N/A</v>
      </c>
      <c r="AD482" s="323" t="e">
        <f t="shared" ca="1" si="229"/>
        <v>#N/A</v>
      </c>
      <c r="AE482" s="324">
        <f t="shared" ca="1" si="208"/>
        <v>1066.2492843908319</v>
      </c>
      <c r="AG482" s="306">
        <f t="shared" ca="1" si="230"/>
        <v>-59.219382854529073</v>
      </c>
      <c r="AH482" s="304">
        <f t="shared" ca="1" si="231"/>
        <v>-49.471818359057224</v>
      </c>
    </row>
    <row r="483" spans="1:34" x14ac:dyDescent="0.2">
      <c r="A483" s="347">
        <f t="shared" ca="1" si="209"/>
        <v>0.01</v>
      </c>
      <c r="B483" s="304">
        <f t="shared" ca="1" si="210"/>
        <v>4.7899999999999423</v>
      </c>
      <c r="D483" s="306">
        <f t="shared" ca="1" si="211"/>
        <v>-5.5523180600723414</v>
      </c>
      <c r="E483" s="307">
        <f t="shared" ca="1" si="212"/>
        <v>-58.772744582063162</v>
      </c>
      <c r="F483" s="304">
        <f t="shared" ca="1" si="213"/>
        <v>59.034428442635409</v>
      </c>
      <c r="G483" s="306">
        <f t="shared" ca="1" si="214"/>
        <v>36.67824337430919</v>
      </c>
      <c r="H483" s="307">
        <f t="shared" ca="1" si="215"/>
        <v>323.34653026522898</v>
      </c>
      <c r="I483" s="304">
        <f t="shared" ca="1" si="216"/>
        <v>325.42014715070684</v>
      </c>
      <c r="J483" s="306">
        <f t="shared" ca="1" si="217"/>
        <v>114.41231916041376</v>
      </c>
      <c r="K483" s="307">
        <f t="shared" ca="1" si="218"/>
        <v>1069.4856883307134</v>
      </c>
      <c r="L483" s="304">
        <f t="shared" ca="1" si="203"/>
        <v>1075.5881257804422</v>
      </c>
      <c r="M483" s="306">
        <f t="shared" ca="1" si="219"/>
        <v>1.4578458875195957</v>
      </c>
      <c r="N483" s="304">
        <f t="shared" ca="1" si="220"/>
        <v>83.528416535376564</v>
      </c>
      <c r="P483" s="310">
        <f t="shared" ca="1" si="221"/>
        <v>23</v>
      </c>
      <c r="Q483" s="304">
        <f t="shared" ca="1" si="222"/>
        <v>0</v>
      </c>
      <c r="R483" s="306">
        <f t="shared" ca="1" si="223"/>
        <v>0</v>
      </c>
      <c r="S483" s="307">
        <f t="shared" ca="1" si="224"/>
        <v>6.4679999999999849</v>
      </c>
      <c r="T483" s="304">
        <f t="shared" ca="1" si="204"/>
        <v>63.451079999999855</v>
      </c>
      <c r="U483" s="311">
        <f t="shared" ca="1" si="205"/>
        <v>0</v>
      </c>
      <c r="V483" s="306">
        <f t="shared" ca="1" si="206"/>
        <v>1.1006381634003786</v>
      </c>
      <c r="W483" s="304">
        <f t="shared" ca="1" si="207"/>
        <v>317.46464381157267</v>
      </c>
      <c r="Y483" s="314" t="str">
        <f t="shared" ca="1" si="225"/>
        <v/>
      </c>
      <c r="Z483" s="315" t="str">
        <f t="shared" ca="1" si="226"/>
        <v/>
      </c>
      <c r="AA483" s="316" t="str">
        <f t="shared" ca="1" si="227"/>
        <v/>
      </c>
      <c r="AC483" s="310" t="e">
        <f t="shared" ca="1" si="228"/>
        <v>#N/A</v>
      </c>
      <c r="AD483" s="323" t="e">
        <f t="shared" ca="1" si="229"/>
        <v>#N/A</v>
      </c>
      <c r="AE483" s="324">
        <f t="shared" ca="1" si="208"/>
        <v>1069.4856883307134</v>
      </c>
      <c r="AG483" s="306">
        <f t="shared" ca="1" si="230"/>
        <v>-59.024079195151671</v>
      </c>
      <c r="AH483" s="304">
        <f t="shared" ca="1" si="231"/>
        <v>-49.276552160724073</v>
      </c>
    </row>
    <row r="484" spans="1:34" x14ac:dyDescent="0.2">
      <c r="A484" s="347">
        <f t="shared" ca="1" si="209"/>
        <v>0.01</v>
      </c>
      <c r="B484" s="304">
        <f t="shared" ca="1" si="210"/>
        <v>4.7999999999999421</v>
      </c>
      <c r="D484" s="306">
        <f t="shared" ca="1" si="211"/>
        <v>-5.5320926414486182</v>
      </c>
      <c r="E484" s="307">
        <f t="shared" ca="1" si="212"/>
        <v>-58.579591893027938</v>
      </c>
      <c r="F484" s="304">
        <f t="shared" ca="1" si="213"/>
        <v>58.840229735677227</v>
      </c>
      <c r="G484" s="306">
        <f t="shared" ca="1" si="214"/>
        <v>36.622922447894702</v>
      </c>
      <c r="H484" s="307">
        <f t="shared" ca="1" si="215"/>
        <v>322.7607343462987</v>
      </c>
      <c r="I484" s="304">
        <f t="shared" ca="1" si="216"/>
        <v>324.83184893785665</v>
      </c>
      <c r="J484" s="306">
        <f t="shared" ca="1" si="217"/>
        <v>114.77882498952478</v>
      </c>
      <c r="K484" s="307">
        <f t="shared" ca="1" si="218"/>
        <v>1072.716224653771</v>
      </c>
      <c r="L484" s="304">
        <f t="shared" ca="1" si="203"/>
        <v>1078.8393195010162</v>
      </c>
      <c r="M484" s="306">
        <f t="shared" ca="1" si="219"/>
        <v>1.4578118486997669</v>
      </c>
      <c r="N484" s="304">
        <f t="shared" ca="1" si="220"/>
        <v>83.526466254660775</v>
      </c>
      <c r="P484" s="310">
        <f t="shared" ca="1" si="221"/>
        <v>23</v>
      </c>
      <c r="Q484" s="304">
        <f t="shared" ca="1" si="222"/>
        <v>0</v>
      </c>
      <c r="R484" s="306">
        <f t="shared" ca="1" si="223"/>
        <v>0</v>
      </c>
      <c r="S484" s="307">
        <f t="shared" ca="1" si="224"/>
        <v>6.4679999999999849</v>
      </c>
      <c r="T484" s="304">
        <f t="shared" ca="1" si="204"/>
        <v>63.451079999999855</v>
      </c>
      <c r="U484" s="311">
        <f t="shared" ca="1" si="205"/>
        <v>0</v>
      </c>
      <c r="V484" s="306">
        <f t="shared" ca="1" si="206"/>
        <v>1.1002816332558516</v>
      </c>
      <c r="W484" s="304">
        <f t="shared" ca="1" si="207"/>
        <v>316.2153840525807</v>
      </c>
      <c r="Y484" s="314" t="str">
        <f t="shared" ca="1" si="225"/>
        <v/>
      </c>
      <c r="Z484" s="315" t="str">
        <f t="shared" ca="1" si="226"/>
        <v/>
      </c>
      <c r="AA484" s="316" t="str">
        <f t="shared" ca="1" si="227"/>
        <v/>
      </c>
      <c r="AC484" s="310" t="e">
        <f t="shared" ca="1" si="228"/>
        <v>#N/A</v>
      </c>
      <c r="AD484" s="323" t="e">
        <f t="shared" ca="1" si="229"/>
        <v>#N/A</v>
      </c>
      <c r="AE484" s="324">
        <f t="shared" ca="1" si="208"/>
        <v>1072.716224653771</v>
      </c>
      <c r="AG484" s="306">
        <f t="shared" ca="1" si="230"/>
        <v>-58.829840103200297</v>
      </c>
      <c r="AH484" s="304">
        <f t="shared" ca="1" si="231"/>
        <v>-49.082350620218527</v>
      </c>
    </row>
    <row r="485" spans="1:34" x14ac:dyDescent="0.2">
      <c r="A485" s="347">
        <f t="shared" ca="1" si="209"/>
        <v>0.01</v>
      </c>
      <c r="B485" s="304">
        <f t="shared" ca="1" si="210"/>
        <v>4.8099999999999419</v>
      </c>
      <c r="D485" s="306">
        <f t="shared" ca="1" si="211"/>
        <v>-5.5119767464896592</v>
      </c>
      <c r="E485" s="307">
        <f t="shared" ca="1" si="212"/>
        <v>-58.387490366255435</v>
      </c>
      <c r="F485" s="304">
        <f t="shared" ca="1" si="213"/>
        <v>58.647087898065443</v>
      </c>
      <c r="G485" s="306">
        <f t="shared" ca="1" si="214"/>
        <v>36.567802680429807</v>
      </c>
      <c r="H485" s="307">
        <f t="shared" ca="1" si="215"/>
        <v>322.17685944263616</v>
      </c>
      <c r="I485" s="304">
        <f t="shared" ca="1" si="216"/>
        <v>324.24548254863163</v>
      </c>
      <c r="J485" s="306">
        <f t="shared" ca="1" si="217"/>
        <v>115.1447786151664</v>
      </c>
      <c r="K485" s="307">
        <f t="shared" ca="1" si="218"/>
        <v>1075.9409126227156</v>
      </c>
      <c r="L485" s="304">
        <f t="shared" ca="1" si="203"/>
        <v>1082.084639710655</v>
      </c>
      <c r="M485" s="306">
        <f t="shared" ca="1" si="219"/>
        <v>1.4577777380912929</v>
      </c>
      <c r="N485" s="304">
        <f t="shared" ca="1" si="220"/>
        <v>83.524511860758579</v>
      </c>
      <c r="P485" s="310">
        <f t="shared" ca="1" si="221"/>
        <v>23</v>
      </c>
      <c r="Q485" s="304">
        <f t="shared" ca="1" si="222"/>
        <v>0</v>
      </c>
      <c r="R485" s="306">
        <f t="shared" ca="1" si="223"/>
        <v>0</v>
      </c>
      <c r="S485" s="307">
        <f t="shared" ca="1" si="224"/>
        <v>6.4679999999999849</v>
      </c>
      <c r="T485" s="304">
        <f t="shared" ca="1" si="204"/>
        <v>63.451079999999855</v>
      </c>
      <c r="U485" s="311">
        <f t="shared" ca="1" si="205"/>
        <v>0</v>
      </c>
      <c r="V485" s="306">
        <f t="shared" ca="1" si="206"/>
        <v>1.0999258575522541</v>
      </c>
      <c r="W485" s="304">
        <f t="shared" ca="1" si="207"/>
        <v>314.97291016055146</v>
      </c>
      <c r="Y485" s="314" t="str">
        <f t="shared" ca="1" si="225"/>
        <v/>
      </c>
      <c r="Z485" s="315" t="str">
        <f t="shared" ca="1" si="226"/>
        <v/>
      </c>
      <c r="AA485" s="316" t="str">
        <f t="shared" ca="1" si="227"/>
        <v/>
      </c>
      <c r="AC485" s="310" t="e">
        <f t="shared" ca="1" si="228"/>
        <v>#N/A</v>
      </c>
      <c r="AD485" s="323" t="e">
        <f t="shared" ca="1" si="229"/>
        <v>#N/A</v>
      </c>
      <c r="AE485" s="324">
        <f t="shared" ca="1" si="208"/>
        <v>1075.9409126227156</v>
      </c>
      <c r="AG485" s="306">
        <f t="shared" ca="1" si="230"/>
        <v>-58.63665778602644</v>
      </c>
      <c r="AH485" s="304">
        <f t="shared" ca="1" si="231"/>
        <v>-48.889205945049696</v>
      </c>
    </row>
    <row r="486" spans="1:34" x14ac:dyDescent="0.2">
      <c r="A486" s="347">
        <f t="shared" ca="1" si="209"/>
        <v>0.01</v>
      </c>
      <c r="B486" s="304">
        <f t="shared" ca="1" si="210"/>
        <v>4.8199999999999417</v>
      </c>
      <c r="D486" s="306">
        <f t="shared" ca="1" si="211"/>
        <v>-5.4919695742407297</v>
      </c>
      <c r="E486" s="307">
        <f t="shared" ca="1" si="212"/>
        <v>-58.196432322615877</v>
      </c>
      <c r="F486" s="304">
        <f t="shared" ca="1" si="213"/>
        <v>58.454995209008409</v>
      </c>
      <c r="G486" s="306">
        <f t="shared" ca="1" si="214"/>
        <v>36.512882984687401</v>
      </c>
      <c r="H486" s="307">
        <f t="shared" ca="1" si="215"/>
        <v>321.59489511941001</v>
      </c>
      <c r="I486" s="304">
        <f t="shared" ca="1" si="216"/>
        <v>323.6610374924943</v>
      </c>
      <c r="J486" s="306">
        <f t="shared" ca="1" si="217"/>
        <v>115.51018204349199</v>
      </c>
      <c r="K486" s="307">
        <f t="shared" ca="1" si="218"/>
        <v>1079.1597713955259</v>
      </c>
      <c r="L486" s="304">
        <f t="shared" ca="1" si="203"/>
        <v>1085.3241056726624</v>
      </c>
      <c r="M486" s="306">
        <f t="shared" ca="1" si="219"/>
        <v>1.4577435556153944</v>
      </c>
      <c r="N486" s="304">
        <f t="shared" ca="1" si="220"/>
        <v>83.522553349156297</v>
      </c>
      <c r="P486" s="310">
        <f t="shared" ca="1" si="221"/>
        <v>23</v>
      </c>
      <c r="Q486" s="304">
        <f t="shared" ca="1" si="222"/>
        <v>0</v>
      </c>
      <c r="R486" s="306">
        <f t="shared" ca="1" si="223"/>
        <v>0</v>
      </c>
      <c r="S486" s="307">
        <f t="shared" ca="1" si="224"/>
        <v>6.4679999999999849</v>
      </c>
      <c r="T486" s="304">
        <f t="shared" ca="1" si="204"/>
        <v>63.451079999999855</v>
      </c>
      <c r="U486" s="311">
        <f t="shared" ca="1" si="205"/>
        <v>0</v>
      </c>
      <c r="V486" s="306">
        <f t="shared" ca="1" si="206"/>
        <v>1.0995708335345096</v>
      </c>
      <c r="W486" s="304">
        <f t="shared" ca="1" si="207"/>
        <v>313.73717265611049</v>
      </c>
      <c r="Y486" s="314" t="str">
        <f t="shared" ca="1" si="225"/>
        <v/>
      </c>
      <c r="Z486" s="315" t="str">
        <f t="shared" ca="1" si="226"/>
        <v/>
      </c>
      <c r="AA486" s="316" t="str">
        <f t="shared" ca="1" si="227"/>
        <v/>
      </c>
      <c r="AC486" s="310" t="e">
        <f t="shared" ca="1" si="228"/>
        <v>#N/A</v>
      </c>
      <c r="AD486" s="323" t="e">
        <f t="shared" ca="1" si="229"/>
        <v>#N/A</v>
      </c>
      <c r="AE486" s="324">
        <f t="shared" ca="1" si="208"/>
        <v>1079.1597713955259</v>
      </c>
      <c r="AG486" s="306">
        <f t="shared" ca="1" si="230"/>
        <v>-58.444524522687253</v>
      </c>
      <c r="AH486" s="304">
        <f t="shared" ca="1" si="231"/>
        <v>-48.697110414432935</v>
      </c>
    </row>
    <row r="487" spans="1:34" x14ac:dyDescent="0.2">
      <c r="A487" s="347">
        <f t="shared" ca="1" si="209"/>
        <v>0.01</v>
      </c>
      <c r="B487" s="304">
        <f t="shared" ca="1" si="210"/>
        <v>4.8299999999999415</v>
      </c>
      <c r="D487" s="306">
        <f t="shared" ca="1" si="211"/>
        <v>-5.4720703311029295</v>
      </c>
      <c r="E487" s="307">
        <f t="shared" ca="1" si="212"/>
        <v>-58.006410153509179</v>
      </c>
      <c r="F487" s="304">
        <f t="shared" ca="1" si="213"/>
        <v>58.263944018626731</v>
      </c>
      <c r="G487" s="306">
        <f t="shared" ca="1" si="214"/>
        <v>36.458162281376374</v>
      </c>
      <c r="H487" s="307">
        <f t="shared" ca="1" si="215"/>
        <v>321.01483101787494</v>
      </c>
      <c r="I487" s="304">
        <f t="shared" ca="1" si="216"/>
        <v>323.07850335540735</v>
      </c>
      <c r="J487" s="306">
        <f t="shared" ca="1" si="217"/>
        <v>115.87503726982231</v>
      </c>
      <c r="K487" s="307">
        <f t="shared" ca="1" si="218"/>
        <v>1082.3728200262124</v>
      </c>
      <c r="L487" s="304">
        <f t="shared" ca="1" si="203"/>
        <v>1088.5577365458289</v>
      </c>
      <c r="M487" s="306">
        <f t="shared" ca="1" si="219"/>
        <v>1.4577093011930189</v>
      </c>
      <c r="N487" s="304">
        <f t="shared" ca="1" si="220"/>
        <v>83.520590715324516</v>
      </c>
      <c r="P487" s="310">
        <f t="shared" ca="1" si="221"/>
        <v>23</v>
      </c>
      <c r="Q487" s="304">
        <f t="shared" ca="1" si="222"/>
        <v>0</v>
      </c>
      <c r="R487" s="306">
        <f t="shared" ca="1" si="223"/>
        <v>0</v>
      </c>
      <c r="S487" s="307">
        <f t="shared" ca="1" si="224"/>
        <v>6.4679999999999849</v>
      </c>
      <c r="T487" s="304">
        <f t="shared" ca="1" si="204"/>
        <v>63.451079999999855</v>
      </c>
      <c r="U487" s="311">
        <f t="shared" ca="1" si="205"/>
        <v>0</v>
      </c>
      <c r="V487" s="306">
        <f t="shared" ca="1" si="206"/>
        <v>1.099216558463227</v>
      </c>
      <c r="W487" s="304">
        <f t="shared" ca="1" si="207"/>
        <v>312.5081225134748</v>
      </c>
      <c r="Y487" s="314" t="str">
        <f t="shared" ca="1" si="225"/>
        <v/>
      </c>
      <c r="Z487" s="315" t="str">
        <f t="shared" ca="1" si="226"/>
        <v/>
      </c>
      <c r="AA487" s="316" t="str">
        <f t="shared" ca="1" si="227"/>
        <v/>
      </c>
      <c r="AC487" s="310" t="e">
        <f t="shared" ca="1" si="228"/>
        <v>#N/A</v>
      </c>
      <c r="AD487" s="323" t="e">
        <f t="shared" ca="1" si="229"/>
        <v>#N/A</v>
      </c>
      <c r="AE487" s="324">
        <f t="shared" ca="1" si="208"/>
        <v>1082.3728200262124</v>
      </c>
      <c r="AG487" s="306">
        <f t="shared" ca="1" si="230"/>
        <v>-58.253432663151607</v>
      </c>
      <c r="AH487" s="304">
        <f t="shared" ca="1" si="231"/>
        <v>-48.506056378495863</v>
      </c>
    </row>
    <row r="488" spans="1:34" x14ac:dyDescent="0.2">
      <c r="A488" s="347">
        <f t="shared" ca="1" si="209"/>
        <v>0.01</v>
      </c>
      <c r="B488" s="304">
        <f t="shared" ca="1" si="210"/>
        <v>4.8399999999999412</v>
      </c>
      <c r="D488" s="306">
        <f t="shared" ca="1" si="211"/>
        <v>-5.4522782307519444</v>
      </c>
      <c r="E488" s="307">
        <f t="shared" ca="1" si="212"/>
        <v>-57.817416320085471</v>
      </c>
      <c r="F488" s="304">
        <f t="shared" ca="1" si="213"/>
        <v>58.073926747169573</v>
      </c>
      <c r="G488" s="306">
        <f t="shared" ca="1" si="214"/>
        <v>36.403639499068852</v>
      </c>
      <c r="H488" s="307">
        <f t="shared" ca="1" si="215"/>
        <v>320.43665685467408</v>
      </c>
      <c r="I488" s="304">
        <f t="shared" ca="1" si="216"/>
        <v>322.49786979913267</v>
      </c>
      <c r="J488" s="306">
        <f t="shared" ca="1" si="217"/>
        <v>116.23934627872454</v>
      </c>
      <c r="K488" s="307">
        <f t="shared" ca="1" si="218"/>
        <v>1085.5800774655752</v>
      </c>
      <c r="L488" s="304">
        <f t="shared" ca="1" si="203"/>
        <v>1091.7855513851928</v>
      </c>
      <c r="M488" s="306">
        <f t="shared" ca="1" si="219"/>
        <v>1.4576749747448405</v>
      </c>
      <c r="N488" s="304">
        <f t="shared" ca="1" si="220"/>
        <v>83.518623954718223</v>
      </c>
      <c r="P488" s="310">
        <f t="shared" ca="1" si="221"/>
        <v>23</v>
      </c>
      <c r="Q488" s="304">
        <f t="shared" ca="1" si="222"/>
        <v>0</v>
      </c>
      <c r="R488" s="306">
        <f t="shared" ca="1" si="223"/>
        <v>0</v>
      </c>
      <c r="S488" s="307">
        <f t="shared" ca="1" si="224"/>
        <v>6.4679999999999849</v>
      </c>
      <c r="T488" s="304">
        <f t="shared" ca="1" si="204"/>
        <v>63.451079999999855</v>
      </c>
      <c r="U488" s="311">
        <f t="shared" ca="1" si="205"/>
        <v>0</v>
      </c>
      <c r="V488" s="306">
        <f t="shared" ca="1" si="206"/>
        <v>1.0988630296145809</v>
      </c>
      <c r="W488" s="304">
        <f t="shared" ca="1" si="207"/>
        <v>311.28571115545003</v>
      </c>
      <c r="Y488" s="314" t="str">
        <f t="shared" ca="1" si="225"/>
        <v/>
      </c>
      <c r="Z488" s="315" t="str">
        <f t="shared" ca="1" si="226"/>
        <v/>
      </c>
      <c r="AA488" s="316" t="str">
        <f t="shared" ca="1" si="227"/>
        <v/>
      </c>
      <c r="AC488" s="310" t="e">
        <f t="shared" ca="1" si="228"/>
        <v>#N/A</v>
      </c>
      <c r="AD488" s="323" t="e">
        <f t="shared" ca="1" si="229"/>
        <v>#N/A</v>
      </c>
      <c r="AE488" s="324">
        <f t="shared" ca="1" si="208"/>
        <v>1085.5800774655752</v>
      </c>
      <c r="AG488" s="306">
        <f t="shared" ca="1" si="230"/>
        <v>-58.063374627516396</v>
      </c>
      <c r="AH488" s="304">
        <f t="shared" ca="1" si="231"/>
        <v>-48.316036257494673</v>
      </c>
    </row>
    <row r="489" spans="1:34" x14ac:dyDescent="0.2">
      <c r="A489" s="347">
        <f t="shared" ca="1" si="209"/>
        <v>0.01</v>
      </c>
      <c r="B489" s="304">
        <f t="shared" ca="1" si="210"/>
        <v>4.849999999999941</v>
      </c>
      <c r="D489" s="306">
        <f t="shared" ca="1" si="211"/>
        <v>-5.4325924940577819</v>
      </c>
      <c r="E489" s="307">
        <f t="shared" ca="1" si="212"/>
        <v>-57.629443352475789</v>
      </c>
      <c r="F489" s="304">
        <f t="shared" ca="1" si="213"/>
        <v>57.884935884241152</v>
      </c>
      <c r="G489" s="306">
        <f t="shared" ca="1" si="214"/>
        <v>36.349313574128274</v>
      </c>
      <c r="H489" s="307">
        <f t="shared" ca="1" si="215"/>
        <v>319.86036242114932</v>
      </c>
      <c r="I489" s="304">
        <f t="shared" ca="1" si="216"/>
        <v>321.91912656053739</v>
      </c>
      <c r="J489" s="306">
        <f t="shared" ca="1" si="217"/>
        <v>116.60311104409053</v>
      </c>
      <c r="K489" s="307">
        <f t="shared" ca="1" si="218"/>
        <v>1088.7815625619544</v>
      </c>
      <c r="L489" s="304">
        <f t="shared" ca="1" si="203"/>
        <v>1095.0075691427944</v>
      </c>
      <c r="M489" s="306">
        <f t="shared" ca="1" si="219"/>
        <v>1.457640576191259</v>
      </c>
      <c r="N489" s="304">
        <f t="shared" ca="1" si="220"/>
        <v>83.516653062776655</v>
      </c>
      <c r="P489" s="310">
        <f t="shared" ca="1" si="221"/>
        <v>23</v>
      </c>
      <c r="Q489" s="304">
        <f t="shared" ca="1" si="222"/>
        <v>0</v>
      </c>
      <c r="R489" s="306">
        <f t="shared" ca="1" si="223"/>
        <v>0</v>
      </c>
      <c r="S489" s="307">
        <f t="shared" ca="1" si="224"/>
        <v>6.4679999999999849</v>
      </c>
      <c r="T489" s="304">
        <f t="shared" ca="1" si="204"/>
        <v>63.451079999999855</v>
      </c>
      <c r="U489" s="311">
        <f t="shared" ca="1" si="205"/>
        <v>0</v>
      </c>
      <c r="V489" s="306">
        <f t="shared" ca="1" si="206"/>
        <v>1.0985102442801951</v>
      </c>
      <c r="W489" s="304">
        <f t="shared" ca="1" si="207"/>
        <v>310.06989044849047</v>
      </c>
      <c r="Y489" s="314" t="str">
        <f t="shared" ca="1" si="225"/>
        <v/>
      </c>
      <c r="Z489" s="315" t="str">
        <f t="shared" ca="1" si="226"/>
        <v/>
      </c>
      <c r="AA489" s="316" t="str">
        <f t="shared" ca="1" si="227"/>
        <v/>
      </c>
      <c r="AC489" s="310" t="e">
        <f t="shared" ca="1" si="228"/>
        <v>#N/A</v>
      </c>
      <c r="AD489" s="323" t="e">
        <f t="shared" ca="1" si="229"/>
        <v>#N/A</v>
      </c>
      <c r="AE489" s="324">
        <f t="shared" ca="1" si="208"/>
        <v>1088.7815625619544</v>
      </c>
      <c r="AG489" s="306">
        <f t="shared" ca="1" si="230"/>
        <v>-57.874342905233007</v>
      </c>
      <c r="AH489" s="304">
        <f t="shared" ca="1" si="231"/>
        <v>-48.127042541040623</v>
      </c>
    </row>
    <row r="490" spans="1:34" x14ac:dyDescent="0.2">
      <c r="A490" s="347">
        <f t="shared" ca="1" si="209"/>
        <v>0.01</v>
      </c>
      <c r="B490" s="304">
        <f t="shared" ca="1" si="210"/>
        <v>4.8599999999999408</v>
      </c>
      <c r="D490" s="306">
        <f t="shared" ca="1" si="211"/>
        <v>-5.4130123490055793</v>
      </c>
      <c r="E490" s="307">
        <f t="shared" ca="1" si="212"/>
        <v>-57.442483849032463</v>
      </c>
      <c r="F490" s="304">
        <f t="shared" ca="1" si="213"/>
        <v>57.696963988037034</v>
      </c>
      <c r="G490" s="306">
        <f t="shared" ca="1" si="214"/>
        <v>36.29518345063822</v>
      </c>
      <c r="H490" s="307">
        <f t="shared" ca="1" si="215"/>
        <v>319.28593758265902</v>
      </c>
      <c r="I490" s="304">
        <f t="shared" ca="1" si="216"/>
        <v>321.34226345090855</v>
      </c>
      <c r="J490" s="306">
        <f t="shared" ca="1" si="217"/>
        <v>116.96633352921435</v>
      </c>
      <c r="K490" s="307">
        <f t="shared" ca="1" si="218"/>
        <v>1091.9772940619735</v>
      </c>
      <c r="L490" s="304">
        <f t="shared" ca="1" si="203"/>
        <v>1098.2238086684231</v>
      </c>
      <c r="M490" s="306">
        <f t="shared" ca="1" si="219"/>
        <v>1.4576061054524003</v>
      </c>
      <c r="N490" s="304">
        <f t="shared" ca="1" si="220"/>
        <v>83.51467803492335</v>
      </c>
      <c r="P490" s="310">
        <f t="shared" ca="1" si="221"/>
        <v>23</v>
      </c>
      <c r="Q490" s="304">
        <f t="shared" ca="1" si="222"/>
        <v>0</v>
      </c>
      <c r="R490" s="306">
        <f t="shared" ca="1" si="223"/>
        <v>0</v>
      </c>
      <c r="S490" s="307">
        <f t="shared" ca="1" si="224"/>
        <v>6.4679999999999849</v>
      </c>
      <c r="T490" s="304">
        <f t="shared" ca="1" si="204"/>
        <v>63.451079999999855</v>
      </c>
      <c r="U490" s="311">
        <f t="shared" ca="1" si="205"/>
        <v>0</v>
      </c>
      <c r="V490" s="306">
        <f t="shared" ca="1" si="206"/>
        <v>1.098158199767026</v>
      </c>
      <c r="W490" s="304">
        <f t="shared" ca="1" si="207"/>
        <v>308.86061269782522</v>
      </c>
      <c r="Y490" s="314" t="str">
        <f t="shared" ca="1" si="225"/>
        <v/>
      </c>
      <c r="Z490" s="315" t="str">
        <f t="shared" ca="1" si="226"/>
        <v/>
      </c>
      <c r="AA490" s="316" t="str">
        <f t="shared" ca="1" si="227"/>
        <v/>
      </c>
      <c r="AC490" s="310" t="e">
        <f t="shared" ca="1" si="228"/>
        <v>#N/A</v>
      </c>
      <c r="AD490" s="323" t="e">
        <f t="shared" ca="1" si="229"/>
        <v>#N/A</v>
      </c>
      <c r="AE490" s="324">
        <f t="shared" ca="1" si="208"/>
        <v>1091.9772940619735</v>
      </c>
      <c r="AG490" s="306">
        <f t="shared" ca="1" si="230"/>
        <v>-57.6863300543436</v>
      </c>
      <c r="AH490" s="304">
        <f t="shared" ca="1" si="231"/>
        <v>-47.939067787336299</v>
      </c>
    </row>
    <row r="491" spans="1:34" x14ac:dyDescent="0.2">
      <c r="A491" s="347">
        <f t="shared" ca="1" si="209"/>
        <v>0.01</v>
      </c>
      <c r="B491" s="304">
        <f t="shared" ca="1" si="210"/>
        <v>4.8699999999999406</v>
      </c>
      <c r="D491" s="306">
        <f t="shared" ca="1" si="211"/>
        <v>-5.3935370306173684</v>
      </c>
      <c r="E491" s="307">
        <f t="shared" ca="1" si="212"/>
        <v>-57.256530475579581</v>
      </c>
      <c r="F491" s="304">
        <f t="shared" ca="1" si="213"/>
        <v>57.510003684590515</v>
      </c>
      <c r="G491" s="306">
        <f t="shared" ca="1" si="214"/>
        <v>36.241248080332049</v>
      </c>
      <c r="H491" s="307">
        <f t="shared" ca="1" si="215"/>
        <v>318.7133722779032</v>
      </c>
      <c r="I491" s="304">
        <f t="shared" ca="1" si="216"/>
        <v>320.76727035527409</v>
      </c>
      <c r="J491" s="306">
        <f t="shared" ca="1" si="217"/>
        <v>117.3290156868692</v>
      </c>
      <c r="K491" s="307">
        <f t="shared" ca="1" si="218"/>
        <v>1095.1672906112763</v>
      </c>
      <c r="L491" s="304">
        <f t="shared" ca="1" si="203"/>
        <v>1101.4342887103585</v>
      </c>
      <c r="M491" s="306">
        <f t="shared" ca="1" si="219"/>
        <v>1.4575715624481151</v>
      </c>
      <c r="N491" s="304">
        <f t="shared" ca="1" si="220"/>
        <v>83.512698866566112</v>
      </c>
      <c r="P491" s="310">
        <f t="shared" ca="1" si="221"/>
        <v>23</v>
      </c>
      <c r="Q491" s="304">
        <f t="shared" ca="1" si="222"/>
        <v>0</v>
      </c>
      <c r="R491" s="306">
        <f t="shared" ca="1" si="223"/>
        <v>0</v>
      </c>
      <c r="S491" s="307">
        <f t="shared" ca="1" si="224"/>
        <v>6.4679999999999849</v>
      </c>
      <c r="T491" s="304">
        <f t="shared" ca="1" si="204"/>
        <v>63.451079999999855</v>
      </c>
      <c r="U491" s="311">
        <f t="shared" ca="1" si="205"/>
        <v>0</v>
      </c>
      <c r="V491" s="306">
        <f t="shared" ca="1" si="206"/>
        <v>1.0978068933972471</v>
      </c>
      <c r="W491" s="304">
        <f t="shared" ca="1" si="207"/>
        <v>307.657830642644</v>
      </c>
      <c r="Y491" s="314" t="str">
        <f t="shared" ca="1" si="225"/>
        <v/>
      </c>
      <c r="Z491" s="315" t="str">
        <f t="shared" ca="1" si="226"/>
        <v/>
      </c>
      <c r="AA491" s="316" t="str">
        <f t="shared" ca="1" si="227"/>
        <v/>
      </c>
      <c r="AC491" s="310" t="e">
        <f t="shared" ca="1" si="228"/>
        <v>#N/A</v>
      </c>
      <c r="AD491" s="323" t="e">
        <f t="shared" ca="1" si="229"/>
        <v>#N/A</v>
      </c>
      <c r="AE491" s="324">
        <f t="shared" ca="1" si="208"/>
        <v>1095.1672906112763</v>
      </c>
      <c r="AG491" s="306">
        <f t="shared" ca="1" si="230"/>
        <v>-57.499328700727567</v>
      </c>
      <c r="AH491" s="304">
        <f t="shared" ca="1" si="231"/>
        <v>-47.752104622422067</v>
      </c>
    </row>
    <row r="492" spans="1:34" x14ac:dyDescent="0.2">
      <c r="A492" s="347">
        <f t="shared" ca="1" si="209"/>
        <v>0.01</v>
      </c>
      <c r="B492" s="304">
        <f t="shared" ca="1" si="210"/>
        <v>4.8799999999999404</v>
      </c>
      <c r="D492" s="306">
        <f t="shared" ca="1" si="211"/>
        <v>-5.3741657808749412</v>
      </c>
      <c r="E492" s="307">
        <f t="shared" ca="1" si="212"/>
        <v>-57.071575964672789</v>
      </c>
      <c r="F492" s="304">
        <f t="shared" ca="1" si="213"/>
        <v>57.324047667028395</v>
      </c>
      <c r="G492" s="306">
        <f t="shared" ca="1" si="214"/>
        <v>36.187506422523299</v>
      </c>
      <c r="H492" s="307">
        <f t="shared" ca="1" si="215"/>
        <v>318.1426565182565</v>
      </c>
      <c r="I492" s="304">
        <f t="shared" ca="1" si="216"/>
        <v>320.19413723173244</v>
      </c>
      <c r="J492" s="306">
        <f t="shared" ca="1" si="217"/>
        <v>117.69115945938347</v>
      </c>
      <c r="K492" s="307">
        <f t="shared" ca="1" si="218"/>
        <v>1098.3515707552569</v>
      </c>
      <c r="L492" s="304">
        <f t="shared" ca="1" si="203"/>
        <v>1104.6390279161035</v>
      </c>
      <c r="M492" s="306">
        <f t="shared" ca="1" si="219"/>
        <v>1.4575369470979789</v>
      </c>
      <c r="N492" s="304">
        <f t="shared" ca="1" si="220"/>
        <v>83.510715553096929</v>
      </c>
      <c r="P492" s="310">
        <f t="shared" ca="1" si="221"/>
        <v>23</v>
      </c>
      <c r="Q492" s="304">
        <f t="shared" ca="1" si="222"/>
        <v>0</v>
      </c>
      <c r="R492" s="306">
        <f t="shared" ca="1" si="223"/>
        <v>0</v>
      </c>
      <c r="S492" s="307">
        <f t="shared" ca="1" si="224"/>
        <v>6.4679999999999849</v>
      </c>
      <c r="T492" s="304">
        <f t="shared" ca="1" si="204"/>
        <v>63.451079999999855</v>
      </c>
      <c r="U492" s="311">
        <f t="shared" ca="1" si="205"/>
        <v>0</v>
      </c>
      <c r="V492" s="306">
        <f t="shared" ca="1" si="206"/>
        <v>1.0974563225081355</v>
      </c>
      <c r="W492" s="304">
        <f t="shared" ca="1" si="207"/>
        <v>306.46149745134693</v>
      </c>
      <c r="Y492" s="314" t="str">
        <f t="shared" ca="1" si="225"/>
        <v/>
      </c>
      <c r="Z492" s="315" t="str">
        <f t="shared" ca="1" si="226"/>
        <v/>
      </c>
      <c r="AA492" s="316" t="str">
        <f t="shared" ca="1" si="227"/>
        <v/>
      </c>
      <c r="AC492" s="310" t="e">
        <f t="shared" ca="1" si="228"/>
        <v>#N/A</v>
      </c>
      <c r="AD492" s="323" t="e">
        <f t="shared" ca="1" si="229"/>
        <v>#N/A</v>
      </c>
      <c r="AE492" s="324">
        <f t="shared" ca="1" si="208"/>
        <v>1098.3515707552569</v>
      </c>
      <c r="AG492" s="306">
        <f t="shared" ca="1" si="230"/>
        <v>-57.313331537357193</v>
      </c>
      <c r="AH492" s="304">
        <f t="shared" ca="1" si="231"/>
        <v>-47.566145739431775</v>
      </c>
    </row>
    <row r="493" spans="1:34" x14ac:dyDescent="0.2">
      <c r="A493" s="347">
        <f t="shared" ca="1" si="209"/>
        <v>0.01</v>
      </c>
      <c r="B493" s="304">
        <f t="shared" ca="1" si="210"/>
        <v>4.8899999999999402</v>
      </c>
      <c r="D493" s="306">
        <f t="shared" ca="1" si="211"/>
        <v>-5.3548978486436205</v>
      </c>
      <c r="E493" s="307">
        <f t="shared" ca="1" si="212"/>
        <v>-56.887613114868742</v>
      </c>
      <c r="F493" s="304">
        <f t="shared" ca="1" si="213"/>
        <v>57.139088694836516</v>
      </c>
      <c r="G493" s="306">
        <f t="shared" ca="1" si="214"/>
        <v>36.133957444036859</v>
      </c>
      <c r="H493" s="307">
        <f t="shared" ca="1" si="215"/>
        <v>317.57378038710783</v>
      </c>
      <c r="I493" s="304">
        <f t="shared" ca="1" si="216"/>
        <v>319.62285411078864</v>
      </c>
      <c r="J493" s="306">
        <f t="shared" ca="1" si="217"/>
        <v>118.05276677871628</v>
      </c>
      <c r="K493" s="307">
        <f t="shared" ca="1" si="218"/>
        <v>1101.5301529397839</v>
      </c>
      <c r="L493" s="304">
        <f t="shared" ca="1" si="203"/>
        <v>1107.8380448331127</v>
      </c>
      <c r="M493" s="306">
        <f t="shared" ca="1" si="219"/>
        <v>1.457502259321291</v>
      </c>
      <c r="N493" s="304">
        <f t="shared" ca="1" si="220"/>
        <v>83.508728089892017</v>
      </c>
      <c r="P493" s="310">
        <f t="shared" ca="1" si="221"/>
        <v>23</v>
      </c>
      <c r="Q493" s="304">
        <f t="shared" ca="1" si="222"/>
        <v>0</v>
      </c>
      <c r="R493" s="306">
        <f t="shared" ca="1" si="223"/>
        <v>0</v>
      </c>
      <c r="S493" s="307">
        <f t="shared" ca="1" si="224"/>
        <v>6.4679999999999849</v>
      </c>
      <c r="T493" s="304">
        <f t="shared" ca="1" si="204"/>
        <v>63.451079999999855</v>
      </c>
      <c r="U493" s="311">
        <f t="shared" ca="1" si="205"/>
        <v>0</v>
      </c>
      <c r="V493" s="306">
        <f t="shared" ca="1" si="206"/>
        <v>1.0971064844519585</v>
      </c>
      <c r="W493" s="304">
        <f t="shared" ca="1" si="207"/>
        <v>305.27156671685401</v>
      </c>
      <c r="Y493" s="314" t="str">
        <f t="shared" ca="1" si="225"/>
        <v/>
      </c>
      <c r="Z493" s="315" t="str">
        <f t="shared" ca="1" si="226"/>
        <v/>
      </c>
      <c r="AA493" s="316" t="str">
        <f t="shared" ca="1" si="227"/>
        <v/>
      </c>
      <c r="AC493" s="310" t="e">
        <f t="shared" ca="1" si="228"/>
        <v>#N/A</v>
      </c>
      <c r="AD493" s="323" t="e">
        <f t="shared" ca="1" si="229"/>
        <v>#N/A</v>
      </c>
      <c r="AE493" s="324">
        <f t="shared" ca="1" si="208"/>
        <v>1101.5301529397839</v>
      </c>
      <c r="AG493" s="306">
        <f t="shared" ca="1" si="230"/>
        <v>-57.128331323563273</v>
      </c>
      <c r="AH493" s="304">
        <f t="shared" ca="1" si="231"/>
        <v>-47.381183897858328</v>
      </c>
    </row>
    <row r="494" spans="1:34" x14ac:dyDescent="0.2">
      <c r="A494" s="347">
        <f t="shared" ca="1" si="209"/>
        <v>0.01</v>
      </c>
      <c r="B494" s="304">
        <f t="shared" ca="1" si="210"/>
        <v>4.89999999999994</v>
      </c>
      <c r="D494" s="306">
        <f t="shared" ca="1" si="211"/>
        <v>-5.3357324895970537</v>
      </c>
      <c r="E494" s="307">
        <f t="shared" ca="1" si="212"/>
        <v>-56.704634790003894</v>
      </c>
      <c r="F494" s="304">
        <f t="shared" ca="1" si="213"/>
        <v>56.955119593134576</v>
      </c>
      <c r="G494" s="306">
        <f t="shared" ca="1" si="214"/>
        <v>36.08060011914089</v>
      </c>
      <c r="H494" s="307">
        <f t="shared" ca="1" si="215"/>
        <v>317.0067340392078</v>
      </c>
      <c r="I494" s="304">
        <f t="shared" ca="1" si="216"/>
        <v>319.05341109469805</v>
      </c>
      <c r="J494" s="306">
        <f t="shared" ca="1" si="217"/>
        <v>118.41383956653216</v>
      </c>
      <c r="K494" s="307">
        <f t="shared" ca="1" si="218"/>
        <v>1104.7030555119154</v>
      </c>
      <c r="L494" s="304">
        <f t="shared" ca="1" si="203"/>
        <v>1111.0313579095102</v>
      </c>
      <c r="M494" s="306">
        <f t="shared" ca="1" si="219"/>
        <v>1.4574674990370748</v>
      </c>
      <c r="N494" s="304">
        <f t="shared" ca="1" si="220"/>
        <v>83.506736472311758</v>
      </c>
      <c r="P494" s="310">
        <f t="shared" ca="1" si="221"/>
        <v>23</v>
      </c>
      <c r="Q494" s="304">
        <f t="shared" ca="1" si="222"/>
        <v>0</v>
      </c>
      <c r="R494" s="306">
        <f t="shared" ca="1" si="223"/>
        <v>0</v>
      </c>
      <c r="S494" s="307">
        <f t="shared" ca="1" si="224"/>
        <v>6.4679999999999849</v>
      </c>
      <c r="T494" s="304">
        <f t="shared" ca="1" si="204"/>
        <v>63.451079999999855</v>
      </c>
      <c r="U494" s="311">
        <f t="shared" ca="1" si="205"/>
        <v>0</v>
      </c>
      <c r="V494" s="306">
        <f t="shared" ca="1" si="206"/>
        <v>1.0967573765958611</v>
      </c>
      <c r="W494" s="304">
        <f t="shared" ca="1" si="207"/>
        <v>304.08799245197406</v>
      </c>
      <c r="Y494" s="314" t="str">
        <f t="shared" ca="1" si="225"/>
        <v/>
      </c>
      <c r="Z494" s="315" t="str">
        <f t="shared" ca="1" si="226"/>
        <v/>
      </c>
      <c r="AA494" s="316" t="str">
        <f t="shared" ca="1" si="227"/>
        <v/>
      </c>
      <c r="AC494" s="310" t="e">
        <f t="shared" ca="1" si="228"/>
        <v>#N/A</v>
      </c>
      <c r="AD494" s="323" t="e">
        <f t="shared" ca="1" si="229"/>
        <v>#N/A</v>
      </c>
      <c r="AE494" s="324">
        <f t="shared" ca="1" si="208"/>
        <v>1104.7030555119154</v>
      </c>
      <c r="AG494" s="306">
        <f t="shared" ca="1" si="230"/>
        <v>-56.944320884309896</v>
      </c>
      <c r="AH494" s="304">
        <f t="shared" ca="1" si="231"/>
        <v>-47.197211922828501</v>
      </c>
    </row>
    <row r="495" spans="1:34" x14ac:dyDescent="0.2">
      <c r="A495" s="347">
        <f t="shared" ca="1" si="209"/>
        <v>0.01</v>
      </c>
      <c r="B495" s="304">
        <f t="shared" ca="1" si="210"/>
        <v>4.9099999999999397</v>
      </c>
      <c r="D495" s="306">
        <f t="shared" ca="1" si="211"/>
        <v>-5.316668966142915</v>
      </c>
      <c r="E495" s="307">
        <f t="shared" ca="1" si="212"/>
        <v>-56.522633918482335</v>
      </c>
      <c r="F495" s="304">
        <f t="shared" ca="1" si="213"/>
        <v>56.772133251960128</v>
      </c>
      <c r="G495" s="306">
        <f t="shared" ca="1" si="214"/>
        <v>36.027433429479458</v>
      </c>
      <c r="H495" s="307">
        <f t="shared" ca="1" si="215"/>
        <v>316.44150770002295</v>
      </c>
      <c r="I495" s="304">
        <f t="shared" ca="1" si="216"/>
        <v>318.48579835681727</v>
      </c>
      <c r="J495" s="306">
        <f t="shared" ca="1" si="217"/>
        <v>118.77437973427526</v>
      </c>
      <c r="K495" s="307">
        <f t="shared" ca="1" si="218"/>
        <v>1107.8702967206116</v>
      </c>
      <c r="L495" s="304">
        <f t="shared" ca="1" si="203"/>
        <v>1114.2189854948074</v>
      </c>
      <c r="M495" s="306">
        <f t="shared" ca="1" si="219"/>
        <v>1.4574326661640766</v>
      </c>
      <c r="N495" s="304">
        <f t="shared" ca="1" si="220"/>
        <v>83.504740695700647</v>
      </c>
      <c r="P495" s="310">
        <f t="shared" ca="1" si="221"/>
        <v>23</v>
      </c>
      <c r="Q495" s="304">
        <f t="shared" ca="1" si="222"/>
        <v>0</v>
      </c>
      <c r="R495" s="306">
        <f t="shared" ca="1" si="223"/>
        <v>0</v>
      </c>
      <c r="S495" s="307">
        <f t="shared" ca="1" si="224"/>
        <v>6.4679999999999849</v>
      </c>
      <c r="T495" s="304">
        <f t="shared" ca="1" si="204"/>
        <v>63.451079999999855</v>
      </c>
      <c r="U495" s="311">
        <f t="shared" ca="1" si="205"/>
        <v>0</v>
      </c>
      <c r="V495" s="306">
        <f t="shared" ca="1" si="206"/>
        <v>1.096408996321756</v>
      </c>
      <c r="W495" s="304">
        <f t="shared" ca="1" si="207"/>
        <v>302.91072908483443</v>
      </c>
      <c r="Y495" s="314" t="str">
        <f t="shared" ca="1" si="225"/>
        <v/>
      </c>
      <c r="Z495" s="315" t="str">
        <f t="shared" ca="1" si="226"/>
        <v/>
      </c>
      <c r="AA495" s="316" t="str">
        <f t="shared" ca="1" si="227"/>
        <v/>
      </c>
      <c r="AC495" s="310" t="e">
        <f t="shared" ca="1" si="228"/>
        <v>#N/A</v>
      </c>
      <c r="AD495" s="323" t="e">
        <f t="shared" ca="1" si="229"/>
        <v>#N/A</v>
      </c>
      <c r="AE495" s="324">
        <f t="shared" ca="1" si="208"/>
        <v>1107.8702967206116</v>
      </c>
      <c r="AG495" s="306">
        <f t="shared" ca="1" si="230"/>
        <v>-56.761293109478466</v>
      </c>
      <c r="AH495" s="304">
        <f t="shared" ca="1" si="231"/>
        <v>-47.014222704386945</v>
      </c>
    </row>
    <row r="496" spans="1:34" x14ac:dyDescent="0.2">
      <c r="A496" s="347">
        <f t="shared" ca="1" si="209"/>
        <v>0.01</v>
      </c>
      <c r="B496" s="304">
        <f t="shared" ca="1" si="210"/>
        <v>4.9199999999999395</v>
      </c>
      <c r="D496" s="306">
        <f t="shared" ca="1" si="211"/>
        <v>-5.2977065473496543</v>
      </c>
      <c r="E496" s="307">
        <f t="shared" ca="1" si="212"/>
        <v>-56.341603492573014</v>
      </c>
      <c r="F496" s="304">
        <f t="shared" ca="1" si="213"/>
        <v>56.590122625562024</v>
      </c>
      <c r="G496" s="306">
        <f t="shared" ca="1" si="214"/>
        <v>35.97445636400596</v>
      </c>
      <c r="H496" s="307">
        <f t="shared" ca="1" si="215"/>
        <v>315.8780916650972</v>
      </c>
      <c r="I496" s="304">
        <f t="shared" ca="1" si="216"/>
        <v>317.92000614096202</v>
      </c>
      <c r="J496" s="306">
        <f t="shared" ca="1" si="217"/>
        <v>119.13438918324269</v>
      </c>
      <c r="K496" s="307">
        <f t="shared" ca="1" si="218"/>
        <v>1111.0318947174371</v>
      </c>
      <c r="L496" s="304">
        <f t="shared" ca="1" si="203"/>
        <v>1117.4009458406067</v>
      </c>
      <c r="M496" s="306">
        <f t="shared" ca="1" si="219"/>
        <v>1.4573977606207655</v>
      </c>
      <c r="N496" s="304">
        <f t="shared" ca="1" si="220"/>
        <v>83.502740755387308</v>
      </c>
      <c r="P496" s="310">
        <f t="shared" ca="1" si="221"/>
        <v>23</v>
      </c>
      <c r="Q496" s="304">
        <f t="shared" ca="1" si="222"/>
        <v>0</v>
      </c>
      <c r="R496" s="306">
        <f t="shared" ca="1" si="223"/>
        <v>0</v>
      </c>
      <c r="S496" s="307">
        <f t="shared" ca="1" si="224"/>
        <v>6.4679999999999849</v>
      </c>
      <c r="T496" s="304">
        <f t="shared" ca="1" si="204"/>
        <v>63.451079999999855</v>
      </c>
      <c r="U496" s="311">
        <f t="shared" ca="1" si="205"/>
        <v>0</v>
      </c>
      <c r="V496" s="306">
        <f t="shared" ca="1" si="206"/>
        <v>1.0960613410262126</v>
      </c>
      <c r="W496" s="304">
        <f t="shared" ca="1" si="207"/>
        <v>301.73973145436656</v>
      </c>
      <c r="Y496" s="314" t="str">
        <f t="shared" ca="1" si="225"/>
        <v/>
      </c>
      <c r="Z496" s="315" t="str">
        <f t="shared" ca="1" si="226"/>
        <v/>
      </c>
      <c r="AA496" s="316" t="str">
        <f t="shared" ca="1" si="227"/>
        <v/>
      </c>
      <c r="AC496" s="310" t="e">
        <f t="shared" ca="1" si="228"/>
        <v>#N/A</v>
      </c>
      <c r="AD496" s="323" t="e">
        <f t="shared" ca="1" si="229"/>
        <v>#N/A</v>
      </c>
      <c r="AE496" s="324">
        <f t="shared" ca="1" si="208"/>
        <v>1111.0318947174371</v>
      </c>
      <c r="AG496" s="306">
        <f t="shared" ca="1" si="230"/>
        <v>-56.57924095316109</v>
      </c>
      <c r="AH496" s="304">
        <f t="shared" ca="1" si="231"/>
        <v>-46.832209196789599</v>
      </c>
    </row>
    <row r="497" spans="1:34" x14ac:dyDescent="0.2">
      <c r="A497" s="347">
        <f t="shared" ca="1" si="209"/>
        <v>0.01</v>
      </c>
      <c r="B497" s="304">
        <f t="shared" ca="1" si="210"/>
        <v>4.9299999999999393</v>
      </c>
      <c r="D497" s="306">
        <f t="shared" ca="1" si="211"/>
        <v>-5.2788445088740392</v>
      </c>
      <c r="E497" s="307">
        <f t="shared" ca="1" si="212"/>
        <v>-56.161536567715544</v>
      </c>
      <c r="F497" s="304">
        <f t="shared" ca="1" si="213"/>
        <v>56.409080731702403</v>
      </c>
      <c r="G497" s="306">
        <f t="shared" ca="1" si="214"/>
        <v>35.921667918917223</v>
      </c>
      <c r="H497" s="307">
        <f t="shared" ca="1" si="215"/>
        <v>315.31647629942006</v>
      </c>
      <c r="I497" s="304">
        <f t="shared" ca="1" si="216"/>
        <v>317.35602476077196</v>
      </c>
      <c r="J497" s="306">
        <f t="shared" ca="1" si="217"/>
        <v>119.49386980465731</v>
      </c>
      <c r="K497" s="307">
        <f t="shared" ca="1" si="218"/>
        <v>1114.1878675572598</v>
      </c>
      <c r="L497" s="304">
        <f t="shared" ca="1" si="203"/>
        <v>1120.5772571013058</v>
      </c>
      <c r="M497" s="306">
        <f t="shared" ca="1" si="219"/>
        <v>1.4573627823253328</v>
      </c>
      <c r="N497" s="304">
        <f t="shared" ca="1" si="220"/>
        <v>83.500736646684459</v>
      </c>
      <c r="P497" s="310">
        <f t="shared" ca="1" si="221"/>
        <v>23</v>
      </c>
      <c r="Q497" s="304">
        <f t="shared" ca="1" si="222"/>
        <v>0</v>
      </c>
      <c r="R497" s="306">
        <f t="shared" ca="1" si="223"/>
        <v>0</v>
      </c>
      <c r="S497" s="307">
        <f t="shared" ca="1" si="224"/>
        <v>6.4679999999999849</v>
      </c>
      <c r="T497" s="304">
        <f t="shared" ca="1" si="204"/>
        <v>63.451079999999855</v>
      </c>
      <c r="U497" s="311">
        <f t="shared" ca="1" si="205"/>
        <v>0</v>
      </c>
      <c r="V497" s="306">
        <f t="shared" ca="1" si="206"/>
        <v>1.0957144081203491</v>
      </c>
      <c r="W497" s="304">
        <f t="shared" ca="1" si="207"/>
        <v>300.57495480585118</v>
      </c>
      <c r="Y497" s="314" t="str">
        <f t="shared" ca="1" si="225"/>
        <v/>
      </c>
      <c r="Z497" s="315" t="str">
        <f t="shared" ca="1" si="226"/>
        <v/>
      </c>
      <c r="AA497" s="316" t="str">
        <f t="shared" ca="1" si="227"/>
        <v/>
      </c>
      <c r="AC497" s="310" t="e">
        <f t="shared" ca="1" si="228"/>
        <v>#N/A</v>
      </c>
      <c r="AD497" s="323" t="e">
        <f t="shared" ca="1" si="229"/>
        <v>#N/A</v>
      </c>
      <c r="AE497" s="324">
        <f t="shared" ca="1" si="208"/>
        <v>1114.1878675572598</v>
      </c>
      <c r="AG497" s="306">
        <f t="shared" ca="1" si="230"/>
        <v>-56.398157432962627</v>
      </c>
      <c r="AH497" s="304">
        <f t="shared" ca="1" si="231"/>
        <v>-46.651164417805703</v>
      </c>
    </row>
    <row r="498" spans="1:34" x14ac:dyDescent="0.2">
      <c r="A498" s="347">
        <f t="shared" ca="1" si="209"/>
        <v>0.01</v>
      </c>
      <c r="B498" s="304">
        <f t="shared" ca="1" si="210"/>
        <v>4.9399999999999391</v>
      </c>
      <c r="D498" s="306">
        <f t="shared" ca="1" si="211"/>
        <v>-5.2600821328897487</v>
      </c>
      <c r="E498" s="307">
        <f t="shared" ca="1" si="212"/>
        <v>-55.982426261835144</v>
      </c>
      <c r="F498" s="304">
        <f t="shared" ca="1" si="213"/>
        <v>56.229000650967961</v>
      </c>
      <c r="G498" s="306">
        <f t="shared" ca="1" si="214"/>
        <v>35.869067097588328</v>
      </c>
      <c r="H498" s="307">
        <f t="shared" ca="1" si="215"/>
        <v>314.75665203680171</v>
      </c>
      <c r="I498" s="304">
        <f t="shared" ca="1" si="216"/>
        <v>316.79384459908238</v>
      </c>
      <c r="J498" s="306">
        <f t="shared" ca="1" si="217"/>
        <v>119.85282347973984</v>
      </c>
      <c r="K498" s="307">
        <f t="shared" ca="1" si="218"/>
        <v>1117.338233198941</v>
      </c>
      <c r="L498" s="304">
        <f t="shared" ca="1" si="203"/>
        <v>1123.7479373347908</v>
      </c>
      <c r="M498" s="306">
        <f t="shared" ca="1" si="219"/>
        <v>1.4573277311956911</v>
      </c>
      <c r="N498" s="304">
        <f t="shared" ca="1" si="220"/>
        <v>83.498728364888819</v>
      </c>
      <c r="P498" s="310">
        <f t="shared" ca="1" si="221"/>
        <v>23</v>
      </c>
      <c r="Q498" s="304">
        <f t="shared" ca="1" si="222"/>
        <v>0</v>
      </c>
      <c r="R498" s="306">
        <f t="shared" ca="1" si="223"/>
        <v>0</v>
      </c>
      <c r="S498" s="307">
        <f t="shared" ca="1" si="224"/>
        <v>6.4679999999999849</v>
      </c>
      <c r="T498" s="304">
        <f t="shared" ca="1" si="204"/>
        <v>63.451079999999855</v>
      </c>
      <c r="U498" s="311">
        <f t="shared" ca="1" si="205"/>
        <v>0</v>
      </c>
      <c r="V498" s="306">
        <f t="shared" ca="1" si="206"/>
        <v>1.0953681950297236</v>
      </c>
      <c r="W498" s="304">
        <f t="shared" ca="1" si="207"/>
        <v>299.41635478651727</v>
      </c>
      <c r="Y498" s="314" t="str">
        <f t="shared" ca="1" si="225"/>
        <v/>
      </c>
      <c r="Z498" s="315" t="str">
        <f t="shared" ca="1" si="226"/>
        <v/>
      </c>
      <c r="AA498" s="316" t="str">
        <f t="shared" ca="1" si="227"/>
        <v/>
      </c>
      <c r="AC498" s="310" t="e">
        <f t="shared" ca="1" si="228"/>
        <v>#N/A</v>
      </c>
      <c r="AD498" s="323" t="e">
        <f t="shared" ca="1" si="229"/>
        <v>#N/A</v>
      </c>
      <c r="AE498" s="324">
        <f t="shared" ca="1" si="208"/>
        <v>1117.338233198941</v>
      </c>
      <c r="AG498" s="306">
        <f t="shared" ca="1" si="230"/>
        <v>-56.218035629311899</v>
      </c>
      <c r="AH498" s="304">
        <f t="shared" ca="1" si="231"/>
        <v>-46.471081448029047</v>
      </c>
    </row>
    <row r="499" spans="1:34" x14ac:dyDescent="0.2">
      <c r="A499" s="347">
        <f t="shared" ca="1" si="209"/>
        <v>0.01</v>
      </c>
      <c r="B499" s="304">
        <f t="shared" ca="1" si="210"/>
        <v>4.9499999999999389</v>
      </c>
      <c r="D499" s="306">
        <f t="shared" ca="1" si="211"/>
        <v>-5.2414187080167807</v>
      </c>
      <c r="E499" s="307">
        <f t="shared" ca="1" si="212"/>
        <v>-55.80426575466592</v>
      </c>
      <c r="F499" s="304">
        <f t="shared" ca="1" si="213"/>
        <v>56.049875526089515</v>
      </c>
      <c r="G499" s="306">
        <f t="shared" ca="1" si="214"/>
        <v>35.816652910508161</v>
      </c>
      <c r="H499" s="307">
        <f t="shared" ca="1" si="215"/>
        <v>314.19860937925506</v>
      </c>
      <c r="I499" s="304">
        <f t="shared" ca="1" si="216"/>
        <v>316.23345610730297</v>
      </c>
      <c r="J499" s="306">
        <f t="shared" ca="1" si="217"/>
        <v>120.21125207978032</v>
      </c>
      <c r="K499" s="307">
        <f t="shared" ca="1" si="218"/>
        <v>1120.4830095060213</v>
      </c>
      <c r="L499" s="304">
        <f t="shared" ca="1" si="203"/>
        <v>1126.9130045031245</v>
      </c>
      <c r="M499" s="306">
        <f t="shared" ca="1" si="219"/>
        <v>1.457292607149475</v>
      </c>
      <c r="N499" s="304">
        <f t="shared" ca="1" si="220"/>
        <v>83.496715905281206</v>
      </c>
      <c r="P499" s="310">
        <f t="shared" ca="1" si="221"/>
        <v>23</v>
      </c>
      <c r="Q499" s="304">
        <f t="shared" ca="1" si="222"/>
        <v>0</v>
      </c>
      <c r="R499" s="306">
        <f t="shared" ca="1" si="223"/>
        <v>0</v>
      </c>
      <c r="S499" s="307">
        <f t="shared" ca="1" si="224"/>
        <v>6.4679999999999849</v>
      </c>
      <c r="T499" s="304">
        <f t="shared" ca="1" si="204"/>
        <v>63.451079999999855</v>
      </c>
      <c r="U499" s="311">
        <f t="shared" ca="1" si="205"/>
        <v>0</v>
      </c>
      <c r="V499" s="306">
        <f t="shared" ca="1" si="206"/>
        <v>1.0950226991942285</v>
      </c>
      <c r="W499" s="304">
        <f t="shared" ca="1" si="207"/>
        <v>298.26388744119993</v>
      </c>
      <c r="Y499" s="314" t="str">
        <f t="shared" ca="1" si="225"/>
        <v/>
      </c>
      <c r="Z499" s="315" t="str">
        <f t="shared" ca="1" si="226"/>
        <v/>
      </c>
      <c r="AA499" s="316" t="str">
        <f t="shared" ca="1" si="227"/>
        <v/>
      </c>
      <c r="AC499" s="310" t="e">
        <f t="shared" ca="1" si="228"/>
        <v>#N/A</v>
      </c>
      <c r="AD499" s="323" t="e">
        <f t="shared" ca="1" si="229"/>
        <v>#N/A</v>
      </c>
      <c r="AE499" s="324">
        <f t="shared" ca="1" si="208"/>
        <v>1120.4830095060213</v>
      </c>
      <c r="AG499" s="306">
        <f t="shared" ca="1" si="230"/>
        <v>-56.03886868478132</v>
      </c>
      <c r="AH499" s="304">
        <f t="shared" ca="1" si="231"/>
        <v>-46.291953430197587</v>
      </c>
    </row>
    <row r="500" spans="1:34" x14ac:dyDescent="0.2">
      <c r="A500" s="347">
        <f t="shared" ca="1" si="209"/>
        <v>0.01</v>
      </c>
      <c r="B500" s="304">
        <f t="shared" ca="1" si="210"/>
        <v>4.9599999999999387</v>
      </c>
      <c r="D500" s="306">
        <f t="shared" ca="1" si="211"/>
        <v>-5.2228535292517924</v>
      </c>
      <c r="E500" s="307">
        <f t="shared" ca="1" si="212"/>
        <v>-55.627048287083106</v>
      </c>
      <c r="F500" s="304">
        <f t="shared" ca="1" si="213"/>
        <v>55.871698561270655</v>
      </c>
      <c r="G500" s="306">
        <f t="shared" ca="1" si="214"/>
        <v>35.76442437521564</v>
      </c>
      <c r="H500" s="307">
        <f t="shared" ca="1" si="215"/>
        <v>313.64233889638422</v>
      </c>
      <c r="I500" s="304">
        <f t="shared" ca="1" si="216"/>
        <v>315.67484980480288</v>
      </c>
      <c r="J500" s="306">
        <f t="shared" ca="1" si="217"/>
        <v>120.56915746620894</v>
      </c>
      <c r="K500" s="307">
        <f t="shared" ca="1" si="218"/>
        <v>1123.6222142473996</v>
      </c>
      <c r="L500" s="304">
        <f t="shared" ca="1" si="203"/>
        <v>1130.0724764732308</v>
      </c>
      <c r="M500" s="306">
        <f t="shared" ca="1" si="219"/>
        <v>1.4572574101040388</v>
      </c>
      <c r="N500" s="304">
        <f t="shared" ca="1" si="220"/>
        <v>83.494699263126392</v>
      </c>
      <c r="P500" s="310">
        <f t="shared" ca="1" si="221"/>
        <v>23</v>
      </c>
      <c r="Q500" s="304">
        <f t="shared" ca="1" si="222"/>
        <v>0</v>
      </c>
      <c r="R500" s="306">
        <f t="shared" ca="1" si="223"/>
        <v>0</v>
      </c>
      <c r="S500" s="307">
        <f t="shared" ca="1" si="224"/>
        <v>6.4679999999999849</v>
      </c>
      <c r="T500" s="304">
        <f t="shared" ca="1" si="204"/>
        <v>63.451079999999855</v>
      </c>
      <c r="U500" s="311">
        <f t="shared" ca="1" si="205"/>
        <v>0</v>
      </c>
      <c r="V500" s="306">
        <f t="shared" ca="1" si="206"/>
        <v>1.0946779180679829</v>
      </c>
      <c r="W500" s="304">
        <f t="shared" ca="1" si="207"/>
        <v>297.11750920804974</v>
      </c>
      <c r="Y500" s="314" t="str">
        <f t="shared" ca="1" si="225"/>
        <v/>
      </c>
      <c r="Z500" s="315" t="str">
        <f t="shared" ca="1" si="226"/>
        <v/>
      </c>
      <c r="AA500" s="316" t="str">
        <f t="shared" ca="1" si="227"/>
        <v/>
      </c>
      <c r="AC500" s="310" t="e">
        <f t="shared" ca="1" si="228"/>
        <v>#N/A</v>
      </c>
      <c r="AD500" s="323" t="e">
        <f t="shared" ca="1" si="229"/>
        <v>#N/A</v>
      </c>
      <c r="AE500" s="324">
        <f t="shared" ca="1" si="208"/>
        <v>1123.6222142473996</v>
      </c>
      <c r="AG500" s="306">
        <f t="shared" ca="1" si="230"/>
        <v>-55.860649803415498</v>
      </c>
      <c r="AH500" s="304">
        <f t="shared" ca="1" si="231"/>
        <v>-46.113773568522049</v>
      </c>
    </row>
    <row r="501" spans="1:34" x14ac:dyDescent="0.2">
      <c r="A501" s="347">
        <f t="shared" ca="1" si="209"/>
        <v>0.01</v>
      </c>
      <c r="B501" s="304">
        <f t="shared" ca="1" si="210"/>
        <v>4.9699999999999385</v>
      </c>
      <c r="D501" s="306">
        <f t="shared" ca="1" si="211"/>
        <v>-5.2043858978993276</v>
      </c>
      <c r="E501" s="307">
        <f t="shared" ca="1" si="212"/>
        <v>-55.450767160443355</v>
      </c>
      <c r="F501" s="304">
        <f t="shared" ca="1" si="213"/>
        <v>55.69446302152447</v>
      </c>
      <c r="G501" s="306">
        <f t="shared" ca="1" si="214"/>
        <v>35.712380516236649</v>
      </c>
      <c r="H501" s="307">
        <f t="shared" ca="1" si="215"/>
        <v>313.08783122477979</v>
      </c>
      <c r="I501" s="304">
        <f t="shared" ca="1" si="216"/>
        <v>315.11801627830272</v>
      </c>
      <c r="J501" s="306">
        <f t="shared" ca="1" si="217"/>
        <v>120.9265414906662</v>
      </c>
      <c r="K501" s="307">
        <f t="shared" ca="1" si="218"/>
        <v>1126.7558650980054</v>
      </c>
      <c r="L501" s="304">
        <f t="shared" ca="1" si="203"/>
        <v>1133.2263710175687</v>
      </c>
      <c r="M501" s="306">
        <f t="shared" ca="1" si="219"/>
        <v>1.457222139976458</v>
      </c>
      <c r="N501" s="304">
        <f t="shared" ca="1" si="220"/>
        <v>83.49267843367312</v>
      </c>
      <c r="P501" s="310">
        <f t="shared" ca="1" si="221"/>
        <v>23</v>
      </c>
      <c r="Q501" s="304">
        <f t="shared" ca="1" si="222"/>
        <v>0</v>
      </c>
      <c r="R501" s="306">
        <f t="shared" ca="1" si="223"/>
        <v>0</v>
      </c>
      <c r="S501" s="307">
        <f t="shared" ca="1" si="224"/>
        <v>6.4679999999999849</v>
      </c>
      <c r="T501" s="304">
        <f t="shared" ca="1" si="204"/>
        <v>63.451079999999855</v>
      </c>
      <c r="U501" s="311">
        <f t="shared" ca="1" si="205"/>
        <v>0</v>
      </c>
      <c r="V501" s="306">
        <f t="shared" ca="1" si="206"/>
        <v>1.0943338491192289</v>
      </c>
      <c r="W501" s="304">
        <f t="shared" ca="1" si="207"/>
        <v>295.97717691429904</v>
      </c>
      <c r="Y501" s="314" t="str">
        <f t="shared" ca="1" si="225"/>
        <v/>
      </c>
      <c r="Z501" s="315" t="str">
        <f t="shared" ca="1" si="226"/>
        <v/>
      </c>
      <c r="AA501" s="316" t="str">
        <f t="shared" ca="1" si="227"/>
        <v/>
      </c>
      <c r="AC501" s="310" t="e">
        <f t="shared" ca="1" si="228"/>
        <v>#N/A</v>
      </c>
      <c r="AD501" s="323" t="e">
        <f t="shared" ca="1" si="229"/>
        <v>#N/A</v>
      </c>
      <c r="AE501" s="324">
        <f t="shared" ca="1" si="208"/>
        <v>1126.7558650980054</v>
      </c>
      <c r="AG501" s="306">
        <f t="shared" ca="1" si="230"/>
        <v>-55.683372250067947</v>
      </c>
      <c r="AH501" s="304">
        <f t="shared" ca="1" si="231"/>
        <v>-45.936535128022641</v>
      </c>
    </row>
    <row r="502" spans="1:34" x14ac:dyDescent="0.2">
      <c r="A502" s="347">
        <f t="shared" ca="1" si="209"/>
        <v>0.01</v>
      </c>
      <c r="B502" s="304">
        <f t="shared" ca="1" si="210"/>
        <v>4.9799999999999383</v>
      </c>
      <c r="D502" s="306">
        <f t="shared" ca="1" si="211"/>
        <v>-5.1860151215038544</v>
      </c>
      <c r="E502" s="307">
        <f t="shared" ca="1" si="212"/>
        <v>-55.275415735933635</v>
      </c>
      <c r="F502" s="304">
        <f t="shared" ca="1" si="213"/>
        <v>55.518162232018867</v>
      </c>
      <c r="G502" s="306">
        <f t="shared" ca="1" si="214"/>
        <v>35.660520365021611</v>
      </c>
      <c r="H502" s="307">
        <f t="shared" ca="1" si="215"/>
        <v>312.53507706742045</v>
      </c>
      <c r="I502" s="304">
        <f t="shared" ca="1" si="216"/>
        <v>314.56294618127316</v>
      </c>
      <c r="J502" s="306">
        <f t="shared" ca="1" si="217"/>
        <v>121.28340599507248</v>
      </c>
      <c r="K502" s="307">
        <f t="shared" ca="1" si="218"/>
        <v>1129.8839796394664</v>
      </c>
      <c r="L502" s="304">
        <f t="shared" ca="1" si="203"/>
        <v>1136.3747058148044</v>
      </c>
      <c r="M502" s="306">
        <f t="shared" ca="1" si="219"/>
        <v>1.4571867966835268</v>
      </c>
      <c r="N502" s="304">
        <f t="shared" ca="1" si="220"/>
        <v>83.490653412154074</v>
      </c>
      <c r="P502" s="310">
        <f t="shared" ca="1" si="221"/>
        <v>23</v>
      </c>
      <c r="Q502" s="304">
        <f t="shared" ca="1" si="222"/>
        <v>0</v>
      </c>
      <c r="R502" s="306">
        <f t="shared" ca="1" si="223"/>
        <v>0</v>
      </c>
      <c r="S502" s="307">
        <f t="shared" ca="1" si="224"/>
        <v>6.4679999999999849</v>
      </c>
      <c r="T502" s="304">
        <f t="shared" ca="1" si="204"/>
        <v>63.451079999999855</v>
      </c>
      <c r="U502" s="311">
        <f t="shared" ca="1" si="205"/>
        <v>0</v>
      </c>
      <c r="V502" s="306">
        <f t="shared" ca="1" si="206"/>
        <v>1.0939904898302273</v>
      </c>
      <c r="W502" s="304">
        <f t="shared" ca="1" si="207"/>
        <v>294.84284777207972</v>
      </c>
      <c r="Y502" s="314" t="str">
        <f t="shared" ca="1" si="225"/>
        <v/>
      </c>
      <c r="Z502" s="315" t="str">
        <f t="shared" ca="1" si="226"/>
        <v/>
      </c>
      <c r="AA502" s="316" t="str">
        <f t="shared" ca="1" si="227"/>
        <v/>
      </c>
      <c r="AC502" s="310" t="e">
        <f t="shared" ca="1" si="228"/>
        <v>#N/A</v>
      </c>
      <c r="AD502" s="323" t="e">
        <f t="shared" ca="1" si="229"/>
        <v>#N/A</v>
      </c>
      <c r="AE502" s="324">
        <f t="shared" ca="1" si="208"/>
        <v>1129.8839796394664</v>
      </c>
      <c r="AG502" s="306">
        <f t="shared" ca="1" si="230"/>
        <v>-55.507029349746446</v>
      </c>
      <c r="AH502" s="304">
        <f t="shared" ca="1" si="231"/>
        <v>-45.760231433874416</v>
      </c>
    </row>
    <row r="503" spans="1:34" x14ac:dyDescent="0.2">
      <c r="A503" s="347">
        <f t="shared" ca="1" si="209"/>
        <v>0.01</v>
      </c>
      <c r="B503" s="304">
        <f t="shared" ca="1" si="210"/>
        <v>4.989999999999938</v>
      </c>
      <c r="D503" s="306">
        <f t="shared" ca="1" si="211"/>
        <v>-5.167740513782781</v>
      </c>
      <c r="E503" s="307">
        <f t="shared" ca="1" si="212"/>
        <v>-55.100987433928147</v>
      </c>
      <c r="F503" s="304">
        <f t="shared" ca="1" si="213"/>
        <v>55.342789577430047</v>
      </c>
      <c r="G503" s="306">
        <f t="shared" ca="1" si="214"/>
        <v>35.608842959883781</v>
      </c>
      <c r="H503" s="307">
        <f t="shared" ca="1" si="215"/>
        <v>311.98406719308116</v>
      </c>
      <c r="I503" s="304">
        <f t="shared" ca="1" si="216"/>
        <v>314.00963023333958</v>
      </c>
      <c r="J503" s="306">
        <f t="shared" ca="1" si="217"/>
        <v>121.63975281169701</v>
      </c>
      <c r="K503" s="307">
        <f t="shared" ca="1" si="218"/>
        <v>1133.0065753607689</v>
      </c>
      <c r="L503" s="304">
        <f t="shared" ca="1" si="203"/>
        <v>1139.5174984504749</v>
      </c>
      <c r="M503" s="306">
        <f t="shared" ca="1" si="219"/>
        <v>1.4571513801417593</v>
      </c>
      <c r="N503" s="304">
        <f t="shared" ca="1" si="220"/>
        <v>83.488624193785839</v>
      </c>
      <c r="P503" s="310">
        <f t="shared" ca="1" si="221"/>
        <v>23</v>
      </c>
      <c r="Q503" s="304">
        <f t="shared" ca="1" si="222"/>
        <v>0</v>
      </c>
      <c r="R503" s="306">
        <f t="shared" ca="1" si="223"/>
        <v>0</v>
      </c>
      <c r="S503" s="307">
        <f t="shared" ca="1" si="224"/>
        <v>6.4679999999999849</v>
      </c>
      <c r="T503" s="304">
        <f t="shared" ca="1" si="204"/>
        <v>63.451079999999855</v>
      </c>
      <c r="U503" s="311">
        <f t="shared" ca="1" si="205"/>
        <v>0</v>
      </c>
      <c r="V503" s="306">
        <f t="shared" ca="1" si="206"/>
        <v>1.0936478376971546</v>
      </c>
      <c r="W503" s="304">
        <f t="shared" ca="1" si="207"/>
        <v>293.71447937429394</v>
      </c>
      <c r="Y503" s="314" t="str">
        <f t="shared" ca="1" si="225"/>
        <v/>
      </c>
      <c r="Z503" s="315" t="str">
        <f t="shared" ca="1" si="226"/>
        <v/>
      </c>
      <c r="AA503" s="316" t="str">
        <f t="shared" ca="1" si="227"/>
        <v/>
      </c>
      <c r="AC503" s="310" t="e">
        <f t="shared" ca="1" si="228"/>
        <v>#N/A</v>
      </c>
      <c r="AD503" s="323" t="e">
        <f t="shared" ca="1" si="229"/>
        <v>#N/A</v>
      </c>
      <c r="AE503" s="324">
        <f t="shared" ca="1" si="208"/>
        <v>1133.0065753607689</v>
      </c>
      <c r="AG503" s="306">
        <f t="shared" ca="1" si="230"/>
        <v>-55.331614486966501</v>
      </c>
      <c r="AH503" s="304">
        <f t="shared" ca="1" si="231"/>
        <v>-45.584855870760734</v>
      </c>
    </row>
    <row r="504" spans="1:34" x14ac:dyDescent="0.2">
      <c r="A504" s="347">
        <f t="shared" ca="1" si="209"/>
        <v>0.01</v>
      </c>
      <c r="B504" s="304">
        <f t="shared" ca="1" si="210"/>
        <v>4.9999999999999378</v>
      </c>
      <c r="D504" s="306">
        <f t="shared" ca="1" si="211"/>
        <v>-5.1495613945601368</v>
      </c>
      <c r="E504" s="307">
        <f t="shared" ca="1" si="212"/>
        <v>-54.927475733353361</v>
      </c>
      <c r="F504" s="304">
        <f t="shared" ca="1" si="213"/>
        <v>55.168338501304049</v>
      </c>
      <c r="G504" s="306">
        <f t="shared" ca="1" si="214"/>
        <v>35.557347345938176</v>
      </c>
      <c r="H504" s="307">
        <f t="shared" ca="1" si="215"/>
        <v>311.43479243574762</v>
      </c>
      <c r="I504" s="304">
        <f t="shared" ca="1" si="216"/>
        <v>313.45805921969355</v>
      </c>
      <c r="J504" s="306">
        <f t="shared" ca="1" si="217"/>
        <v>121.99558376322612</v>
      </c>
      <c r="K504" s="307">
        <f t="shared" ca="1" si="218"/>
        <v>1136.1236696589131</v>
      </c>
      <c r="L504" s="304">
        <f t="shared" ca="1" si="203"/>
        <v>1142.654766417646</v>
      </c>
      <c r="M504" s="306">
        <f t="shared" ca="1" si="219"/>
        <v>1.4571158902673877</v>
      </c>
      <c r="N504" s="304">
        <f t="shared" ca="1" si="220"/>
        <v>83.48659077376891</v>
      </c>
      <c r="P504" s="310">
        <f t="shared" ca="1" si="221"/>
        <v>23</v>
      </c>
      <c r="Q504" s="304">
        <f t="shared" ca="1" si="222"/>
        <v>0</v>
      </c>
      <c r="R504" s="306">
        <f t="shared" ca="1" si="223"/>
        <v>0</v>
      </c>
      <c r="S504" s="307">
        <f t="shared" ca="1" si="224"/>
        <v>6.4679999999999849</v>
      </c>
      <c r="T504" s="304">
        <f t="shared" ca="1" si="204"/>
        <v>63.451079999999855</v>
      </c>
      <c r="U504" s="311">
        <f t="shared" ca="1" si="205"/>
        <v>0</v>
      </c>
      <c r="V504" s="306">
        <f t="shared" ca="1" si="206"/>
        <v>1.093305890230001</v>
      </c>
      <c r="W504" s="304">
        <f t="shared" ca="1" si="207"/>
        <v>292.59202969053723</v>
      </c>
      <c r="Y504" s="314" t="str">
        <f t="shared" ca="1" si="225"/>
        <v/>
      </c>
      <c r="Z504" s="315" t="str">
        <f t="shared" ca="1" si="226"/>
        <v/>
      </c>
      <c r="AA504" s="316" t="str">
        <f t="shared" ca="1" si="227"/>
        <v/>
      </c>
      <c r="AC504" s="310">
        <f t="shared" ca="1" si="228"/>
        <v>4.9999999999999378</v>
      </c>
      <c r="AD504" s="323">
        <f t="shared" ca="1" si="229"/>
        <v>121.99558376322612</v>
      </c>
      <c r="AE504" s="324">
        <f t="shared" ca="1" si="208"/>
        <v>1136.1236696589131</v>
      </c>
      <c r="AG504" s="306">
        <f t="shared" ca="1" si="230"/>
        <v>-55.157121105112864</v>
      </c>
      <c r="AH504" s="304">
        <f t="shared" ca="1" si="231"/>
        <v>-45.410401882234794</v>
      </c>
    </row>
    <row r="505" spans="1:34" x14ac:dyDescent="0.2">
      <c r="A505" s="347">
        <f t="shared" ca="1" si="209"/>
        <v>0.1</v>
      </c>
      <c r="B505" s="304">
        <f t="shared" ca="1" si="210"/>
        <v>5.0999999999999375</v>
      </c>
      <c r="D505" s="306">
        <f t="shared" ca="1" si="211"/>
        <v>-5.1314770897012503</v>
      </c>
      <c r="E505" s="307">
        <f t="shared" ca="1" si="212"/>
        <v>-54.754874171061068</v>
      </c>
      <c r="F505" s="304">
        <f t="shared" ca="1" si="213"/>
        <v>54.994802505426449</v>
      </c>
      <c r="G505" s="306">
        <f t="shared" ca="1" si="214"/>
        <v>35.044199636968052</v>
      </c>
      <c r="H505" s="307">
        <f t="shared" ca="1" si="215"/>
        <v>305.95930501864154</v>
      </c>
      <c r="I505" s="304">
        <f t="shared" ca="1" si="216"/>
        <v>307.95972505456911</v>
      </c>
      <c r="J505" s="306">
        <f t="shared" ca="1" si="217"/>
        <v>125.52566111237144</v>
      </c>
      <c r="K505" s="307">
        <f t="shared" ca="1" si="218"/>
        <v>1166.9933745316325</v>
      </c>
      <c r="L505" s="304">
        <f t="shared" ca="1" si="203"/>
        <v>1173.7249370267402</v>
      </c>
      <c r="M505" s="306">
        <f t="shared" ca="1" si="219"/>
        <v>1.4567545428063939</v>
      </c>
      <c r="N505" s="304">
        <f t="shared" ca="1" si="220"/>
        <v>83.465887089316197</v>
      </c>
      <c r="P505" s="310">
        <f t="shared" ca="1" si="221"/>
        <v>23</v>
      </c>
      <c r="Q505" s="304">
        <f t="shared" ca="1" si="222"/>
        <v>0</v>
      </c>
      <c r="R505" s="306">
        <f t="shared" ca="1" si="223"/>
        <v>0</v>
      </c>
      <c r="S505" s="307">
        <f t="shared" ca="1" si="224"/>
        <v>6.4679999999999849</v>
      </c>
      <c r="T505" s="304">
        <f t="shared" ca="1" si="204"/>
        <v>63.451079999999855</v>
      </c>
      <c r="U505" s="311">
        <f t="shared" ca="1" si="205"/>
        <v>0</v>
      </c>
      <c r="V505" s="306">
        <f t="shared" ca="1" si="206"/>
        <v>1.0899248990155284</v>
      </c>
      <c r="W505" s="304">
        <f t="shared" ca="1" si="207"/>
        <v>281.54404346197094</v>
      </c>
      <c r="Y505" s="314" t="str">
        <f t="shared" ca="1" si="225"/>
        <v/>
      </c>
      <c r="Z505" s="315" t="str">
        <f t="shared" ca="1" si="226"/>
        <v/>
      </c>
      <c r="AA505" s="316" t="str">
        <f t="shared" ca="1" si="227"/>
        <v/>
      </c>
      <c r="AC505" s="310" t="e">
        <f t="shared" ca="1" si="228"/>
        <v>#N/A</v>
      </c>
      <c r="AD505" s="323" t="e">
        <f t="shared" ca="1" si="229"/>
        <v>#N/A</v>
      </c>
      <c r="AE505" s="324">
        <f t="shared" ca="1" si="208"/>
        <v>1166.9933745316325</v>
      </c>
      <c r="AG505" s="306">
        <f t="shared" ca="1" si="230"/>
        <v>-54.983542705809278</v>
      </c>
      <c r="AH505" s="304">
        <f t="shared" ca="1" si="231"/>
        <v>-45.236862970089348</v>
      </c>
    </row>
    <row r="506" spans="1:34" x14ac:dyDescent="0.2">
      <c r="A506" s="347">
        <f t="shared" ca="1" si="209"/>
        <v>0.1</v>
      </c>
      <c r="B506" s="304">
        <f t="shared" ca="1" si="210"/>
        <v>5.1999999999999371</v>
      </c>
      <c r="D506" s="306">
        <f t="shared" ca="1" si="211"/>
        <v>-4.953344740037708</v>
      </c>
      <c r="E506" s="307">
        <f t="shared" ca="1" si="212"/>
        <v>-53.056013031524891</v>
      </c>
      <c r="F506" s="304">
        <f t="shared" ca="1" si="213"/>
        <v>53.2867351497068</v>
      </c>
      <c r="G506" s="306">
        <f t="shared" ca="1" si="214"/>
        <v>34.548865162964283</v>
      </c>
      <c r="H506" s="307">
        <f t="shared" ca="1" si="215"/>
        <v>300.65370371548903</v>
      </c>
      <c r="I506" s="304">
        <f t="shared" ca="1" si="216"/>
        <v>302.63224157695055</v>
      </c>
      <c r="J506" s="306">
        <f t="shared" ca="1" si="217"/>
        <v>129.00531435236806</v>
      </c>
      <c r="K506" s="307">
        <f t="shared" ca="1" si="218"/>
        <v>1197.324024968339</v>
      </c>
      <c r="L506" s="304">
        <f t="shared" ca="1" si="203"/>
        <v>1204.2537904850194</v>
      </c>
      <c r="M506" s="306">
        <f t="shared" ca="1" si="219"/>
        <v>1.4563856705051816</v>
      </c>
      <c r="N506" s="304">
        <f t="shared" ca="1" si="220"/>
        <v>83.444752263277451</v>
      </c>
      <c r="P506" s="310">
        <f t="shared" ca="1" si="221"/>
        <v>23</v>
      </c>
      <c r="Q506" s="304">
        <f t="shared" ca="1" si="222"/>
        <v>0</v>
      </c>
      <c r="R506" s="306">
        <f t="shared" ca="1" si="223"/>
        <v>0</v>
      </c>
      <c r="S506" s="307">
        <f t="shared" ca="1" si="224"/>
        <v>6.4679999999999849</v>
      </c>
      <c r="T506" s="304">
        <f t="shared" ca="1" si="204"/>
        <v>63.451079999999855</v>
      </c>
      <c r="U506" s="311">
        <f t="shared" ca="1" si="205"/>
        <v>0</v>
      </c>
      <c r="V506" s="306">
        <f t="shared" ca="1" si="206"/>
        <v>1.0866125385583045</v>
      </c>
      <c r="W506" s="304">
        <f t="shared" ca="1" si="207"/>
        <v>271.0609926871453</v>
      </c>
      <c r="Y506" s="314" t="str">
        <f t="shared" ca="1" si="225"/>
        <v/>
      </c>
      <c r="Z506" s="315" t="str">
        <f t="shared" ca="1" si="226"/>
        <v/>
      </c>
      <c r="AA506" s="316" t="str">
        <f t="shared" ca="1" si="227"/>
        <v/>
      </c>
      <c r="AC506" s="310" t="e">
        <f t="shared" ca="1" si="228"/>
        <v>#N/A</v>
      </c>
      <c r="AD506" s="323" t="e">
        <f t="shared" ca="1" si="229"/>
        <v>#N/A</v>
      </c>
      <c r="AE506" s="324">
        <f t="shared" ca="1" si="208"/>
        <v>1197.324024968339</v>
      </c>
      <c r="AG506" s="306">
        <f t="shared" ca="1" si="230"/>
        <v>-53.275040667148211</v>
      </c>
      <c r="AH506" s="304">
        <f t="shared" ca="1" si="231"/>
        <v>-43.528763676866355</v>
      </c>
    </row>
    <row r="507" spans="1:34" x14ac:dyDescent="0.2">
      <c r="A507" s="347">
        <f t="shared" ca="1" si="209"/>
        <v>0.1</v>
      </c>
      <c r="B507" s="304">
        <f t="shared" ca="1" si="210"/>
        <v>5.2999999999999368</v>
      </c>
      <c r="D507" s="306">
        <f t="shared" ca="1" si="211"/>
        <v>-4.7842691636808636</v>
      </c>
      <c r="E507" s="307">
        <f t="shared" ca="1" si="212"/>
        <v>-51.44402290777419</v>
      </c>
      <c r="F507" s="304">
        <f t="shared" ca="1" si="213"/>
        <v>51.666011306913788</v>
      </c>
      <c r="G507" s="306">
        <f t="shared" ca="1" si="214"/>
        <v>34.070438246596197</v>
      </c>
      <c r="H507" s="307">
        <f t="shared" ca="1" si="215"/>
        <v>295.50930142471162</v>
      </c>
      <c r="I507" s="304">
        <f t="shared" ca="1" si="216"/>
        <v>297.46687545142936</v>
      </c>
      <c r="J507" s="306">
        <f t="shared" ca="1" si="217"/>
        <v>132.43627952284609</v>
      </c>
      <c r="K507" s="307">
        <f t="shared" ca="1" si="218"/>
        <v>1227.1321752253491</v>
      </c>
      <c r="L507" s="304">
        <f t="shared" ca="1" si="203"/>
        <v>1234.2579728756668</v>
      </c>
      <c r="M507" s="306">
        <f t="shared" ca="1" si="219"/>
        <v>1.4560091843607161</v>
      </c>
      <c r="N507" s="304">
        <f t="shared" ca="1" si="220"/>
        <v>83.423181196154417</v>
      </c>
      <c r="P507" s="310">
        <f t="shared" ca="1" si="221"/>
        <v>23</v>
      </c>
      <c r="Q507" s="304">
        <f t="shared" ca="1" si="222"/>
        <v>0</v>
      </c>
      <c r="R507" s="306">
        <f t="shared" ca="1" si="223"/>
        <v>0</v>
      </c>
      <c r="S507" s="307">
        <f t="shared" ca="1" si="224"/>
        <v>6.4679999999999849</v>
      </c>
      <c r="T507" s="304">
        <f t="shared" ca="1" si="204"/>
        <v>63.451079999999855</v>
      </c>
      <c r="U507" s="311">
        <f t="shared" ca="1" si="205"/>
        <v>0</v>
      </c>
      <c r="V507" s="306">
        <f t="shared" ca="1" si="206"/>
        <v>1.0833664621068773</v>
      </c>
      <c r="W507" s="304">
        <f t="shared" ca="1" si="207"/>
        <v>261.10460625522359</v>
      </c>
      <c r="Y507" s="314" t="str">
        <f t="shared" ca="1" si="225"/>
        <v/>
      </c>
      <c r="Z507" s="315" t="str">
        <f t="shared" ca="1" si="226"/>
        <v/>
      </c>
      <c r="AA507" s="316" t="str">
        <f t="shared" ca="1" si="227"/>
        <v/>
      </c>
      <c r="AC507" s="310" t="e">
        <f t="shared" ca="1" si="228"/>
        <v>#N/A</v>
      </c>
      <c r="AD507" s="323" t="e">
        <f t="shared" ca="1" si="229"/>
        <v>#N/A</v>
      </c>
      <c r="AE507" s="324">
        <f t="shared" ca="1" si="208"/>
        <v>1227.1321752253491</v>
      </c>
      <c r="AG507" s="306">
        <f t="shared" ca="1" si="230"/>
        <v>-51.653872072686333</v>
      </c>
      <c r="AH507" s="304">
        <f t="shared" ca="1" si="231"/>
        <v>-41.908007527388051</v>
      </c>
    </row>
    <row r="508" spans="1:34" x14ac:dyDescent="0.2">
      <c r="A508" s="347">
        <f t="shared" ca="1" si="209"/>
        <v>0.1</v>
      </c>
      <c r="B508" s="304">
        <f t="shared" ca="1" si="210"/>
        <v>5.3999999999999364</v>
      </c>
      <c r="D508" s="306">
        <f t="shared" ca="1" si="211"/>
        <v>-4.6236359350900473</v>
      </c>
      <c r="E508" s="307">
        <f t="shared" ca="1" si="212"/>
        <v>-49.913018790994116</v>
      </c>
      <c r="F508" s="304">
        <f t="shared" ca="1" si="213"/>
        <v>50.126713976585258</v>
      </c>
      <c r="G508" s="306">
        <f t="shared" ca="1" si="214"/>
        <v>33.608074653087193</v>
      </c>
      <c r="H508" s="307">
        <f t="shared" ca="1" si="215"/>
        <v>290.51799954561221</v>
      </c>
      <c r="I508" s="304">
        <f t="shared" ca="1" si="216"/>
        <v>292.4554850603281</v>
      </c>
      <c r="J508" s="306">
        <f t="shared" ca="1" si="217"/>
        <v>135.82020516783027</v>
      </c>
      <c r="K508" s="307">
        <f t="shared" ca="1" si="218"/>
        <v>1256.4335402738652</v>
      </c>
      <c r="L508" s="304">
        <f t="shared" ca="1" si="203"/>
        <v>1263.7532865464484</v>
      </c>
      <c r="M508" s="306">
        <f t="shared" ca="1" si="219"/>
        <v>1.4556249923272133</v>
      </c>
      <c r="N508" s="304">
        <f t="shared" ca="1" si="220"/>
        <v>83.401168614112166</v>
      </c>
      <c r="P508" s="310">
        <f t="shared" ca="1" si="221"/>
        <v>23</v>
      </c>
      <c r="Q508" s="304">
        <f t="shared" ca="1" si="222"/>
        <v>0</v>
      </c>
      <c r="R508" s="306">
        <f t="shared" ca="1" si="223"/>
        <v>0</v>
      </c>
      <c r="S508" s="307">
        <f t="shared" ca="1" si="224"/>
        <v>6.4679999999999849</v>
      </c>
      <c r="T508" s="304">
        <f t="shared" ca="1" si="204"/>
        <v>63.451079999999855</v>
      </c>
      <c r="U508" s="311">
        <f t="shared" ca="1" si="205"/>
        <v>0</v>
      </c>
      <c r="V508" s="306">
        <f t="shared" ca="1" si="206"/>
        <v>1.0801844472009527</v>
      </c>
      <c r="W508" s="304">
        <f t="shared" ca="1" si="207"/>
        <v>251.63983113830159</v>
      </c>
      <c r="Y508" s="314" t="str">
        <f t="shared" ca="1" si="225"/>
        <v/>
      </c>
      <c r="Z508" s="315" t="str">
        <f t="shared" ca="1" si="226"/>
        <v/>
      </c>
      <c r="AA508" s="316" t="str">
        <f t="shared" ca="1" si="227"/>
        <v/>
      </c>
      <c r="AC508" s="310" t="e">
        <f t="shared" ca="1" si="228"/>
        <v>#N/A</v>
      </c>
      <c r="AD508" s="323" t="e">
        <f t="shared" ca="1" si="229"/>
        <v>#N/A</v>
      </c>
      <c r="AE508" s="324">
        <f t="shared" ca="1" si="208"/>
        <v>1256.4335402738652</v>
      </c>
      <c r="AG508" s="306">
        <f t="shared" ca="1" si="230"/>
        <v>-50.114119748302791</v>
      </c>
      <c r="AH508" s="304">
        <f t="shared" ca="1" si="231"/>
        <v>-40.368677528637015</v>
      </c>
    </row>
    <row r="509" spans="1:34" x14ac:dyDescent="0.2">
      <c r="A509" s="347">
        <f t="shared" ca="1" si="209"/>
        <v>0.1</v>
      </c>
      <c r="B509" s="304">
        <f t="shared" ca="1" si="210"/>
        <v>5.4999999999999361</v>
      </c>
      <c r="D509" s="306">
        <f t="shared" ca="1" si="211"/>
        <v>-4.4708822916624396</v>
      </c>
      <c r="E509" s="307">
        <f t="shared" ca="1" si="212"/>
        <v>-48.457610521728014</v>
      </c>
      <c r="F509" s="304">
        <f t="shared" ca="1" si="213"/>
        <v>48.663423697284038</v>
      </c>
      <c r="G509" s="306">
        <f t="shared" ca="1" si="214"/>
        <v>33.160986423920953</v>
      </c>
      <c r="H509" s="307">
        <f t="shared" ca="1" si="215"/>
        <v>285.67223849343941</v>
      </c>
      <c r="I509" s="304">
        <f t="shared" ca="1" si="216"/>
        <v>287.59047075044055</v>
      </c>
      <c r="J509" s="306">
        <f t="shared" ca="1" si="217"/>
        <v>139.15865822168067</v>
      </c>
      <c r="K509" s="307">
        <f t="shared" ca="1" si="218"/>
        <v>1285.2430521758179</v>
      </c>
      <c r="L509" s="304">
        <f t="shared" ca="1" si="203"/>
        <v>1292.7547467807924</v>
      </c>
      <c r="M509" s="306">
        <f t="shared" ca="1" si="219"/>
        <v>1.4552329992574566</v>
      </c>
      <c r="N509" s="304">
        <f t="shared" ca="1" si="220"/>
        <v>83.378709065616732</v>
      </c>
      <c r="P509" s="310">
        <f t="shared" ca="1" si="221"/>
        <v>23</v>
      </c>
      <c r="Q509" s="304">
        <f t="shared" ca="1" si="222"/>
        <v>0</v>
      </c>
      <c r="R509" s="306">
        <f t="shared" ca="1" si="223"/>
        <v>0</v>
      </c>
      <c r="S509" s="307">
        <f t="shared" ca="1" si="224"/>
        <v>6.4679999999999849</v>
      </c>
      <c r="T509" s="304">
        <f t="shared" ca="1" si="204"/>
        <v>63.451079999999855</v>
      </c>
      <c r="U509" s="311">
        <f t="shared" ca="1" si="205"/>
        <v>0</v>
      </c>
      <c r="V509" s="306">
        <f t="shared" ca="1" si="206"/>
        <v>1.0770643870444847</v>
      </c>
      <c r="W509" s="304">
        <f t="shared" ca="1" si="207"/>
        <v>242.63451107292366</v>
      </c>
      <c r="Y509" s="314" t="str">
        <f t="shared" ca="1" si="225"/>
        <v/>
      </c>
      <c r="Z509" s="315" t="str">
        <f t="shared" ca="1" si="226"/>
        <v/>
      </c>
      <c r="AA509" s="316" t="str">
        <f t="shared" ca="1" si="227"/>
        <v/>
      </c>
      <c r="AC509" s="310" t="e">
        <f t="shared" ca="1" si="228"/>
        <v>#N/A</v>
      </c>
      <c r="AD509" s="323" t="e">
        <f t="shared" ca="1" si="229"/>
        <v>#N/A</v>
      </c>
      <c r="AE509" s="324">
        <f t="shared" ca="1" si="208"/>
        <v>1285.2430521758179</v>
      </c>
      <c r="AG509" s="306">
        <f t="shared" ca="1" si="230"/>
        <v>-48.65036405257095</v>
      </c>
      <c r="AH509" s="304">
        <f t="shared" ca="1" si="231"/>
        <v>-38.905354226701014</v>
      </c>
    </row>
    <row r="510" spans="1:34" x14ac:dyDescent="0.2">
      <c r="A510" s="347">
        <f t="shared" ca="1" si="209"/>
        <v>0.1</v>
      </c>
      <c r="B510" s="304">
        <f t="shared" ca="1" si="210"/>
        <v>5.5999999999999357</v>
      </c>
      <c r="D510" s="306">
        <f t="shared" ca="1" si="211"/>
        <v>-4.3254919749173926</v>
      </c>
      <c r="E510" s="307">
        <f t="shared" ca="1" si="212"/>
        <v>-47.072853380281096</v>
      </c>
      <c r="F510" s="304">
        <f t="shared" ca="1" si="213"/>
        <v>47.271168868418265</v>
      </c>
      <c r="G510" s="306">
        <f t="shared" ca="1" si="214"/>
        <v>32.728437226429214</v>
      </c>
      <c r="H510" s="307">
        <f t="shared" ca="1" si="215"/>
        <v>280.96495315541131</v>
      </c>
      <c r="I510" s="304">
        <f t="shared" ca="1" si="216"/>
        <v>282.8647300476091</v>
      </c>
      <c r="J510" s="306">
        <f t="shared" ca="1" si="217"/>
        <v>142.45312940419817</v>
      </c>
      <c r="K510" s="307">
        <f t="shared" ca="1" si="218"/>
        <v>1313.5749117582604</v>
      </c>
      <c r="L510" s="304">
        <f t="shared" ca="1" si="203"/>
        <v>1321.2766337439602</v>
      </c>
      <c r="M510" s="306">
        <f t="shared" ca="1" si="219"/>
        <v>1.4548331068405707</v>
      </c>
      <c r="N510" s="304">
        <f t="shared" ca="1" si="220"/>
        <v>83.355796917869881</v>
      </c>
      <c r="P510" s="310">
        <f t="shared" ca="1" si="221"/>
        <v>23</v>
      </c>
      <c r="Q510" s="304">
        <f t="shared" ca="1" si="222"/>
        <v>0</v>
      </c>
      <c r="R510" s="306">
        <f t="shared" ca="1" si="223"/>
        <v>0</v>
      </c>
      <c r="S510" s="307">
        <f t="shared" ca="1" si="224"/>
        <v>6.4679999999999849</v>
      </c>
      <c r="T510" s="304">
        <f t="shared" ca="1" si="204"/>
        <v>63.451079999999855</v>
      </c>
      <c r="U510" s="311">
        <f t="shared" ca="1" si="205"/>
        <v>0</v>
      </c>
      <c r="V510" s="306">
        <f t="shared" ca="1" si="206"/>
        <v>1.0740042826165079</v>
      </c>
      <c r="W510" s="304">
        <f t="shared" ca="1" si="207"/>
        <v>234.05910222995814</v>
      </c>
      <c r="Y510" s="314" t="str">
        <f t="shared" ca="1" si="225"/>
        <v/>
      </c>
      <c r="Z510" s="315" t="str">
        <f t="shared" ca="1" si="226"/>
        <v/>
      </c>
      <c r="AA510" s="316" t="str">
        <f t="shared" ca="1" si="227"/>
        <v/>
      </c>
      <c r="AC510" s="310" t="e">
        <f t="shared" ca="1" si="228"/>
        <v>#N/A</v>
      </c>
      <c r="AD510" s="323" t="e">
        <f t="shared" ca="1" si="229"/>
        <v>#N/A</v>
      </c>
      <c r="AE510" s="324">
        <f t="shared" ca="1" si="208"/>
        <v>1313.5749117582604</v>
      </c>
      <c r="AG510" s="306">
        <f t="shared" ca="1" si="230"/>
        <v>-47.257633198385662</v>
      </c>
      <c r="AH510" s="304">
        <f t="shared" ca="1" si="231"/>
        <v>-37.513066028590636</v>
      </c>
    </row>
    <row r="511" spans="1:34" x14ac:dyDescent="0.2">
      <c r="A511" s="347">
        <f t="shared" ca="1" si="209"/>
        <v>0.1</v>
      </c>
      <c r="B511" s="304">
        <f t="shared" ca="1" si="210"/>
        <v>5.6999999999999353</v>
      </c>
      <c r="D511" s="306">
        <f t="shared" ca="1" si="211"/>
        <v>-4.1869906655547098</v>
      </c>
      <c r="E511" s="307">
        <f t="shared" ca="1" si="212"/>
        <v>-45.754204364874056</v>
      </c>
      <c r="F511" s="304">
        <f t="shared" ca="1" si="213"/>
        <v>45.945381790731723</v>
      </c>
      <c r="G511" s="306">
        <f t="shared" ca="1" si="214"/>
        <v>32.309738159873746</v>
      </c>
      <c r="H511" s="307">
        <f t="shared" ca="1" si="215"/>
        <v>276.38953271892387</v>
      </c>
      <c r="I511" s="304">
        <f t="shared" ca="1" si="216"/>
        <v>278.27161726727485</v>
      </c>
      <c r="J511" s="306">
        <f t="shared" ca="1" si="217"/>
        <v>145.70503817351332</v>
      </c>
      <c r="K511" s="307">
        <f t="shared" ca="1" si="218"/>
        <v>1341.4426360519772</v>
      </c>
      <c r="L511" s="304">
        <f t="shared" ca="1" si="203"/>
        <v>1349.3325401720742</v>
      </c>
      <c r="M511" s="306">
        <f t="shared" ca="1" si="219"/>
        <v>1.4544252135361984</v>
      </c>
      <c r="N511" s="304">
        <f t="shared" ca="1" si="220"/>
        <v>83.33242635303769</v>
      </c>
      <c r="P511" s="310">
        <f t="shared" ca="1" si="221"/>
        <v>23</v>
      </c>
      <c r="Q511" s="304">
        <f t="shared" ca="1" si="222"/>
        <v>0</v>
      </c>
      <c r="R511" s="306">
        <f t="shared" ca="1" si="223"/>
        <v>0</v>
      </c>
      <c r="S511" s="307">
        <f t="shared" ca="1" si="224"/>
        <v>6.4679999999999849</v>
      </c>
      <c r="T511" s="304">
        <f t="shared" ca="1" si="204"/>
        <v>63.451079999999855</v>
      </c>
      <c r="U511" s="311">
        <f t="shared" ca="1" si="205"/>
        <v>0</v>
      </c>
      <c r="V511" s="306">
        <f t="shared" ca="1" si="206"/>
        <v>1.0710022354451607</v>
      </c>
      <c r="W511" s="304">
        <f t="shared" ca="1" si="207"/>
        <v>225.8864210681981</v>
      </c>
      <c r="Y511" s="314" t="str">
        <f t="shared" ca="1" si="225"/>
        <v/>
      </c>
      <c r="Z511" s="315" t="str">
        <f t="shared" ca="1" si="226"/>
        <v/>
      </c>
      <c r="AA511" s="316" t="str">
        <f t="shared" ca="1" si="227"/>
        <v/>
      </c>
      <c r="AC511" s="310" t="e">
        <f t="shared" ca="1" si="228"/>
        <v>#N/A</v>
      </c>
      <c r="AD511" s="323" t="e">
        <f t="shared" ca="1" si="229"/>
        <v>#N/A</v>
      </c>
      <c r="AE511" s="324">
        <f t="shared" ca="1" si="208"/>
        <v>1341.4426360519772</v>
      </c>
      <c r="AG511" s="306">
        <f t="shared" ca="1" si="230"/>
        <v>-45.93135929325107</v>
      </c>
      <c r="AH511" s="304">
        <f t="shared" ca="1" si="231"/>
        <v>-36.187245242727073</v>
      </c>
    </row>
    <row r="512" spans="1:34" x14ac:dyDescent="0.2">
      <c r="A512" s="347">
        <f t="shared" ca="1" si="209"/>
        <v>0.1</v>
      </c>
      <c r="B512" s="304">
        <f t="shared" ca="1" si="210"/>
        <v>5.799999999999935</v>
      </c>
      <c r="D512" s="306">
        <f t="shared" ca="1" si="211"/>
        <v>-4.0549419352430371</v>
      </c>
      <c r="E512" s="307">
        <f t="shared" ca="1" si="212"/>
        <v>-44.49748341873196</v>
      </c>
      <c r="F512" s="304">
        <f t="shared" ca="1" si="213"/>
        <v>44.68185968263316</v>
      </c>
      <c r="G512" s="306">
        <f t="shared" ca="1" si="214"/>
        <v>31.904243966349441</v>
      </c>
      <c r="H512" s="307">
        <f t="shared" ca="1" si="215"/>
        <v>271.93978437705067</v>
      </c>
      <c r="I512" s="304">
        <f t="shared" ca="1" si="216"/>
        <v>273.80490702341541</v>
      </c>
      <c r="J512" s="306">
        <f t="shared" ca="1" si="217"/>
        <v>148.91573727982447</v>
      </c>
      <c r="K512" s="307">
        <f t="shared" ca="1" si="218"/>
        <v>1368.8591019067758</v>
      </c>
      <c r="L512" s="304">
        <f t="shared" ca="1" si="203"/>
        <v>1376.9354152183821</v>
      </c>
      <c r="M512" s="306">
        <f t="shared" ca="1" si="219"/>
        <v>1.4540092145050243</v>
      </c>
      <c r="N512" s="304">
        <f t="shared" ca="1" si="220"/>
        <v>83.308591364269887</v>
      </c>
      <c r="P512" s="310">
        <f t="shared" ca="1" si="221"/>
        <v>23</v>
      </c>
      <c r="Q512" s="304">
        <f t="shared" ca="1" si="222"/>
        <v>0</v>
      </c>
      <c r="R512" s="306">
        <f t="shared" ca="1" si="223"/>
        <v>0</v>
      </c>
      <c r="S512" s="307">
        <f t="shared" ca="1" si="224"/>
        <v>6.4679999999999849</v>
      </c>
      <c r="T512" s="304">
        <f t="shared" ca="1" si="204"/>
        <v>63.451079999999855</v>
      </c>
      <c r="U512" s="311">
        <f t="shared" ca="1" si="205"/>
        <v>0</v>
      </c>
      <c r="V512" s="306">
        <f t="shared" ca="1" si="206"/>
        <v>1.0680564409789972</v>
      </c>
      <c r="W512" s="304">
        <f t="shared" ca="1" si="207"/>
        <v>218.09142025994538</v>
      </c>
      <c r="Y512" s="314" t="str">
        <f t="shared" ca="1" si="225"/>
        <v/>
      </c>
      <c r="Z512" s="315" t="str">
        <f t="shared" ca="1" si="226"/>
        <v/>
      </c>
      <c r="AA512" s="316" t="str">
        <f t="shared" ca="1" si="227"/>
        <v/>
      </c>
      <c r="AC512" s="310" t="e">
        <f t="shared" ca="1" si="228"/>
        <v>#N/A</v>
      </c>
      <c r="AD512" s="323" t="e">
        <f t="shared" ca="1" si="229"/>
        <v>#N/A</v>
      </c>
      <c r="AE512" s="324">
        <f t="shared" ca="1" si="208"/>
        <v>1368.8591019067758</v>
      </c>
      <c r="AG512" s="306">
        <f t="shared" ca="1" si="230"/>
        <v>-44.667339355397246</v>
      </c>
      <c r="AH512" s="304">
        <f t="shared" ca="1" si="231"/>
        <v>-34.923689095268806</v>
      </c>
    </row>
    <row r="513" spans="1:34" x14ac:dyDescent="0.2">
      <c r="A513" s="347">
        <f t="shared" ca="1" si="209"/>
        <v>0.1</v>
      </c>
      <c r="B513" s="304">
        <f t="shared" ca="1" si="210"/>
        <v>5.8999999999999346</v>
      </c>
      <c r="D513" s="306">
        <f t="shared" ca="1" si="211"/>
        <v>-3.9289436491197005</v>
      </c>
      <c r="E513" s="307">
        <f t="shared" ca="1" si="212"/>
        <v>-43.298838973840354</v>
      </c>
      <c r="F513" s="304">
        <f t="shared" ca="1" si="213"/>
        <v>43.476730036658857</v>
      </c>
      <c r="G513" s="306">
        <f t="shared" ca="1" si="214"/>
        <v>31.51134960143747</v>
      </c>
      <c r="H513" s="307">
        <f t="shared" ca="1" si="215"/>
        <v>267.60990047966663</v>
      </c>
      <c r="I513" s="304">
        <f t="shared" ca="1" si="216"/>
        <v>269.45876120186017</v>
      </c>
      <c r="J513" s="306">
        <f t="shared" ca="1" si="217"/>
        <v>152.08651695821382</v>
      </c>
      <c r="K513" s="307">
        <f t="shared" ca="1" si="218"/>
        <v>1395.8365861496115</v>
      </c>
      <c r="L513" s="304">
        <f t="shared" ca="1" si="203"/>
        <v>1404.0976048246371</v>
      </c>
      <c r="M513" s="306">
        <f t="shared" ca="1" si="219"/>
        <v>1.4535850015355696</v>
      </c>
      <c r="N513" s="304">
        <f t="shared" ca="1" si="220"/>
        <v>83.284285751505422</v>
      </c>
      <c r="P513" s="310">
        <f t="shared" ca="1" si="221"/>
        <v>23</v>
      </c>
      <c r="Q513" s="304">
        <f t="shared" ca="1" si="222"/>
        <v>0</v>
      </c>
      <c r="R513" s="306">
        <f t="shared" ca="1" si="223"/>
        <v>0</v>
      </c>
      <c r="S513" s="307">
        <f t="shared" ca="1" si="224"/>
        <v>6.4679999999999849</v>
      </c>
      <c r="T513" s="304">
        <f t="shared" ca="1" si="204"/>
        <v>63.451079999999855</v>
      </c>
      <c r="U513" s="311">
        <f t="shared" ca="1" si="205"/>
        <v>0</v>
      </c>
      <c r="V513" s="306">
        <f t="shared" ca="1" si="206"/>
        <v>1.0651651824972188</v>
      </c>
      <c r="W513" s="304">
        <f t="shared" ca="1" si="207"/>
        <v>210.65098916019977</v>
      </c>
      <c r="Y513" s="314" t="str">
        <f t="shared" ca="1" si="225"/>
        <v/>
      </c>
      <c r="Z513" s="315" t="str">
        <f t="shared" ca="1" si="226"/>
        <v/>
      </c>
      <c r="AA513" s="316" t="str">
        <f t="shared" ca="1" si="227"/>
        <v/>
      </c>
      <c r="AC513" s="310" t="e">
        <f t="shared" ca="1" si="228"/>
        <v>#N/A</v>
      </c>
      <c r="AD513" s="323" t="e">
        <f t="shared" ca="1" si="229"/>
        <v>#N/A</v>
      </c>
      <c r="AE513" s="324">
        <f t="shared" ca="1" si="208"/>
        <v>1395.8365861496115</v>
      </c>
      <c r="AG513" s="306">
        <f t="shared" ca="1" si="230"/>
        <v>-43.461700670020001</v>
      </c>
      <c r="AH513" s="304">
        <f t="shared" ca="1" si="231"/>
        <v>-33.718525086571724</v>
      </c>
    </row>
    <row r="514" spans="1:34" x14ac:dyDescent="0.2">
      <c r="A514" s="347">
        <f t="shared" ca="1" si="209"/>
        <v>0.1</v>
      </c>
      <c r="B514" s="304">
        <f t="shared" ca="1" si="210"/>
        <v>5.9999999999999343</v>
      </c>
      <c r="D514" s="306">
        <f t="shared" ca="1" si="211"/>
        <v>-3.8086247623503429</v>
      </c>
      <c r="E514" s="307">
        <f t="shared" ca="1" si="212"/>
        <v>-42.154717268805129</v>
      </c>
      <c r="F514" s="304">
        <f t="shared" ca="1" si="213"/>
        <v>42.326419770555667</v>
      </c>
      <c r="G514" s="306">
        <f t="shared" ca="1" si="214"/>
        <v>31.130487125202436</v>
      </c>
      <c r="H514" s="307">
        <f t="shared" ca="1" si="215"/>
        <v>263.3944287527861</v>
      </c>
      <c r="I514" s="304">
        <f t="shared" ca="1" si="216"/>
        <v>265.22769901852052</v>
      </c>
      <c r="J514" s="306">
        <f t="shared" ca="1" si="217"/>
        <v>155.21860879454582</v>
      </c>
      <c r="K514" s="307">
        <f t="shared" ca="1" si="218"/>
        <v>1422.3868026112341</v>
      </c>
      <c r="L514" s="304">
        <f t="shared" ca="1" si="203"/>
        <v>1430.8308889448549</v>
      </c>
      <c r="M514" s="306">
        <f t="shared" ca="1" si="219"/>
        <v>1.4531524629671795</v>
      </c>
      <c r="N514" s="304">
        <f t="shared" ca="1" si="220"/>
        <v>83.259503117060035</v>
      </c>
      <c r="P514" s="310">
        <f t="shared" ca="1" si="221"/>
        <v>23</v>
      </c>
      <c r="Q514" s="304">
        <f t="shared" ca="1" si="222"/>
        <v>0</v>
      </c>
      <c r="R514" s="306">
        <f t="shared" ca="1" si="223"/>
        <v>0</v>
      </c>
      <c r="S514" s="307">
        <f t="shared" ca="1" si="224"/>
        <v>6.4679999999999849</v>
      </c>
      <c r="T514" s="304">
        <f t="shared" ca="1" si="204"/>
        <v>63.451079999999855</v>
      </c>
      <c r="U514" s="311">
        <f t="shared" ca="1" si="205"/>
        <v>0</v>
      </c>
      <c r="V514" s="306">
        <f t="shared" ca="1" si="206"/>
        <v>1.0623268255070093</v>
      </c>
      <c r="W514" s="304">
        <f t="shared" ca="1" si="207"/>
        <v>203.54377578367834</v>
      </c>
      <c r="Y514" s="314" t="str">
        <f t="shared" ca="1" si="225"/>
        <v/>
      </c>
      <c r="Z514" s="315" t="str">
        <f t="shared" ca="1" si="226"/>
        <v/>
      </c>
      <c r="AA514" s="316" t="str">
        <f t="shared" ca="1" si="227"/>
        <v/>
      </c>
      <c r="AC514" s="310">
        <f t="shared" ca="1" si="228"/>
        <v>5.9999999999999343</v>
      </c>
      <c r="AD514" s="323">
        <f t="shared" ca="1" si="229"/>
        <v>155.21860879454582</v>
      </c>
      <c r="AE514" s="324">
        <f t="shared" ca="1" si="208"/>
        <v>1422.3868026112341</v>
      </c>
      <c r="AG514" s="306">
        <f t="shared" ca="1" si="230"/>
        <v>-42.310869940130317</v>
      </c>
      <c r="AH514" s="304">
        <f t="shared" ca="1" si="231"/>
        <v>-32.568180142269675</v>
      </c>
    </row>
    <row r="515" spans="1:34" x14ac:dyDescent="0.2">
      <c r="A515" s="347">
        <f t="shared" ca="1" si="209"/>
        <v>0.1</v>
      </c>
      <c r="B515" s="304">
        <f t="shared" ca="1" si="210"/>
        <v>6.0999999999999339</v>
      </c>
      <c r="D515" s="306">
        <f t="shared" ca="1" si="211"/>
        <v>-3.6936424620059678</v>
      </c>
      <c r="E515" s="307">
        <f t="shared" ca="1" si="212"/>
        <v>-41.061834974001201</v>
      </c>
      <c r="F515" s="304">
        <f t="shared" ca="1" si="213"/>
        <v>41.227627703631477</v>
      </c>
      <c r="G515" s="306">
        <f t="shared" ca="1" si="214"/>
        <v>30.761122879001839</v>
      </c>
      <c r="H515" s="307">
        <f t="shared" ca="1" si="215"/>
        <v>259.28824525538596</v>
      </c>
      <c r="I515" s="304">
        <f t="shared" ca="1" si="216"/>
        <v>261.10656983001064</v>
      </c>
      <c r="J515" s="306">
        <f t="shared" ca="1" si="217"/>
        <v>158.31318929475603</v>
      </c>
      <c r="K515" s="307">
        <f t="shared" ca="1" si="218"/>
        <v>1448.5209363116428</v>
      </c>
      <c r="L515" s="304">
        <f t="shared" ca="1" si="203"/>
        <v>1457.1465159131512</v>
      </c>
      <c r="M515" s="306">
        <f t="shared" ca="1" si="219"/>
        <v>1.4527114836091135</v>
      </c>
      <c r="N515" s="304">
        <f t="shared" ca="1" si="220"/>
        <v>83.234236860990478</v>
      </c>
      <c r="P515" s="310">
        <f t="shared" ca="1" si="221"/>
        <v>23</v>
      </c>
      <c r="Q515" s="304">
        <f t="shared" ca="1" si="222"/>
        <v>0</v>
      </c>
      <c r="R515" s="306">
        <f t="shared" ca="1" si="223"/>
        <v>0</v>
      </c>
      <c r="S515" s="307">
        <f t="shared" ca="1" si="224"/>
        <v>6.4679999999999849</v>
      </c>
      <c r="T515" s="304">
        <f t="shared" ca="1" si="204"/>
        <v>63.451079999999855</v>
      </c>
      <c r="U515" s="311">
        <f t="shared" ca="1" si="205"/>
        <v>0</v>
      </c>
      <c r="V515" s="306">
        <f t="shared" ca="1" si="206"/>
        <v>1.0595398125818831</v>
      </c>
      <c r="W515" s="304">
        <f t="shared" ca="1" si="207"/>
        <v>196.75002767107503</v>
      </c>
      <c r="Y515" s="314" t="str">
        <f t="shared" ca="1" si="225"/>
        <v/>
      </c>
      <c r="Z515" s="315" t="str">
        <f t="shared" ca="1" si="226"/>
        <v/>
      </c>
      <c r="AA515" s="316" t="str">
        <f t="shared" ca="1" si="227"/>
        <v/>
      </c>
      <c r="AC515" s="310" t="e">
        <f t="shared" ca="1" si="228"/>
        <v>#N/A</v>
      </c>
      <c r="AD515" s="323" t="e">
        <f t="shared" ca="1" si="229"/>
        <v>#N/A</v>
      </c>
      <c r="AE515" s="324">
        <f t="shared" ca="1" si="208"/>
        <v>1448.5209363116428</v>
      </c>
      <c r="AG515" s="306">
        <f t="shared" ca="1" si="230"/>
        <v>-41.211545762660094</v>
      </c>
      <c r="AH515" s="304">
        <f t="shared" ca="1" si="231"/>
        <v>-31.469353089622576</v>
      </c>
    </row>
    <row r="516" spans="1:34" x14ac:dyDescent="0.2">
      <c r="A516" s="347">
        <f t="shared" ca="1" si="209"/>
        <v>0.1</v>
      </c>
      <c r="B516" s="304">
        <f t="shared" ca="1" si="210"/>
        <v>6.1999999999999336</v>
      </c>
      <c r="D516" s="306">
        <f t="shared" ca="1" si="211"/>
        <v>-3.583679612213484</v>
      </c>
      <c r="E516" s="307">
        <f t="shared" ca="1" si="212"/>
        <v>-40.017154721345733</v>
      </c>
      <c r="F516" s="304">
        <f t="shared" ca="1" si="213"/>
        <v>40.177299953519992</v>
      </c>
      <c r="G516" s="306">
        <f t="shared" ca="1" si="214"/>
        <v>30.402754917780491</v>
      </c>
      <c r="H516" s="307">
        <f t="shared" ca="1" si="215"/>
        <v>255.28652978325138</v>
      </c>
      <c r="I516" s="304">
        <f t="shared" ca="1" si="216"/>
        <v>257.09052840461766</v>
      </c>
      <c r="J516" s="306">
        <f t="shared" ca="1" si="217"/>
        <v>161.37138318459515</v>
      </c>
      <c r="K516" s="307">
        <f t="shared" ca="1" si="218"/>
        <v>1474.2496750635746</v>
      </c>
      <c r="L516" s="304">
        <f t="shared" ref="L516:L579" ca="1" si="232">SQRT(pos_x^2+pos_z^2)</f>
        <v>1483.0552342161652</v>
      </c>
      <c r="M516" s="306">
        <f t="shared" ca="1" si="219"/>
        <v>1.4522619446556322</v>
      </c>
      <c r="N516" s="304">
        <f t="shared" ca="1" si="220"/>
        <v>83.208480176229259</v>
      </c>
      <c r="P516" s="310">
        <f t="shared" ca="1" si="221"/>
        <v>23</v>
      </c>
      <c r="Q516" s="304">
        <f t="shared" ca="1" si="222"/>
        <v>0</v>
      </c>
      <c r="R516" s="306">
        <f t="shared" ca="1" si="223"/>
        <v>0</v>
      </c>
      <c r="S516" s="307">
        <f t="shared" ca="1" si="224"/>
        <v>6.4679999999999849</v>
      </c>
      <c r="T516" s="304">
        <f t="shared" ref="T516:T579" ca="1" si="233">m*g</f>
        <v>63.451079999999855</v>
      </c>
      <c r="U516" s="311">
        <f t="shared" ref="U516:U579" ca="1" si="234">IF(pos_xz&lt;L_rampe,Poids*COS(Beta),0)</f>
        <v>0</v>
      </c>
      <c r="V516" s="306">
        <f t="shared" ref="V516:V579" ca="1" si="235">Rho_moyen*(20000-Alt_rampe-pos_z)/(20000+Alt_rampe+pos_z)</f>
        <v>1.0568026585999881</v>
      </c>
      <c r="W516" s="304">
        <f t="shared" ref="W516:W579" ca="1" si="236">1/2*Rho*Sref*Cx*vit_xz^2</f>
        <v>190.25144938026395</v>
      </c>
      <c r="Y516" s="314" t="str">
        <f t="shared" ca="1" si="225"/>
        <v/>
      </c>
      <c r="Z516" s="315" t="str">
        <f t="shared" ca="1" si="226"/>
        <v/>
      </c>
      <c r="AA516" s="316" t="str">
        <f t="shared" ca="1" si="227"/>
        <v/>
      </c>
      <c r="AC516" s="310" t="e">
        <f t="shared" ca="1" si="228"/>
        <v>#N/A</v>
      </c>
      <c r="AD516" s="323" t="e">
        <f t="shared" ca="1" si="229"/>
        <v>#N/A</v>
      </c>
      <c r="AE516" s="324">
        <f t="shared" ref="AE516:AE579" ca="1" si="237">IF(t&lt;T_para, pos_z, NA())</f>
        <v>1474.2496750635746</v>
      </c>
      <c r="AG516" s="306">
        <f t="shared" ca="1" si="230"/>
        <v>-40.160674024970646</v>
      </c>
      <c r="AH516" s="304">
        <f t="shared" ca="1" si="231"/>
        <v>-30.418990054278833</v>
      </c>
    </row>
    <row r="517" spans="1:34" x14ac:dyDescent="0.2">
      <c r="A517" s="347">
        <f t="shared" ref="A517:A580" ca="1" si="238">IF(B516+0.01&lt;=T_ini+ROUNDUP(Temps_fin_propu,0), 0.01, IF(K516&gt;0, 0.1, 0.0001))</f>
        <v>0.1</v>
      </c>
      <c r="B517" s="304">
        <f t="shared" ref="B517:B580" ca="1" si="239">B516+pas</f>
        <v>6.2999999999999332</v>
      </c>
      <c r="D517" s="306">
        <f t="shared" ref="D517:D580" ca="1" si="240">IF(AND(L516&lt;L_rampe,Poussee&lt;Poids*SIN(M516)),0,(-W516+Poussee)/m*COS(M516)-U516/m*SIN(M516))</f>
        <v>-3.4784424662247222</v>
      </c>
      <c r="E517" s="307">
        <f t="shared" ref="E517:E580" ca="1" si="241">IF(AND(L516&lt;L_rampe,Poussee&lt;Poids*SIN(M516)),0,(-W516+Poussee)/m*SIN(M516)+U516/m*COS(M516)-Poids/m)</f>
        <v>-39.017863190512166</v>
      </c>
      <c r="F517" s="304">
        <f t="shared" ref="F517:F580" ca="1" si="242">SQRT(acc_x^2+acc_z^2)</f>
        <v>39.172607903283129</v>
      </c>
      <c r="G517" s="306">
        <f t="shared" ref="G517:G580" ca="1" si="243">G516+acc_x*pas</f>
        <v>30.054910671158019</v>
      </c>
      <c r="H517" s="307">
        <f t="shared" ref="H517:H580" ca="1" si="244">H516+acc_z*pas</f>
        <v>251.38474346420017</v>
      </c>
      <c r="I517" s="304">
        <f t="shared" ref="I517:I580" ca="1" si="245">SQRT(vit_x^2+vit_z^2)</f>
        <v>253.17501239658904</v>
      </c>
      <c r="J517" s="306">
        <f t="shared" ref="J517:J580" ca="1" si="246">J516+0.5*(vit_x+G516)*pas*(K516&gt;=0)</f>
        <v>164.39426646404206</v>
      </c>
      <c r="K517" s="307">
        <f t="shared" ref="K517:K580" ca="1" si="247">K516+0.5*(vit_z+H516)*pas</f>
        <v>1499.5832387259472</v>
      </c>
      <c r="L517" s="304">
        <f t="shared" ca="1" si="232"/>
        <v>1508.567321903153</v>
      </c>
      <c r="M517" s="306">
        <f t="shared" ref="M517:M580" ca="1" si="248">IF(AND(L516&gt;L_rampe,G517&gt;0),ATAN2(G517,H517),$M$4)</f>
        <v>1.4518037235969774</v>
      </c>
      <c r="N517" s="304">
        <f t="shared" ref="N517:N580" ca="1" si="249">DEGREES(Beta)</f>
        <v>83.182226043484334</v>
      </c>
      <c r="P517" s="310">
        <f t="shared" ref="P517:P580" ca="1" si="250">MATCH(t-pas/2-T_ini,CdP_t)</f>
        <v>23</v>
      </c>
      <c r="Q517" s="304">
        <f t="shared" ref="Q517:Q580" ca="1" si="251">(INDEX(CdP,2,i_P+1)-INDEX(CdP,2,i_P+0))/(INDEX(CdP,1,i_P+1)-INDEX(CdP,1,i_P+0))*(t-pas/2-T_ini-INDEX(CdP,1,i_P+0))+INDEX(CdP,2,i_P+0)</f>
        <v>0</v>
      </c>
      <c r="R517" s="306">
        <f t="shared" ref="R517:R580" ca="1" si="252">Poussee/(g*ISP)</f>
        <v>0</v>
      </c>
      <c r="S517" s="307">
        <f t="shared" ref="S517:S580" ca="1" si="253">S516-Débit*pas</f>
        <v>6.4679999999999849</v>
      </c>
      <c r="T517" s="304">
        <f t="shared" ca="1" si="233"/>
        <v>63.451079999999855</v>
      </c>
      <c r="U517" s="311">
        <f t="shared" ca="1" si="234"/>
        <v>0</v>
      </c>
      <c r="V517" s="306">
        <f t="shared" ca="1" si="235"/>
        <v>1.0541139463456741</v>
      </c>
      <c r="W517" s="304">
        <f t="shared" ca="1" si="236"/>
        <v>184.03107463984159</v>
      </c>
      <c r="Y517" s="314" t="str">
        <f t="shared" ref="Y517:Y580" ca="1" si="254">IF(AND(pos_z&lt;=0,K516&gt;0),"Impact balistique","") &amp; IF(AND(H518&lt;0,vit_z&gt;=0),"Apogée","") &amp; IF(AND(Poussee=0,Q516&gt;0),"Fin de propulsion","") &amp; IF(AND(L518&gt;L_rampe,pos_xz&lt;=L_rampe),"Sortie de rampe","")</f>
        <v/>
      </c>
      <c r="Z517" s="315" t="str">
        <f t="shared" ref="Z517:Z580" ca="1" si="255">IF(ABS(t-T_para)&lt;pas/2,"Para","")</f>
        <v/>
      </c>
      <c r="AA517" s="316" t="str">
        <f t="shared" ref="AA517:AA580" ca="1" si="256">IF(ABS(t-T_satellite)&lt;pas/2,"Satellite","")</f>
        <v/>
      </c>
      <c r="AC517" s="310" t="e">
        <f t="shared" ref="AC517:AC580" ca="1" si="257">IF(ABS(t-ROUND(t,0))&lt;0.001,t,NA())</f>
        <v>#N/A</v>
      </c>
      <c r="AD517" s="323" t="e">
        <f t="shared" ref="AD517:AD580" ca="1" si="258">IF(ABS(t-ROUND(t,0))&lt;0.001,pos_x,NA())</f>
        <v>#N/A</v>
      </c>
      <c r="AE517" s="324">
        <f t="shared" ca="1" si="237"/>
        <v>1499.5832387259472</v>
      </c>
      <c r="AG517" s="306">
        <f t="shared" ref="AG517:AG580" ca="1" si="259">IF(AND(L516&lt;L_rampe,Poussee&lt;Poids*SIN(M516)),0,(-W516+Poussee)/m-Poids*SIN(M516)/m)</f>
        <v>-39.155425871686589</v>
      </c>
      <c r="AH517" s="304">
        <f t="shared" ref="AH517:AH580" ca="1" si="260">IF(AND(L516&lt;L_rampe,Poussee&lt;Poids*SIN(M516)), g*SIN(M516), (-W516+Poussee)/m)</f>
        <v>-29.414262427375448</v>
      </c>
    </row>
    <row r="518" spans="1:34" x14ac:dyDescent="0.2">
      <c r="A518" s="347">
        <f t="shared" ca="1" si="238"/>
        <v>0.1</v>
      </c>
      <c r="B518" s="304">
        <f t="shared" ca="1" si="239"/>
        <v>6.3999999999999329</v>
      </c>
      <c r="D518" s="306">
        <f t="shared" ca="1" si="240"/>
        <v>-3.3776586138924651</v>
      </c>
      <c r="E518" s="307">
        <f t="shared" ca="1" si="241"/>
        <v>-38.06135144979249</v>
      </c>
      <c r="F518" s="304">
        <f t="shared" ca="1" si="242"/>
        <v>38.210928435417827</v>
      </c>
      <c r="G518" s="306">
        <f t="shared" ca="1" si="243"/>
        <v>29.717144809768772</v>
      </c>
      <c r="H518" s="307">
        <f t="shared" ca="1" si="244"/>
        <v>247.57860831922093</v>
      </c>
      <c r="I518" s="304">
        <f t="shared" ca="1" si="245"/>
        <v>249.35572179704837</v>
      </c>
      <c r="J518" s="306">
        <f t="shared" ca="1" si="246"/>
        <v>167.3828692380884</v>
      </c>
      <c r="K518" s="307">
        <f t="shared" ca="1" si="247"/>
        <v>1524.5314063151184</v>
      </c>
      <c r="L518" s="304">
        <f t="shared" ca="1" si="232"/>
        <v>1533.6926138426591</v>
      </c>
      <c r="M518" s="306">
        <f t="shared" ca="1" si="248"/>
        <v>1.4513366941261165</v>
      </c>
      <c r="N518" s="304">
        <f t="shared" ca="1" si="249"/>
        <v>83.155467225895777</v>
      </c>
      <c r="P518" s="310">
        <f t="shared" ca="1" si="250"/>
        <v>23</v>
      </c>
      <c r="Q518" s="304">
        <f t="shared" ca="1" si="251"/>
        <v>0</v>
      </c>
      <c r="R518" s="306">
        <f t="shared" ca="1" si="252"/>
        <v>0</v>
      </c>
      <c r="S518" s="307">
        <f t="shared" ca="1" si="253"/>
        <v>6.4679999999999849</v>
      </c>
      <c r="T518" s="304">
        <f t="shared" ca="1" si="233"/>
        <v>63.451079999999855</v>
      </c>
      <c r="U518" s="311">
        <f t="shared" ca="1" si="234"/>
        <v>0</v>
      </c>
      <c r="V518" s="306">
        <f t="shared" ca="1" si="235"/>
        <v>1.0514723224415379</v>
      </c>
      <c r="W518" s="304">
        <f t="shared" ca="1" si="236"/>
        <v>178.07315145999183</v>
      </c>
      <c r="Y518" s="314" t="str">
        <f t="shared" ca="1" si="254"/>
        <v/>
      </c>
      <c r="Z518" s="315" t="str">
        <f t="shared" ca="1" si="255"/>
        <v/>
      </c>
      <c r="AA518" s="316" t="str">
        <f t="shared" ca="1" si="256"/>
        <v/>
      </c>
      <c r="AC518" s="310" t="e">
        <f t="shared" ca="1" si="257"/>
        <v>#N/A</v>
      </c>
      <c r="AD518" s="323" t="e">
        <f t="shared" ca="1" si="258"/>
        <v>#N/A</v>
      </c>
      <c r="AE518" s="324">
        <f t="shared" ca="1" si="237"/>
        <v>1524.5314063151184</v>
      </c>
      <c r="AG518" s="306">
        <f t="shared" ca="1" si="259"/>
        <v>-38.193177938421734</v>
      </c>
      <c r="AH518" s="304">
        <f t="shared" ca="1" si="260"/>
        <v>-28.452547099542674</v>
      </c>
    </row>
    <row r="519" spans="1:34" x14ac:dyDescent="0.2">
      <c r="A519" s="347">
        <f t="shared" ca="1" si="238"/>
        <v>0.1</v>
      </c>
      <c r="B519" s="304">
        <f t="shared" ca="1" si="239"/>
        <v>6.4999999999999325</v>
      </c>
      <c r="D519" s="306">
        <f t="shared" ca="1" si="240"/>
        <v>-3.2810751371785054</v>
      </c>
      <c r="E519" s="307">
        <f t="shared" ca="1" si="241"/>
        <v>-37.145197289425347</v>
      </c>
      <c r="F519" s="304">
        <f t="shared" ca="1" si="242"/>
        <v>37.289826169159639</v>
      </c>
      <c r="G519" s="306">
        <f t="shared" ca="1" si="243"/>
        <v>29.389037296050923</v>
      </c>
      <c r="H519" s="307">
        <f t="shared" ca="1" si="244"/>
        <v>243.86408859027839</v>
      </c>
      <c r="I519" s="304">
        <f t="shared" ca="1" si="245"/>
        <v>245.6286001612105</v>
      </c>
      <c r="J519" s="306">
        <f t="shared" ca="1" si="246"/>
        <v>170.33817834337938</v>
      </c>
      <c r="K519" s="307">
        <f t="shared" ca="1" si="247"/>
        <v>1549.1035411605933</v>
      </c>
      <c r="L519" s="304">
        <f t="shared" ca="1" si="232"/>
        <v>1558.4405270133445</v>
      </c>
      <c r="M519" s="306">
        <f t="shared" ca="1" si="248"/>
        <v>1.450860726041127</v>
      </c>
      <c r="N519" s="304">
        <f t="shared" ca="1" si="249"/>
        <v>83.128196263442945</v>
      </c>
      <c r="P519" s="310">
        <f t="shared" ca="1" si="250"/>
        <v>23</v>
      </c>
      <c r="Q519" s="304">
        <f t="shared" ca="1" si="251"/>
        <v>0</v>
      </c>
      <c r="R519" s="306">
        <f t="shared" ca="1" si="252"/>
        <v>0</v>
      </c>
      <c r="S519" s="307">
        <f t="shared" ca="1" si="253"/>
        <v>6.4679999999999849</v>
      </c>
      <c r="T519" s="304">
        <f t="shared" ca="1" si="233"/>
        <v>63.451079999999855</v>
      </c>
      <c r="U519" s="311">
        <f t="shared" ca="1" si="234"/>
        <v>0</v>
      </c>
      <c r="V519" s="306">
        <f t="shared" ca="1" si="235"/>
        <v>1.0488764935815498</v>
      </c>
      <c r="W519" s="304">
        <f t="shared" ca="1" si="236"/>
        <v>172.36303871612407</v>
      </c>
      <c r="Y519" s="314" t="str">
        <f t="shared" ca="1" si="254"/>
        <v/>
      </c>
      <c r="Z519" s="315" t="str">
        <f t="shared" ca="1" si="255"/>
        <v/>
      </c>
      <c r="AA519" s="316" t="str">
        <f t="shared" ca="1" si="256"/>
        <v/>
      </c>
      <c r="AC519" s="310" t="e">
        <f t="shared" ca="1" si="257"/>
        <v>#N/A</v>
      </c>
      <c r="AD519" s="323" t="e">
        <f t="shared" ca="1" si="258"/>
        <v>#N/A</v>
      </c>
      <c r="AE519" s="324">
        <f t="shared" ca="1" si="237"/>
        <v>1549.1035411605933</v>
      </c>
      <c r="AG519" s="306">
        <f t="shared" ca="1" si="259"/>
        <v>-37.2714945887883</v>
      </c>
      <c r="AH519" s="304">
        <f t="shared" ca="1" si="260"/>
        <v>-27.531408698205357</v>
      </c>
    </row>
    <row r="520" spans="1:34" x14ac:dyDescent="0.2">
      <c r="A520" s="347">
        <f t="shared" ca="1" si="238"/>
        <v>0.1</v>
      </c>
      <c r="B520" s="304">
        <f t="shared" ca="1" si="239"/>
        <v>6.5999999999999321</v>
      </c>
      <c r="D520" s="306">
        <f t="shared" ca="1" si="240"/>
        <v>-3.1884569498580331</v>
      </c>
      <c r="E520" s="307">
        <f t="shared" ca="1" si="241"/>
        <v>-36.267149319108505</v>
      </c>
      <c r="F520" s="304">
        <f t="shared" ca="1" si="242"/>
        <v>36.4070374715605</v>
      </c>
      <c r="G520" s="306">
        <f t="shared" ca="1" si="243"/>
        <v>29.070191601065119</v>
      </c>
      <c r="H520" s="307">
        <f t="shared" ca="1" si="244"/>
        <v>240.23737365836755</v>
      </c>
      <c r="I520" s="304">
        <f t="shared" ca="1" si="245"/>
        <v>241.98981743452089</v>
      </c>
      <c r="J520" s="306">
        <f t="shared" ca="1" si="246"/>
        <v>173.2611397882352</v>
      </c>
      <c r="K520" s="307">
        <f t="shared" ca="1" si="247"/>
        <v>1573.3086142730256</v>
      </c>
      <c r="L520" s="304">
        <f t="shared" ca="1" si="232"/>
        <v>1582.820083997681</v>
      </c>
      <c r="M520" s="306">
        <f t="shared" ca="1" si="248"/>
        <v>1.4503756851430747</v>
      </c>
      <c r="N520" s="304">
        <f t="shared" ca="1" si="249"/>
        <v>83.10040546709331</v>
      </c>
      <c r="P520" s="310">
        <f t="shared" ca="1" si="250"/>
        <v>23</v>
      </c>
      <c r="Q520" s="304">
        <f t="shared" ca="1" si="251"/>
        <v>0</v>
      </c>
      <c r="R520" s="306">
        <f t="shared" ca="1" si="252"/>
        <v>0</v>
      </c>
      <c r="S520" s="307">
        <f t="shared" ca="1" si="253"/>
        <v>6.4679999999999849</v>
      </c>
      <c r="T520" s="304">
        <f t="shared" ca="1" si="233"/>
        <v>63.451079999999855</v>
      </c>
      <c r="U520" s="311">
        <f t="shared" ca="1" si="234"/>
        <v>0</v>
      </c>
      <c r="V520" s="306">
        <f t="shared" ca="1" si="235"/>
        <v>1.0463252230388675</v>
      </c>
      <c r="W520" s="304">
        <f t="shared" ca="1" si="236"/>
        <v>166.88711290990992</v>
      </c>
      <c r="Y520" s="314" t="str">
        <f t="shared" ca="1" si="254"/>
        <v/>
      </c>
      <c r="Z520" s="315" t="str">
        <f t="shared" ca="1" si="255"/>
        <v/>
      </c>
      <c r="AA520" s="316" t="str">
        <f t="shared" ca="1" si="256"/>
        <v/>
      </c>
      <c r="AC520" s="310" t="e">
        <f t="shared" ca="1" si="257"/>
        <v>#N/A</v>
      </c>
      <c r="AD520" s="323" t="e">
        <f t="shared" ca="1" si="258"/>
        <v>#N/A</v>
      </c>
      <c r="AE520" s="324">
        <f t="shared" ca="1" si="237"/>
        <v>1573.3086142730256</v>
      </c>
      <c r="AG520" s="306">
        <f t="shared" ca="1" si="259"/>
        <v>-36.388111925166754</v>
      </c>
      <c r="AH520" s="304">
        <f t="shared" ca="1" si="260"/>
        <v>-26.6485835986587</v>
      </c>
    </row>
    <row r="521" spans="1:34" x14ac:dyDescent="0.2">
      <c r="A521" s="347">
        <f t="shared" ca="1" si="238"/>
        <v>0.1</v>
      </c>
      <c r="B521" s="304">
        <f t="shared" ca="1" si="239"/>
        <v>6.6999999999999318</v>
      </c>
      <c r="D521" s="306">
        <f t="shared" ca="1" si="240"/>
        <v>-3.0995853006224845</v>
      </c>
      <c r="E521" s="307">
        <f t="shared" ca="1" si="241"/>
        <v>-35.425112630504415</v>
      </c>
      <c r="F521" s="304">
        <f t="shared" ca="1" si="242"/>
        <v>35.560456042066704</v>
      </c>
      <c r="G521" s="306">
        <f t="shared" ca="1" si="243"/>
        <v>28.760233071002869</v>
      </c>
      <c r="H521" s="307">
        <f t="shared" ca="1" si="244"/>
        <v>236.6948623953171</v>
      </c>
      <c r="I521" s="304">
        <f t="shared" ca="1" si="245"/>
        <v>238.4357542203696</v>
      </c>
      <c r="J521" s="306">
        <f t="shared" ca="1" si="246"/>
        <v>176.15266102183861</v>
      </c>
      <c r="K521" s="307">
        <f t="shared" ca="1" si="247"/>
        <v>1597.1552260757098</v>
      </c>
      <c r="L521" s="304">
        <f t="shared" ca="1" si="232"/>
        <v>1606.8399348304818</v>
      </c>
      <c r="M521" s="306">
        <f t="shared" ca="1" si="248"/>
        <v>1.4498814331292358</v>
      </c>
      <c r="N521" s="304">
        <f t="shared" ca="1" si="249"/>
        <v>83.072086912684512</v>
      </c>
      <c r="P521" s="310">
        <f t="shared" ca="1" si="250"/>
        <v>23</v>
      </c>
      <c r="Q521" s="304">
        <f t="shared" ca="1" si="251"/>
        <v>0</v>
      </c>
      <c r="R521" s="306">
        <f t="shared" ca="1" si="252"/>
        <v>0</v>
      </c>
      <c r="S521" s="307">
        <f t="shared" ca="1" si="253"/>
        <v>6.4679999999999849</v>
      </c>
      <c r="T521" s="304">
        <f t="shared" ca="1" si="233"/>
        <v>63.451079999999855</v>
      </c>
      <c r="U521" s="311">
        <f t="shared" ca="1" si="234"/>
        <v>0</v>
      </c>
      <c r="V521" s="306">
        <f t="shared" ca="1" si="235"/>
        <v>1.0438173274246314</v>
      </c>
      <c r="W521" s="304">
        <f t="shared" ca="1" si="236"/>
        <v>161.6326839750476</v>
      </c>
      <c r="Y521" s="314" t="str">
        <f t="shared" ca="1" si="254"/>
        <v/>
      </c>
      <c r="Z521" s="315" t="str">
        <f t="shared" ca="1" si="255"/>
        <v/>
      </c>
      <c r="AA521" s="316" t="str">
        <f t="shared" ca="1" si="256"/>
        <v/>
      </c>
      <c r="AC521" s="310" t="e">
        <f t="shared" ca="1" si="257"/>
        <v>#N/A</v>
      </c>
      <c r="AD521" s="323" t="e">
        <f t="shared" ca="1" si="258"/>
        <v>#N/A</v>
      </c>
      <c r="AE521" s="324">
        <f t="shared" ca="1" si="237"/>
        <v>1597.1552260757098</v>
      </c>
      <c r="AG521" s="306">
        <f t="shared" ca="1" si="259"/>
        <v>-35.540923372961238</v>
      </c>
      <c r="AH521" s="304">
        <f t="shared" ca="1" si="260"/>
        <v>-25.801965508644141</v>
      </c>
    </row>
    <row r="522" spans="1:34" x14ac:dyDescent="0.2">
      <c r="A522" s="347">
        <f t="shared" ca="1" si="238"/>
        <v>0.1</v>
      </c>
      <c r="B522" s="304">
        <f t="shared" ca="1" si="239"/>
        <v>6.7999999999999314</v>
      </c>
      <c r="D522" s="306">
        <f t="shared" ca="1" si="240"/>
        <v>-3.0142564213951224</v>
      </c>
      <c r="E522" s="307">
        <f t="shared" ca="1" si="241"/>
        <v>-34.617135850566349</v>
      </c>
      <c r="F522" s="304">
        <f t="shared" ca="1" si="242"/>
        <v>34.748119895477622</v>
      </c>
      <c r="G522" s="306">
        <f t="shared" ca="1" si="243"/>
        <v>28.458807428863356</v>
      </c>
      <c r="H522" s="307">
        <f t="shared" ca="1" si="244"/>
        <v>233.23314881026047</v>
      </c>
      <c r="I522" s="304">
        <f t="shared" ca="1" si="245"/>
        <v>234.96298734954453</v>
      </c>
      <c r="J522" s="306">
        <f t="shared" ca="1" si="246"/>
        <v>179.01361304683192</v>
      </c>
      <c r="K522" s="307">
        <f t="shared" ca="1" si="247"/>
        <v>1620.6516266359888</v>
      </c>
      <c r="L522" s="304">
        <f t="shared" ca="1" si="232"/>
        <v>1630.5083773393983</v>
      </c>
      <c r="M522" s="306">
        <f t="shared" ca="1" si="248"/>
        <v>1.4493778274814995</v>
      </c>
      <c r="N522" s="304">
        <f t="shared" ca="1" si="249"/>
        <v>83.043232434530267</v>
      </c>
      <c r="P522" s="310">
        <f t="shared" ca="1" si="250"/>
        <v>23</v>
      </c>
      <c r="Q522" s="304">
        <f t="shared" ca="1" si="251"/>
        <v>0</v>
      </c>
      <c r="R522" s="306">
        <f t="shared" ca="1" si="252"/>
        <v>0</v>
      </c>
      <c r="S522" s="307">
        <f t="shared" ca="1" si="253"/>
        <v>6.4679999999999849</v>
      </c>
      <c r="T522" s="304">
        <f t="shared" ca="1" si="233"/>
        <v>63.451079999999855</v>
      </c>
      <c r="U522" s="311">
        <f t="shared" ca="1" si="234"/>
        <v>0</v>
      </c>
      <c r="V522" s="306">
        <f t="shared" ca="1" si="235"/>
        <v>1.0413516736763604</v>
      </c>
      <c r="W522" s="304">
        <f t="shared" ca="1" si="236"/>
        <v>156.58791913533551</v>
      </c>
      <c r="Y522" s="314" t="str">
        <f t="shared" ca="1" si="254"/>
        <v/>
      </c>
      <c r="Z522" s="315" t="str">
        <f t="shared" ca="1" si="255"/>
        <v/>
      </c>
      <c r="AA522" s="316" t="str">
        <f t="shared" ca="1" si="256"/>
        <v/>
      </c>
      <c r="AC522" s="310" t="e">
        <f t="shared" ca="1" si="257"/>
        <v>#N/A</v>
      </c>
      <c r="AD522" s="323" t="e">
        <f t="shared" ca="1" si="258"/>
        <v>#N/A</v>
      </c>
      <c r="AE522" s="324">
        <f t="shared" ca="1" si="237"/>
        <v>1620.6516266359888</v>
      </c>
      <c r="AG522" s="306">
        <f t="shared" ca="1" si="259"/>
        <v>-34.727966663220741</v>
      </c>
      <c r="AH522" s="304">
        <f t="shared" ca="1" si="260"/>
        <v>-24.98959245130612</v>
      </c>
    </row>
    <row r="523" spans="1:34" x14ac:dyDescent="0.2">
      <c r="A523" s="347">
        <f t="shared" ca="1" si="238"/>
        <v>0.1</v>
      </c>
      <c r="B523" s="304">
        <f t="shared" ca="1" si="239"/>
        <v>6.8999999999999311</v>
      </c>
      <c r="D523" s="306">
        <f t="shared" ca="1" si="240"/>
        <v>-2.9322803049255932</v>
      </c>
      <c r="E523" s="307">
        <f t="shared" ca="1" si="241"/>
        <v>-33.841399433079552</v>
      </c>
      <c r="F523" s="304">
        <f t="shared" ca="1" si="242"/>
        <v>33.968199589850087</v>
      </c>
      <c r="G523" s="306">
        <f t="shared" ca="1" si="243"/>
        <v>28.165579398370795</v>
      </c>
      <c r="H523" s="307">
        <f t="shared" ca="1" si="244"/>
        <v>229.84900886695252</v>
      </c>
      <c r="I523" s="304">
        <f t="shared" ca="1" si="245"/>
        <v>231.56827662692993</v>
      </c>
      <c r="J523" s="306">
        <f t="shared" ca="1" si="246"/>
        <v>181.84483238819362</v>
      </c>
      <c r="K523" s="307">
        <f t="shared" ca="1" si="247"/>
        <v>1643.8057345198495</v>
      </c>
      <c r="L523" s="304">
        <f t="shared" ca="1" si="232"/>
        <v>1653.8333761013025</v>
      </c>
      <c r="M523" s="306">
        <f t="shared" ca="1" si="248"/>
        <v>1.4488647213497772</v>
      </c>
      <c r="N523" s="304">
        <f t="shared" ca="1" si="249"/>
        <v>83.013833618740293</v>
      </c>
      <c r="P523" s="310">
        <f t="shared" ca="1" si="250"/>
        <v>23</v>
      </c>
      <c r="Q523" s="304">
        <f t="shared" ca="1" si="251"/>
        <v>0</v>
      </c>
      <c r="R523" s="306">
        <f t="shared" ca="1" si="252"/>
        <v>0</v>
      </c>
      <c r="S523" s="307">
        <f t="shared" ca="1" si="253"/>
        <v>6.4679999999999849</v>
      </c>
      <c r="T523" s="304">
        <f t="shared" ca="1" si="233"/>
        <v>63.451079999999855</v>
      </c>
      <c r="U523" s="311">
        <f t="shared" ca="1" si="234"/>
        <v>0</v>
      </c>
      <c r="V523" s="306">
        <f t="shared" ca="1" si="235"/>
        <v>1.0389271762566956</v>
      </c>
      <c r="W523" s="304">
        <f t="shared" ca="1" si="236"/>
        <v>151.74177394381923</v>
      </c>
      <c r="Y523" s="314" t="str">
        <f t="shared" ca="1" si="254"/>
        <v/>
      </c>
      <c r="Z523" s="315" t="str">
        <f t="shared" ca="1" si="255"/>
        <v/>
      </c>
      <c r="AA523" s="316" t="str">
        <f t="shared" ca="1" si="256"/>
        <v/>
      </c>
      <c r="AC523" s="310" t="e">
        <f t="shared" ca="1" si="257"/>
        <v>#N/A</v>
      </c>
      <c r="AD523" s="323" t="e">
        <f t="shared" ca="1" si="258"/>
        <v>#N/A</v>
      </c>
      <c r="AE523" s="324">
        <f t="shared" ca="1" si="237"/>
        <v>1643.8057345198495</v>
      </c>
      <c r="AG523" s="306">
        <f t="shared" ca="1" si="259"/>
        <v>-33.947412060190146</v>
      </c>
      <c r="AH523" s="304">
        <f t="shared" ca="1" si="260"/>
        <v>-24.2096349930946</v>
      </c>
    </row>
    <row r="524" spans="1:34" x14ac:dyDescent="0.2">
      <c r="A524" s="347">
        <f t="shared" ca="1" si="238"/>
        <v>0.1</v>
      </c>
      <c r="B524" s="304">
        <f t="shared" ca="1" si="239"/>
        <v>6.9999999999999307</v>
      </c>
      <c r="D524" s="306">
        <f t="shared" ca="1" si="240"/>
        <v>-2.8534795976753733</v>
      </c>
      <c r="E524" s="307">
        <f t="shared" ca="1" si="241"/>
        <v>-33.09620505444645</v>
      </c>
      <c r="F524" s="304">
        <f t="shared" ca="1" si="242"/>
        <v>33.218987564649176</v>
      </c>
      <c r="G524" s="306">
        <f t="shared" ca="1" si="243"/>
        <v>27.880231438603257</v>
      </c>
      <c r="H524" s="307">
        <f t="shared" ca="1" si="244"/>
        <v>226.53938836150786</v>
      </c>
      <c r="I524" s="304">
        <f t="shared" ca="1" si="245"/>
        <v>228.24855264442789</v>
      </c>
      <c r="J524" s="306">
        <f t="shared" ca="1" si="246"/>
        <v>184.64712293004231</v>
      </c>
      <c r="K524" s="307">
        <f t="shared" ca="1" si="247"/>
        <v>1666.6251543812725</v>
      </c>
      <c r="L524" s="304">
        <f t="shared" ca="1" si="232"/>
        <v>1676.822580126694</v>
      </c>
      <c r="M524" s="306">
        <f t="shared" ca="1" si="248"/>
        <v>1.4483419634302326</v>
      </c>
      <c r="N524" s="304">
        <f t="shared" ca="1" si="249"/>
        <v>82.983881796243352</v>
      </c>
      <c r="P524" s="310">
        <f t="shared" ca="1" si="250"/>
        <v>23</v>
      </c>
      <c r="Q524" s="304">
        <f t="shared" ca="1" si="251"/>
        <v>0</v>
      </c>
      <c r="R524" s="306">
        <f t="shared" ca="1" si="252"/>
        <v>0</v>
      </c>
      <c r="S524" s="307">
        <f t="shared" ca="1" si="253"/>
        <v>6.4679999999999849</v>
      </c>
      <c r="T524" s="304">
        <f t="shared" ca="1" si="233"/>
        <v>63.451079999999855</v>
      </c>
      <c r="U524" s="311">
        <f t="shared" ca="1" si="234"/>
        <v>0</v>
      </c>
      <c r="V524" s="306">
        <f t="shared" ca="1" si="235"/>
        <v>1.0365427945450734</v>
      </c>
      <c r="W524" s="304">
        <f t="shared" ca="1" si="236"/>
        <v>147.0839297366928</v>
      </c>
      <c r="Y524" s="314" t="str">
        <f t="shared" ca="1" si="254"/>
        <v/>
      </c>
      <c r="Z524" s="315" t="str">
        <f t="shared" ca="1" si="255"/>
        <v/>
      </c>
      <c r="AA524" s="316" t="str">
        <f t="shared" ca="1" si="256"/>
        <v/>
      </c>
      <c r="AC524" s="310">
        <f t="shared" ca="1" si="257"/>
        <v>6.9999999999999307</v>
      </c>
      <c r="AD524" s="323">
        <f t="shared" ca="1" si="258"/>
        <v>184.64712293004231</v>
      </c>
      <c r="AE524" s="324">
        <f t="shared" ca="1" si="237"/>
        <v>1666.6251543812725</v>
      </c>
      <c r="AG524" s="306">
        <f t="shared" ca="1" si="259"/>
        <v>-33.197551699090937</v>
      </c>
      <c r="AH524" s="304">
        <f t="shared" ca="1" si="260"/>
        <v>-23.460385581913975</v>
      </c>
    </row>
    <row r="525" spans="1:34" x14ac:dyDescent="0.2">
      <c r="A525" s="347">
        <f t="shared" ca="1" si="238"/>
        <v>0.1</v>
      </c>
      <c r="B525" s="304">
        <f t="shared" ca="1" si="239"/>
        <v>7.0999999999999304</v>
      </c>
      <c r="D525" s="306">
        <f t="shared" ca="1" si="240"/>
        <v>-2.7776885956905688</v>
      </c>
      <c r="E525" s="307">
        <f t="shared" ca="1" si="241"/>
        <v>-32.379965995877761</v>
      </c>
      <c r="F525" s="304">
        <f t="shared" ca="1" si="242"/>
        <v>32.49888847066665</v>
      </c>
      <c r="G525" s="306">
        <f t="shared" ca="1" si="243"/>
        <v>27.602462579034199</v>
      </c>
      <c r="H525" s="307">
        <f t="shared" ca="1" si="244"/>
        <v>223.30139176192009</v>
      </c>
      <c r="I525" s="304">
        <f t="shared" ca="1" si="245"/>
        <v>225.00090556092769</v>
      </c>
      <c r="J525" s="306">
        <f t="shared" ca="1" si="246"/>
        <v>187.42125763092417</v>
      </c>
      <c r="K525" s="307">
        <f t="shared" ca="1" si="247"/>
        <v>1689.1171933874439</v>
      </c>
      <c r="L525" s="304">
        <f t="shared" ca="1" si="232"/>
        <v>1699.4833393737736</v>
      </c>
      <c r="M525" s="306">
        <f t="shared" ca="1" si="248"/>
        <v>1.4478093978381334</v>
      </c>
      <c r="N525" s="304">
        <f t="shared" ca="1" si="249"/>
        <v>82.95336803550218</v>
      </c>
      <c r="P525" s="310">
        <f t="shared" ca="1" si="250"/>
        <v>23</v>
      </c>
      <c r="Q525" s="304">
        <f t="shared" ca="1" si="251"/>
        <v>0</v>
      </c>
      <c r="R525" s="306">
        <f t="shared" ca="1" si="252"/>
        <v>0</v>
      </c>
      <c r="S525" s="307">
        <f t="shared" ca="1" si="253"/>
        <v>6.4679999999999849</v>
      </c>
      <c r="T525" s="304">
        <f t="shared" ca="1" si="233"/>
        <v>63.451079999999855</v>
      </c>
      <c r="U525" s="311">
        <f t="shared" ca="1" si="234"/>
        <v>0</v>
      </c>
      <c r="V525" s="306">
        <f t="shared" ca="1" si="235"/>
        <v>1.0341975304065891</v>
      </c>
      <c r="W525" s="304">
        <f t="shared" ca="1" si="236"/>
        <v>142.6047368266741</v>
      </c>
      <c r="Y525" s="314" t="str">
        <f t="shared" ca="1" si="254"/>
        <v/>
      </c>
      <c r="Z525" s="315" t="str">
        <f t="shared" ca="1" si="255"/>
        <v/>
      </c>
      <c r="AA525" s="316" t="str">
        <f t="shared" ca="1" si="256"/>
        <v/>
      </c>
      <c r="AC525" s="310" t="e">
        <f t="shared" ca="1" si="257"/>
        <v>#N/A</v>
      </c>
      <c r="AD525" s="323" t="e">
        <f t="shared" ca="1" si="258"/>
        <v>#N/A</v>
      </c>
      <c r="AE525" s="324">
        <f t="shared" ca="1" si="237"/>
        <v>1689.1171933874439</v>
      </c>
      <c r="AG525" s="306">
        <f t="shared" ca="1" si="259"/>
        <v>-32.476789915652319</v>
      </c>
      <c r="AH525" s="304">
        <f t="shared" ca="1" si="260"/>
        <v>-22.740248877039754</v>
      </c>
    </row>
    <row r="526" spans="1:34" x14ac:dyDescent="0.2">
      <c r="A526" s="347">
        <f t="shared" ca="1" si="238"/>
        <v>0.1</v>
      </c>
      <c r="B526" s="304">
        <f t="shared" ca="1" si="239"/>
        <v>7.19999999999993</v>
      </c>
      <c r="D526" s="306">
        <f t="shared" ca="1" si="240"/>
        <v>-2.7047523326202643</v>
      </c>
      <c r="E526" s="307">
        <f t="shared" ca="1" si="241"/>
        <v>-31.691198408150804</v>
      </c>
      <c r="F526" s="304">
        <f t="shared" ca="1" si="242"/>
        <v>31.80641038730392</v>
      </c>
      <c r="G526" s="306">
        <f t="shared" ca="1" si="243"/>
        <v>27.331987345772173</v>
      </c>
      <c r="H526" s="307">
        <f t="shared" ca="1" si="244"/>
        <v>220.132271921105</v>
      </c>
      <c r="I526" s="304">
        <f t="shared" ca="1" si="245"/>
        <v>221.82257476058825</v>
      </c>
      <c r="J526" s="306">
        <f t="shared" ca="1" si="246"/>
        <v>190.1679801271645</v>
      </c>
      <c r="K526" s="307">
        <f t="shared" ca="1" si="247"/>
        <v>1711.2888765715952</v>
      </c>
      <c r="L526" s="304">
        <f t="shared" ca="1" si="232"/>
        <v>1721.8227201844322</v>
      </c>
      <c r="M526" s="306">
        <f t="shared" ca="1" si="248"/>
        <v>1.4472668639751172</v>
      </c>
      <c r="N526" s="304">
        <f t="shared" ca="1" si="249"/>
        <v>82.922283134908426</v>
      </c>
      <c r="P526" s="310">
        <f t="shared" ca="1" si="250"/>
        <v>23</v>
      </c>
      <c r="Q526" s="304">
        <f t="shared" ca="1" si="251"/>
        <v>0</v>
      </c>
      <c r="R526" s="306">
        <f t="shared" ca="1" si="252"/>
        <v>0</v>
      </c>
      <c r="S526" s="307">
        <f t="shared" ca="1" si="253"/>
        <v>6.4679999999999849</v>
      </c>
      <c r="T526" s="304">
        <f t="shared" ca="1" si="233"/>
        <v>63.451079999999855</v>
      </c>
      <c r="U526" s="311">
        <f t="shared" ca="1" si="234"/>
        <v>0</v>
      </c>
      <c r="V526" s="306">
        <f t="shared" ca="1" si="235"/>
        <v>1.0318904259237851</v>
      </c>
      <c r="W526" s="304">
        <f t="shared" ca="1" si="236"/>
        <v>138.29516283972092</v>
      </c>
      <c r="Y526" s="314" t="str">
        <f t="shared" ca="1" si="254"/>
        <v/>
      </c>
      <c r="Z526" s="315" t="str">
        <f t="shared" ca="1" si="255"/>
        <v/>
      </c>
      <c r="AA526" s="316" t="str">
        <f t="shared" ca="1" si="256"/>
        <v/>
      </c>
      <c r="AC526" s="310" t="e">
        <f t="shared" ca="1" si="257"/>
        <v>#N/A</v>
      </c>
      <c r="AD526" s="323" t="e">
        <f t="shared" ca="1" si="258"/>
        <v>#N/A</v>
      </c>
      <c r="AE526" s="324">
        <f t="shared" ca="1" si="237"/>
        <v>1711.2888765715952</v>
      </c>
      <c r="AG526" s="306">
        <f t="shared" ca="1" si="259"/>
        <v>-31.783634462988527</v>
      </c>
      <c r="AH526" s="304">
        <f t="shared" ca="1" si="260"/>
        <v>-22.047732966399881</v>
      </c>
    </row>
    <row r="527" spans="1:34" x14ac:dyDescent="0.2">
      <c r="A527" s="347">
        <f t="shared" ca="1" si="238"/>
        <v>0.1</v>
      </c>
      <c r="B527" s="304">
        <f t="shared" ca="1" si="239"/>
        <v>7.2999999999999297</v>
      </c>
      <c r="D527" s="306">
        <f t="shared" ca="1" si="240"/>
        <v>-2.6345257503092738</v>
      </c>
      <c r="E527" s="307">
        <f t="shared" ca="1" si="241"/>
        <v>-31.028513367266797</v>
      </c>
      <c r="F527" s="304">
        <f t="shared" ca="1" si="242"/>
        <v>31.140156835052981</v>
      </c>
      <c r="G527" s="306">
        <f t="shared" ca="1" si="243"/>
        <v>27.068534770741245</v>
      </c>
      <c r="H527" s="307">
        <f t="shared" ca="1" si="244"/>
        <v>217.02942058437833</v>
      </c>
      <c r="I527" s="304">
        <f t="shared" ca="1" si="245"/>
        <v>218.71093930991609</v>
      </c>
      <c r="J527" s="306">
        <f t="shared" ca="1" si="246"/>
        <v>192.88800623299016</v>
      </c>
      <c r="K527" s="307">
        <f t="shared" ca="1" si="247"/>
        <v>1733.1469611968694</v>
      </c>
      <c r="L527" s="304">
        <f t="shared" ca="1" si="232"/>
        <v>1743.8475197259881</v>
      </c>
      <c r="M527" s="306">
        <f t="shared" ca="1" si="248"/>
        <v>1.4467141963906454</v>
      </c>
      <c r="N527" s="304">
        <f t="shared" ca="1" si="249"/>
        <v>82.890617614844501</v>
      </c>
      <c r="P527" s="310">
        <f t="shared" ca="1" si="250"/>
        <v>23</v>
      </c>
      <c r="Q527" s="304">
        <f t="shared" ca="1" si="251"/>
        <v>0</v>
      </c>
      <c r="R527" s="306">
        <f t="shared" ca="1" si="252"/>
        <v>0</v>
      </c>
      <c r="S527" s="307">
        <f t="shared" ca="1" si="253"/>
        <v>6.4679999999999849</v>
      </c>
      <c r="T527" s="304">
        <f t="shared" ca="1" si="233"/>
        <v>63.451079999999855</v>
      </c>
      <c r="U527" s="311">
        <f t="shared" ca="1" si="234"/>
        <v>0</v>
      </c>
      <c r="V527" s="306">
        <f t="shared" ca="1" si="235"/>
        <v>1.0296205612784168</v>
      </c>
      <c r="W527" s="304">
        <f t="shared" ca="1" si="236"/>
        <v>134.1467456679068</v>
      </c>
      <c r="Y527" s="314" t="str">
        <f t="shared" ca="1" si="254"/>
        <v/>
      </c>
      <c r="Z527" s="315" t="str">
        <f t="shared" ca="1" si="255"/>
        <v/>
      </c>
      <c r="AA527" s="316" t="str">
        <f t="shared" ca="1" si="256"/>
        <v/>
      </c>
      <c r="AC527" s="310" t="e">
        <f t="shared" ca="1" si="257"/>
        <v>#N/A</v>
      </c>
      <c r="AD527" s="323" t="e">
        <f t="shared" ca="1" si="258"/>
        <v>#N/A</v>
      </c>
      <c r="AE527" s="324">
        <f t="shared" ca="1" si="237"/>
        <v>1733.1469611968694</v>
      </c>
      <c r="AG527" s="306">
        <f t="shared" ca="1" si="259"/>
        <v>-31.116688523654915</v>
      </c>
      <c r="AH527" s="304">
        <f t="shared" ca="1" si="260"/>
        <v>-21.381441379053996</v>
      </c>
    </row>
    <row r="528" spans="1:34" x14ac:dyDescent="0.2">
      <c r="A528" s="347">
        <f t="shared" ca="1" si="238"/>
        <v>0.1</v>
      </c>
      <c r="B528" s="304">
        <f t="shared" ca="1" si="239"/>
        <v>7.3999999999999293</v>
      </c>
      <c r="D528" s="306">
        <f t="shared" ca="1" si="240"/>
        <v>-2.5668729435013451</v>
      </c>
      <c r="E528" s="307">
        <f t="shared" ca="1" si="241"/>
        <v>-30.390609639941701</v>
      </c>
      <c r="F528" s="304">
        <f t="shared" ca="1" si="242"/>
        <v>30.498819501669185</v>
      </c>
      <c r="G528" s="306">
        <f t="shared" ca="1" si="243"/>
        <v>26.811847476391112</v>
      </c>
      <c r="H528" s="307">
        <f t="shared" ca="1" si="244"/>
        <v>213.99035962038417</v>
      </c>
      <c r="I528" s="304">
        <f t="shared" ca="1" si="245"/>
        <v>215.66350914227147</v>
      </c>
      <c r="J528" s="306">
        <f t="shared" ca="1" si="246"/>
        <v>195.58202534534678</v>
      </c>
      <c r="K528" s="307">
        <f t="shared" ca="1" si="247"/>
        <v>1754.6979502071074</v>
      </c>
      <c r="L528" s="304">
        <f t="shared" ca="1" si="232"/>
        <v>1765.5642795149693</v>
      </c>
      <c r="M528" s="306">
        <f t="shared" ca="1" si="248"/>
        <v>1.4461512246374091</v>
      </c>
      <c r="N528" s="304">
        <f t="shared" ca="1" si="249"/>
        <v>82.858361709398977</v>
      </c>
      <c r="P528" s="310">
        <f t="shared" ca="1" si="250"/>
        <v>23</v>
      </c>
      <c r="Q528" s="304">
        <f t="shared" ca="1" si="251"/>
        <v>0</v>
      </c>
      <c r="R528" s="306">
        <f t="shared" ca="1" si="252"/>
        <v>0</v>
      </c>
      <c r="S528" s="307">
        <f t="shared" ca="1" si="253"/>
        <v>6.4679999999999849</v>
      </c>
      <c r="T528" s="304">
        <f t="shared" ca="1" si="233"/>
        <v>63.451079999999855</v>
      </c>
      <c r="U528" s="311">
        <f t="shared" ca="1" si="234"/>
        <v>0</v>
      </c>
      <c r="V528" s="306">
        <f t="shared" ca="1" si="235"/>
        <v>1.0273870527714459</v>
      </c>
      <c r="W528" s="304">
        <f t="shared" ca="1" si="236"/>
        <v>130.15155057145793</v>
      </c>
      <c r="Y528" s="314" t="str">
        <f t="shared" ca="1" si="254"/>
        <v/>
      </c>
      <c r="Z528" s="315" t="str">
        <f t="shared" ca="1" si="255"/>
        <v/>
      </c>
      <c r="AA528" s="316" t="str">
        <f t="shared" ca="1" si="256"/>
        <v/>
      </c>
      <c r="AC528" s="310" t="e">
        <f t="shared" ca="1" si="257"/>
        <v>#N/A</v>
      </c>
      <c r="AD528" s="323" t="e">
        <f t="shared" ca="1" si="258"/>
        <v>#N/A</v>
      </c>
      <c r="AE528" s="324">
        <f t="shared" ca="1" si="237"/>
        <v>1754.6979502071074</v>
      </c>
      <c r="AG528" s="306">
        <f t="shared" ca="1" si="259"/>
        <v>-30.474643435375803</v>
      </c>
      <c r="AH528" s="304">
        <f t="shared" ca="1" si="260"/>
        <v>-20.740065811364737</v>
      </c>
    </row>
    <row r="529" spans="1:34" x14ac:dyDescent="0.2">
      <c r="A529" s="347">
        <f t="shared" ca="1" si="238"/>
        <v>0.1</v>
      </c>
      <c r="B529" s="304">
        <f t="shared" ca="1" si="239"/>
        <v>7.4999999999999289</v>
      </c>
      <c r="D529" s="306">
        <f t="shared" ca="1" si="240"/>
        <v>-2.5016664711551049</v>
      </c>
      <c r="E529" s="307">
        <f t="shared" ca="1" si="241"/>
        <v>-29.776267087119592</v>
      </c>
      <c r="F529" s="304">
        <f t="shared" ca="1" si="242"/>
        <v>29.881171609834563</v>
      </c>
      <c r="G529" s="306">
        <f t="shared" ca="1" si="243"/>
        <v>26.561680829275602</v>
      </c>
      <c r="H529" s="307">
        <f t="shared" ca="1" si="244"/>
        <v>211.0127329116722</v>
      </c>
      <c r="I529" s="304">
        <f t="shared" ca="1" si="245"/>
        <v>212.67791690565576</v>
      </c>
      <c r="J529" s="306">
        <f t="shared" ca="1" si="246"/>
        <v>198.25070176063011</v>
      </c>
      <c r="K529" s="307">
        <f t="shared" ca="1" si="247"/>
        <v>1775.9481048337102</v>
      </c>
      <c r="L529" s="304">
        <f t="shared" ca="1" si="232"/>
        <v>1786.9792980924624</v>
      </c>
      <c r="M529" s="306">
        <f t="shared" ca="1" si="248"/>
        <v>1.4455777731204364</v>
      </c>
      <c r="N529" s="304">
        <f t="shared" ca="1" si="249"/>
        <v>82.82550535772107</v>
      </c>
      <c r="P529" s="310">
        <f t="shared" ca="1" si="250"/>
        <v>23</v>
      </c>
      <c r="Q529" s="304">
        <f t="shared" ca="1" si="251"/>
        <v>0</v>
      </c>
      <c r="R529" s="306">
        <f t="shared" ca="1" si="252"/>
        <v>0</v>
      </c>
      <c r="S529" s="307">
        <f t="shared" ca="1" si="253"/>
        <v>6.4679999999999849</v>
      </c>
      <c r="T529" s="304">
        <f t="shared" ca="1" si="233"/>
        <v>63.451079999999855</v>
      </c>
      <c r="U529" s="311">
        <f t="shared" ca="1" si="234"/>
        <v>0</v>
      </c>
      <c r="V529" s="306">
        <f t="shared" ca="1" si="235"/>
        <v>1.025189050970563</v>
      </c>
      <c r="W529" s="304">
        <f t="shared" ca="1" si="236"/>
        <v>126.30213101558</v>
      </c>
      <c r="Y529" s="314" t="str">
        <f t="shared" ca="1" si="254"/>
        <v/>
      </c>
      <c r="Z529" s="315" t="str">
        <f t="shared" ca="1" si="255"/>
        <v/>
      </c>
      <c r="AA529" s="316" t="str">
        <f t="shared" ca="1" si="256"/>
        <v/>
      </c>
      <c r="AC529" s="310" t="e">
        <f t="shared" ca="1" si="257"/>
        <v>#N/A</v>
      </c>
      <c r="AD529" s="323" t="e">
        <f t="shared" ca="1" si="258"/>
        <v>#N/A</v>
      </c>
      <c r="AE529" s="324">
        <f t="shared" ca="1" si="237"/>
        <v>1775.9481048337102</v>
      </c>
      <c r="AG529" s="306">
        <f t="shared" ca="1" si="259"/>
        <v>-29.856272058241657</v>
      </c>
      <c r="AH529" s="304">
        <f t="shared" ca="1" si="260"/>
        <v>-20.12237949465959</v>
      </c>
    </row>
    <row r="530" spans="1:34" x14ac:dyDescent="0.2">
      <c r="A530" s="347">
        <f t="shared" ca="1" si="238"/>
        <v>0.1</v>
      </c>
      <c r="B530" s="304">
        <f t="shared" ca="1" si="239"/>
        <v>7.5999999999999286</v>
      </c>
      <c r="D530" s="306">
        <f t="shared" ca="1" si="240"/>
        <v>-2.438786727719914</v>
      </c>
      <c r="E530" s="307">
        <f t="shared" ca="1" si="241"/>
        <v>-29.184340641790193</v>
      </c>
      <c r="F530" s="304">
        <f t="shared" ca="1" si="242"/>
        <v>29.286061862246854</v>
      </c>
      <c r="G530" s="306">
        <f t="shared" ca="1" si="243"/>
        <v>26.31780215650361</v>
      </c>
      <c r="H530" s="307">
        <f t="shared" ca="1" si="244"/>
        <v>208.09429884749318</v>
      </c>
      <c r="I530" s="304">
        <f t="shared" ca="1" si="245"/>
        <v>209.75191041604046</v>
      </c>
      <c r="J530" s="306">
        <f t="shared" ca="1" si="246"/>
        <v>200.89467590991907</v>
      </c>
      <c r="K530" s="307">
        <f t="shared" ca="1" si="247"/>
        <v>1796.9034564216686</v>
      </c>
      <c r="L530" s="304">
        <f t="shared" ca="1" si="232"/>
        <v>1808.0986429144541</v>
      </c>
      <c r="M530" s="306">
        <f t="shared" ca="1" si="248"/>
        <v>1.4449936609396337</v>
      </c>
      <c r="N530" s="304">
        <f t="shared" ca="1" si="249"/>
        <v>82.792038194998881</v>
      </c>
      <c r="P530" s="310">
        <f t="shared" ca="1" si="250"/>
        <v>23</v>
      </c>
      <c r="Q530" s="304">
        <f t="shared" ca="1" si="251"/>
        <v>0</v>
      </c>
      <c r="R530" s="306">
        <f t="shared" ca="1" si="252"/>
        <v>0</v>
      </c>
      <c r="S530" s="307">
        <f t="shared" ca="1" si="253"/>
        <v>6.4679999999999849</v>
      </c>
      <c r="T530" s="304">
        <f t="shared" ca="1" si="233"/>
        <v>63.451079999999855</v>
      </c>
      <c r="U530" s="311">
        <f t="shared" ca="1" si="234"/>
        <v>0</v>
      </c>
      <c r="V530" s="306">
        <f t="shared" ca="1" si="235"/>
        <v>1.0230257389755024</v>
      </c>
      <c r="W530" s="304">
        <f t="shared" ca="1" si="236"/>
        <v>122.59149287381085</v>
      </c>
      <c r="Y530" s="314" t="str">
        <f t="shared" ca="1" si="254"/>
        <v/>
      </c>
      <c r="Z530" s="315" t="str">
        <f t="shared" ca="1" si="255"/>
        <v/>
      </c>
      <c r="AA530" s="316" t="str">
        <f t="shared" ca="1" si="256"/>
        <v/>
      </c>
      <c r="AC530" s="310" t="e">
        <f t="shared" ca="1" si="257"/>
        <v>#N/A</v>
      </c>
      <c r="AD530" s="323" t="e">
        <f t="shared" ca="1" si="258"/>
        <v>#N/A</v>
      </c>
      <c r="AE530" s="324">
        <f t="shared" ca="1" si="237"/>
        <v>1796.9034564216686</v>
      </c>
      <c r="AG530" s="306">
        <f t="shared" ca="1" si="259"/>
        <v>-29.26042271930967</v>
      </c>
      <c r="AH530" s="304">
        <f t="shared" ca="1" si="260"/>
        <v>-19.527231140318538</v>
      </c>
    </row>
    <row r="531" spans="1:34" x14ac:dyDescent="0.2">
      <c r="A531" s="347">
        <f t="shared" ca="1" si="238"/>
        <v>0.1</v>
      </c>
      <c r="B531" s="304">
        <f t="shared" ca="1" si="239"/>
        <v>7.6999999999999282</v>
      </c>
      <c r="D531" s="306">
        <f t="shared" ca="1" si="240"/>
        <v>-2.3781213684592011</v>
      </c>
      <c r="E531" s="307">
        <f t="shared" ca="1" si="241"/>
        <v>-28.613754804481893</v>
      </c>
      <c r="F531" s="304">
        <f t="shared" ca="1" si="242"/>
        <v>28.712408907197823</v>
      </c>
      <c r="G531" s="306">
        <f t="shared" ca="1" si="243"/>
        <v>26.079990019657689</v>
      </c>
      <c r="H531" s="307">
        <f t="shared" ca="1" si="244"/>
        <v>205.23292336704498</v>
      </c>
      <c r="I531" s="304">
        <f t="shared" ca="1" si="245"/>
        <v>206.88334566419019</v>
      </c>
      <c r="J531" s="306">
        <f t="shared" ca="1" si="246"/>
        <v>203.51456551872712</v>
      </c>
      <c r="K531" s="307">
        <f t="shared" ca="1" si="247"/>
        <v>1817.5698175323955</v>
      </c>
      <c r="L531" s="304">
        <f t="shared" ca="1" si="232"/>
        <v>1828.9281615151049</v>
      </c>
      <c r="M531" s="306">
        <f t="shared" ca="1" si="248"/>
        <v>1.4443987017254789</v>
      </c>
      <c r="N531" s="304">
        <f t="shared" ca="1" si="249"/>
        <v>82.757949543045399</v>
      </c>
      <c r="P531" s="310">
        <f t="shared" ca="1" si="250"/>
        <v>23</v>
      </c>
      <c r="Q531" s="304">
        <f t="shared" ca="1" si="251"/>
        <v>0</v>
      </c>
      <c r="R531" s="306">
        <f t="shared" ca="1" si="252"/>
        <v>0</v>
      </c>
      <c r="S531" s="307">
        <f t="shared" ca="1" si="253"/>
        <v>6.4679999999999849</v>
      </c>
      <c r="T531" s="304">
        <f t="shared" ca="1" si="233"/>
        <v>63.451079999999855</v>
      </c>
      <c r="U531" s="311">
        <f t="shared" ca="1" si="234"/>
        <v>0</v>
      </c>
      <c r="V531" s="306">
        <f t="shared" ca="1" si="235"/>
        <v>1.0208963307922618</v>
      </c>
      <c r="W531" s="304">
        <f t="shared" ca="1" si="236"/>
        <v>119.0130616700929</v>
      </c>
      <c r="Y531" s="314" t="str">
        <f t="shared" ca="1" si="254"/>
        <v/>
      </c>
      <c r="Z531" s="315" t="str">
        <f t="shared" ca="1" si="255"/>
        <v/>
      </c>
      <c r="AA531" s="316" t="str">
        <f t="shared" ca="1" si="256"/>
        <v/>
      </c>
      <c r="AC531" s="310" t="e">
        <f t="shared" ca="1" si="257"/>
        <v>#N/A</v>
      </c>
      <c r="AD531" s="323" t="e">
        <f t="shared" ca="1" si="258"/>
        <v>#N/A</v>
      </c>
      <c r="AE531" s="324">
        <f t="shared" ca="1" si="237"/>
        <v>1817.5698175323955</v>
      </c>
      <c r="AG531" s="306">
        <f t="shared" ca="1" si="259"/>
        <v>-28.686013677670299</v>
      </c>
      <c r="AH531" s="304">
        <f t="shared" ca="1" si="260"/>
        <v>-18.953539405351133</v>
      </c>
    </row>
    <row r="532" spans="1:34" x14ac:dyDescent="0.2">
      <c r="A532" s="347">
        <f t="shared" ca="1" si="238"/>
        <v>0.1</v>
      </c>
      <c r="B532" s="304">
        <f t="shared" ca="1" si="239"/>
        <v>7.7999999999999279</v>
      </c>
      <c r="D532" s="306">
        <f t="shared" ca="1" si="240"/>
        <v>-2.3195647835583277</v>
      </c>
      <c r="E532" s="307">
        <f t="shared" ca="1" si="241"/>
        <v>-28.063498606023288</v>
      </c>
      <c r="F532" s="304">
        <f t="shared" ca="1" si="242"/>
        <v>28.159196273959861</v>
      </c>
      <c r="G532" s="306">
        <f t="shared" ca="1" si="243"/>
        <v>25.848033541301856</v>
      </c>
      <c r="H532" s="307">
        <f t="shared" ca="1" si="244"/>
        <v>202.42657350644265</v>
      </c>
      <c r="I532" s="304">
        <f t="shared" ca="1" si="245"/>
        <v>204.07018032900223</v>
      </c>
      <c r="J532" s="306">
        <f t="shared" ca="1" si="246"/>
        <v>206.11096669677511</v>
      </c>
      <c r="K532" s="307">
        <f t="shared" ca="1" si="247"/>
        <v>1837.95279237607</v>
      </c>
      <c r="L532" s="304">
        <f t="shared" ca="1" si="232"/>
        <v>1849.4734919959442</v>
      </c>
      <c r="M532" s="306">
        <f t="shared" ca="1" si="248"/>
        <v>1.4437927034675684</v>
      </c>
      <c r="N532" s="304">
        <f t="shared" ca="1" si="249"/>
        <v>82.723228400474852</v>
      </c>
      <c r="P532" s="310">
        <f t="shared" ca="1" si="250"/>
        <v>23</v>
      </c>
      <c r="Q532" s="304">
        <f t="shared" ca="1" si="251"/>
        <v>0</v>
      </c>
      <c r="R532" s="306">
        <f t="shared" ca="1" si="252"/>
        <v>0</v>
      </c>
      <c r="S532" s="307">
        <f t="shared" ca="1" si="253"/>
        <v>6.4679999999999849</v>
      </c>
      <c r="T532" s="304">
        <f t="shared" ca="1" si="233"/>
        <v>63.451079999999855</v>
      </c>
      <c r="U532" s="311">
        <f t="shared" ca="1" si="234"/>
        <v>0</v>
      </c>
      <c r="V532" s="306">
        <f t="shared" ca="1" si="235"/>
        <v>1.0188000698081268</v>
      </c>
      <c r="W532" s="304">
        <f t="shared" ca="1" si="236"/>
        <v>115.5606525673364</v>
      </c>
      <c r="Y532" s="314" t="str">
        <f t="shared" ca="1" si="254"/>
        <v/>
      </c>
      <c r="Z532" s="315" t="str">
        <f t="shared" ca="1" si="255"/>
        <v/>
      </c>
      <c r="AA532" s="316" t="str">
        <f t="shared" ca="1" si="256"/>
        <v/>
      </c>
      <c r="AC532" s="310" t="e">
        <f t="shared" ca="1" si="257"/>
        <v>#N/A</v>
      </c>
      <c r="AD532" s="323" t="e">
        <f t="shared" ca="1" si="258"/>
        <v>#N/A</v>
      </c>
      <c r="AE532" s="324">
        <f t="shared" ca="1" si="237"/>
        <v>1837.95279237607</v>
      </c>
      <c r="AG532" s="306">
        <f t="shared" ca="1" si="259"/>
        <v>-28.132028059297298</v>
      </c>
      <c r="AH532" s="304">
        <f t="shared" ca="1" si="260"/>
        <v>-18.400287827781877</v>
      </c>
    </row>
    <row r="533" spans="1:34" x14ac:dyDescent="0.2">
      <c r="A533" s="347">
        <f t="shared" ca="1" si="238"/>
        <v>0.1</v>
      </c>
      <c r="B533" s="304">
        <f t="shared" ca="1" si="239"/>
        <v>7.8999999999999275</v>
      </c>
      <c r="D533" s="306">
        <f t="shared" ca="1" si="240"/>
        <v>-2.2630176163253051</v>
      </c>
      <c r="E533" s="307">
        <f t="shared" ca="1" si="241"/>
        <v>-27.532620992636502</v>
      </c>
      <c r="F533" s="304">
        <f t="shared" ca="1" si="242"/>
        <v>27.625467732799873</v>
      </c>
      <c r="G533" s="306">
        <f t="shared" ca="1" si="243"/>
        <v>25.621731779669325</v>
      </c>
      <c r="H533" s="307">
        <f t="shared" ca="1" si="244"/>
        <v>199.673311407179</v>
      </c>
      <c r="I533" s="304">
        <f t="shared" ca="1" si="245"/>
        <v>201.31046775490239</v>
      </c>
      <c r="J533" s="306">
        <f t="shared" ca="1" si="246"/>
        <v>208.68445496282368</v>
      </c>
      <c r="K533" s="307">
        <f t="shared" ca="1" si="247"/>
        <v>1858.0577866217511</v>
      </c>
      <c r="L533" s="304">
        <f t="shared" ca="1" si="232"/>
        <v>1869.740072889505</v>
      </c>
      <c r="M533" s="306">
        <f t="shared" ca="1" si="248"/>
        <v>1.4431754683357012</v>
      </c>
      <c r="N533" s="304">
        <f t="shared" ca="1" si="249"/>
        <v>82.68786343245165</v>
      </c>
      <c r="P533" s="310">
        <f t="shared" ca="1" si="250"/>
        <v>23</v>
      </c>
      <c r="Q533" s="304">
        <f t="shared" ca="1" si="251"/>
        <v>0</v>
      </c>
      <c r="R533" s="306">
        <f t="shared" ca="1" si="252"/>
        <v>0</v>
      </c>
      <c r="S533" s="307">
        <f t="shared" ca="1" si="253"/>
        <v>6.4679999999999849</v>
      </c>
      <c r="T533" s="304">
        <f t="shared" ca="1" si="233"/>
        <v>63.451079999999855</v>
      </c>
      <c r="U533" s="311">
        <f t="shared" ca="1" si="234"/>
        <v>0</v>
      </c>
      <c r="V533" s="306">
        <f t="shared" ca="1" si="235"/>
        <v>1.0167362273600773</v>
      </c>
      <c r="W533" s="304">
        <f t="shared" ca="1" si="236"/>
        <v>112.22844284156447</v>
      </c>
      <c r="Y533" s="314" t="str">
        <f t="shared" ca="1" si="254"/>
        <v/>
      </c>
      <c r="Z533" s="315" t="str">
        <f t="shared" ca="1" si="255"/>
        <v/>
      </c>
      <c r="AA533" s="316" t="str">
        <f t="shared" ca="1" si="256"/>
        <v/>
      </c>
      <c r="AC533" s="310" t="e">
        <f t="shared" ca="1" si="257"/>
        <v>#N/A</v>
      </c>
      <c r="AD533" s="323" t="e">
        <f t="shared" ca="1" si="258"/>
        <v>#N/A</v>
      </c>
      <c r="AE533" s="324">
        <f t="shared" ca="1" si="237"/>
        <v>1858.0577866217511</v>
      </c>
      <c r="AG533" s="306">
        <f t="shared" ca="1" si="259"/>
        <v>-27.597509216499194</v>
      </c>
      <c r="AH533" s="304">
        <f t="shared" ca="1" si="260"/>
        <v>-17.86652018666306</v>
      </c>
    </row>
    <row r="534" spans="1:34" x14ac:dyDescent="0.2">
      <c r="A534" s="347">
        <f t="shared" ca="1" si="238"/>
        <v>0.1</v>
      </c>
      <c r="B534" s="304">
        <f t="shared" ca="1" si="239"/>
        <v>7.9999999999999272</v>
      </c>
      <c r="D534" s="306">
        <f t="shared" ca="1" si="240"/>
        <v>-2.2083863212954697</v>
      </c>
      <c r="E534" s="307">
        <f t="shared" ca="1" si="241"/>
        <v>-27.020226593242235</v>
      </c>
      <c r="F534" s="304">
        <f t="shared" ca="1" si="242"/>
        <v>27.110323039282285</v>
      </c>
      <c r="G534" s="306">
        <f t="shared" ca="1" si="243"/>
        <v>25.400893147539779</v>
      </c>
      <c r="H534" s="307">
        <f t="shared" ca="1" si="244"/>
        <v>196.97128874785477</v>
      </c>
      <c r="I534" s="304">
        <f t="shared" ca="1" si="245"/>
        <v>198.60235135487071</v>
      </c>
      <c r="J534" s="306">
        <f t="shared" ca="1" si="246"/>
        <v>211.23558620918413</v>
      </c>
      <c r="K534" s="307">
        <f t="shared" ca="1" si="247"/>
        <v>1877.8900166295027</v>
      </c>
      <c r="L534" s="304">
        <f t="shared" ca="1" si="232"/>
        <v>1889.733152441871</v>
      </c>
      <c r="M534" s="306">
        <f t="shared" ca="1" si="248"/>
        <v>1.4425467924931643</v>
      </c>
      <c r="N534" s="304">
        <f t="shared" ca="1" si="249"/>
        <v>82.651842959992464</v>
      </c>
      <c r="P534" s="310">
        <f t="shared" ca="1" si="250"/>
        <v>23</v>
      </c>
      <c r="Q534" s="304">
        <f t="shared" ca="1" si="251"/>
        <v>0</v>
      </c>
      <c r="R534" s="306">
        <f t="shared" ca="1" si="252"/>
        <v>0</v>
      </c>
      <c r="S534" s="307">
        <f t="shared" ca="1" si="253"/>
        <v>6.4679999999999849</v>
      </c>
      <c r="T534" s="304">
        <f t="shared" ca="1" si="233"/>
        <v>63.451079999999855</v>
      </c>
      <c r="U534" s="311">
        <f t="shared" ca="1" si="234"/>
        <v>0</v>
      </c>
      <c r="V534" s="306">
        <f t="shared" ca="1" si="235"/>
        <v>1.0147041013897975</v>
      </c>
      <c r="W534" s="304">
        <f t="shared" ca="1" si="236"/>
        <v>109.01094660836203</v>
      </c>
      <c r="Y534" s="314" t="str">
        <f t="shared" ca="1" si="254"/>
        <v/>
      </c>
      <c r="Z534" s="315" t="str">
        <f t="shared" ca="1" si="255"/>
        <v/>
      </c>
      <c r="AA534" s="316" t="str">
        <f t="shared" ca="1" si="256"/>
        <v/>
      </c>
      <c r="AC534" s="310">
        <f t="shared" ca="1" si="257"/>
        <v>7.9999999999999272</v>
      </c>
      <c r="AD534" s="323">
        <f t="shared" ca="1" si="258"/>
        <v>211.23558620918413</v>
      </c>
      <c r="AE534" s="324">
        <f t="shared" ca="1" si="237"/>
        <v>1877.8900166295027</v>
      </c>
      <c r="AG534" s="306">
        <f t="shared" ca="1" si="259"/>
        <v>-27.081556471632382</v>
      </c>
      <c r="AH534" s="304">
        <f t="shared" ca="1" si="260"/>
        <v>-17.351336246376736</v>
      </c>
    </row>
    <row r="535" spans="1:34" x14ac:dyDescent="0.2">
      <c r="A535" s="347">
        <f t="shared" ca="1" si="238"/>
        <v>0.1</v>
      </c>
      <c r="B535" s="304">
        <f t="shared" ca="1" si="239"/>
        <v>8.0999999999999268</v>
      </c>
      <c r="D535" s="306">
        <f t="shared" ca="1" si="240"/>
        <v>-2.1555827584949445</v>
      </c>
      <c r="E535" s="307">
        <f t="shared" ca="1" si="241"/>
        <v>-26.525471833104753</v>
      </c>
      <c r="F535" s="304">
        <f t="shared" ca="1" si="242"/>
        <v>26.612914026794478</v>
      </c>
      <c r="G535" s="306">
        <f t="shared" ca="1" si="243"/>
        <v>25.185334871690284</v>
      </c>
      <c r="H535" s="307">
        <f t="shared" ca="1" si="244"/>
        <v>194.3187415645443</v>
      </c>
      <c r="I535" s="304">
        <f t="shared" ca="1" si="245"/>
        <v>195.94405940427828</v>
      </c>
      <c r="J535" s="306">
        <f t="shared" ca="1" si="246"/>
        <v>213.76489761014562</v>
      </c>
      <c r="K535" s="307">
        <f t="shared" ca="1" si="247"/>
        <v>1897.4545181451226</v>
      </c>
      <c r="L535" s="304">
        <f t="shared" ca="1" si="232"/>
        <v>1909.4577973549494</v>
      </c>
      <c r="M535" s="306">
        <f t="shared" ca="1" si="248"/>
        <v>1.4419064659018681</v>
      </c>
      <c r="N535" s="304">
        <f t="shared" ca="1" si="249"/>
        <v>82.615154948801191</v>
      </c>
      <c r="P535" s="310">
        <f t="shared" ca="1" si="250"/>
        <v>23</v>
      </c>
      <c r="Q535" s="304">
        <f t="shared" ca="1" si="251"/>
        <v>0</v>
      </c>
      <c r="R535" s="306">
        <f t="shared" ca="1" si="252"/>
        <v>0</v>
      </c>
      <c r="S535" s="307">
        <f t="shared" ca="1" si="253"/>
        <v>6.4679999999999849</v>
      </c>
      <c r="T535" s="304">
        <f t="shared" ca="1" si="233"/>
        <v>63.451079999999855</v>
      </c>
      <c r="U535" s="311">
        <f t="shared" ca="1" si="234"/>
        <v>0</v>
      </c>
      <c r="V535" s="306">
        <f t="shared" ca="1" si="235"/>
        <v>1.0127030151790752</v>
      </c>
      <c r="W535" s="304">
        <f t="shared" ca="1" si="236"/>
        <v>105.90299159276181</v>
      </c>
      <c r="Y535" s="314" t="str">
        <f t="shared" ca="1" si="254"/>
        <v/>
      </c>
      <c r="Z535" s="315" t="str">
        <f t="shared" ca="1" si="255"/>
        <v/>
      </c>
      <c r="AA535" s="316" t="str">
        <f t="shared" ca="1" si="256"/>
        <v/>
      </c>
      <c r="AC535" s="310" t="e">
        <f t="shared" ca="1" si="257"/>
        <v>#N/A</v>
      </c>
      <c r="AD535" s="323" t="e">
        <f t="shared" ca="1" si="258"/>
        <v>#N/A</v>
      </c>
      <c r="AE535" s="324">
        <f t="shared" ca="1" si="237"/>
        <v>1897.4545181451226</v>
      </c>
      <c r="AG535" s="306">
        <f t="shared" ca="1" si="259"/>
        <v>-26.583321209007906</v>
      </c>
      <c r="AH535" s="304">
        <f t="shared" ca="1" si="260"/>
        <v>-16.853887849159289</v>
      </c>
    </row>
    <row r="536" spans="1:34" x14ac:dyDescent="0.2">
      <c r="A536" s="347">
        <f t="shared" ca="1" si="238"/>
        <v>0.1</v>
      </c>
      <c r="B536" s="304">
        <f t="shared" ca="1" si="239"/>
        <v>8.1999999999999265</v>
      </c>
      <c r="D536" s="306">
        <f t="shared" ca="1" si="240"/>
        <v>-2.1045238205095171</v>
      </c>
      <c r="E536" s="307">
        <f t="shared" ca="1" si="241"/>
        <v>-26.047561361699294</v>
      </c>
      <c r="F536" s="304">
        <f t="shared" ca="1" si="242"/>
        <v>26.132441015002446</v>
      </c>
      <c r="G536" s="306">
        <f t="shared" ca="1" si="243"/>
        <v>24.974882489639331</v>
      </c>
      <c r="H536" s="307">
        <f t="shared" ca="1" si="244"/>
        <v>191.71398542837437</v>
      </c>
      <c r="I536" s="304">
        <f t="shared" ca="1" si="245"/>
        <v>193.33390019394486</v>
      </c>
      <c r="J536" s="306">
        <f t="shared" ca="1" si="246"/>
        <v>216.27290847821212</v>
      </c>
      <c r="K536" s="307">
        <f t="shared" ca="1" si="247"/>
        <v>1916.7561544947685</v>
      </c>
      <c r="L536" s="304">
        <f t="shared" ca="1" si="232"/>
        <v>1928.9189010259602</v>
      </c>
      <c r="M536" s="306">
        <f t="shared" ca="1" si="248"/>
        <v>1.4412542721189534</v>
      </c>
      <c r="N536" s="304">
        <f t="shared" ca="1" si="249"/>
        <v>82.577786997615505</v>
      </c>
      <c r="P536" s="310">
        <f t="shared" ca="1" si="250"/>
        <v>23</v>
      </c>
      <c r="Q536" s="304">
        <f t="shared" ca="1" si="251"/>
        <v>0</v>
      </c>
      <c r="R536" s="306">
        <f t="shared" ca="1" si="252"/>
        <v>0</v>
      </c>
      <c r="S536" s="307">
        <f t="shared" ca="1" si="253"/>
        <v>6.4679999999999849</v>
      </c>
      <c r="T536" s="304">
        <f t="shared" ca="1" si="233"/>
        <v>63.451079999999855</v>
      </c>
      <c r="U536" s="311">
        <f t="shared" ca="1" si="234"/>
        <v>0</v>
      </c>
      <c r="V536" s="306">
        <f t="shared" ca="1" si="235"/>
        <v>1.0107323161598849</v>
      </c>
      <c r="W536" s="304">
        <f t="shared" ca="1" si="236"/>
        <v>102.89969775529455</v>
      </c>
      <c r="Y536" s="314" t="str">
        <f t="shared" ca="1" si="254"/>
        <v/>
      </c>
      <c r="Z536" s="315" t="str">
        <f t="shared" ca="1" si="255"/>
        <v/>
      </c>
      <c r="AA536" s="316" t="str">
        <f t="shared" ca="1" si="256"/>
        <v/>
      </c>
      <c r="AC536" s="310" t="e">
        <f t="shared" ca="1" si="257"/>
        <v>#N/A</v>
      </c>
      <c r="AD536" s="323" t="e">
        <f t="shared" ca="1" si="258"/>
        <v>#N/A</v>
      </c>
      <c r="AE536" s="324">
        <f t="shared" ca="1" si="237"/>
        <v>1916.7561544947685</v>
      </c>
      <c r="AG536" s="306">
        <f t="shared" ca="1" si="259"/>
        <v>-26.102003282697964</v>
      </c>
      <c r="AH536" s="304">
        <f t="shared" ca="1" si="260"/>
        <v>-16.373375323556285</v>
      </c>
    </row>
    <row r="537" spans="1:34" x14ac:dyDescent="0.2">
      <c r="A537" s="347">
        <f t="shared" ca="1" si="238"/>
        <v>0.1</v>
      </c>
      <c r="B537" s="304">
        <f t="shared" ca="1" si="239"/>
        <v>8.2999999999999261</v>
      </c>
      <c r="D537" s="306">
        <f t="shared" ca="1" si="240"/>
        <v>-2.0551310893524022</v>
      </c>
      <c r="E537" s="307">
        <f t="shared" ca="1" si="241"/>
        <v>-25.585744766004531</v>
      </c>
      <c r="F537" s="304">
        <f t="shared" ca="1" si="242"/>
        <v>25.668149505282827</v>
      </c>
      <c r="G537" s="306">
        <f t="shared" ca="1" si="243"/>
        <v>24.769369380704092</v>
      </c>
      <c r="H537" s="307">
        <f t="shared" ca="1" si="244"/>
        <v>189.15541095177392</v>
      </c>
      <c r="I537" s="304">
        <f t="shared" ca="1" si="245"/>
        <v>190.77025751372312</v>
      </c>
      <c r="J537" s="306">
        <f t="shared" ca="1" si="246"/>
        <v>218.76012107172929</v>
      </c>
      <c r="K537" s="307">
        <f t="shared" ca="1" si="247"/>
        <v>1935.7996243137759</v>
      </c>
      <c r="L537" s="304">
        <f t="shared" ca="1" si="232"/>
        <v>1948.1211913186187</v>
      </c>
      <c r="M537" s="306">
        <f t="shared" ca="1" si="248"/>
        <v>1.4405899880844755</v>
      </c>
      <c r="N537" s="304">
        <f t="shared" ca="1" si="249"/>
        <v>82.539726326042</v>
      </c>
      <c r="P537" s="310">
        <f t="shared" ca="1" si="250"/>
        <v>23</v>
      </c>
      <c r="Q537" s="304">
        <f t="shared" ca="1" si="251"/>
        <v>0</v>
      </c>
      <c r="R537" s="306">
        <f t="shared" ca="1" si="252"/>
        <v>0</v>
      </c>
      <c r="S537" s="307">
        <f t="shared" ca="1" si="253"/>
        <v>6.4679999999999849</v>
      </c>
      <c r="T537" s="304">
        <f t="shared" ca="1" si="233"/>
        <v>63.451079999999855</v>
      </c>
      <c r="U537" s="311">
        <f t="shared" ca="1" si="234"/>
        <v>0</v>
      </c>
      <c r="V537" s="306">
        <f t="shared" ca="1" si="235"/>
        <v>1.0087913747939281</v>
      </c>
      <c r="W537" s="304">
        <f t="shared" ca="1" si="236"/>
        <v>99.996457606074543</v>
      </c>
      <c r="Y537" s="314" t="str">
        <f t="shared" ca="1" si="254"/>
        <v/>
      </c>
      <c r="Z537" s="315" t="str">
        <f t="shared" ca="1" si="255"/>
        <v/>
      </c>
      <c r="AA537" s="316" t="str">
        <f t="shared" ca="1" si="256"/>
        <v/>
      </c>
      <c r="AC537" s="310" t="e">
        <f t="shared" ca="1" si="257"/>
        <v>#N/A</v>
      </c>
      <c r="AD537" s="323" t="e">
        <f t="shared" ca="1" si="258"/>
        <v>#N/A</v>
      </c>
      <c r="AE537" s="324">
        <f t="shared" ca="1" si="237"/>
        <v>1935.7996243137759</v>
      </c>
      <c r="AG537" s="306">
        <f t="shared" ca="1" si="259"/>
        <v>-25.636847711286762</v>
      </c>
      <c r="AH537" s="304">
        <f t="shared" ca="1" si="260"/>
        <v>-15.909044179853865</v>
      </c>
    </row>
    <row r="538" spans="1:34" x14ac:dyDescent="0.2">
      <c r="A538" s="347">
        <f t="shared" ca="1" si="238"/>
        <v>0.1</v>
      </c>
      <c r="B538" s="304">
        <f t="shared" ca="1" si="239"/>
        <v>8.3999999999999257</v>
      </c>
      <c r="D538" s="306">
        <f t="shared" ca="1" si="240"/>
        <v>-2.0073305204316125</v>
      </c>
      <c r="E538" s="307">
        <f t="shared" ca="1" si="241"/>
        <v>-25.139313543366718</v>
      </c>
      <c r="F538" s="304">
        <f t="shared" ca="1" si="242"/>
        <v>25.219327137137451</v>
      </c>
      <c r="G538" s="306">
        <f t="shared" ca="1" si="243"/>
        <v>24.568636328660929</v>
      </c>
      <c r="H538" s="307">
        <f t="shared" ca="1" si="244"/>
        <v>186.64147959743724</v>
      </c>
      <c r="I538" s="304">
        <f t="shared" ca="1" si="245"/>
        <v>188.2515864405147</v>
      </c>
      <c r="J538" s="306">
        <f t="shared" ca="1" si="246"/>
        <v>221.22702135719754</v>
      </c>
      <c r="K538" s="307">
        <f t="shared" ca="1" si="247"/>
        <v>1954.5894688412363</v>
      </c>
      <c r="L538" s="304">
        <f t="shared" ca="1" si="232"/>
        <v>1967.0692378977524</v>
      </c>
      <c r="M538" s="306">
        <f t="shared" ca="1" si="248"/>
        <v>1.4399133838997458</v>
      </c>
      <c r="N538" s="304">
        <f t="shared" ca="1" si="249"/>
        <v>82.500959761856095</v>
      </c>
      <c r="P538" s="310">
        <f t="shared" ca="1" si="250"/>
        <v>23</v>
      </c>
      <c r="Q538" s="304">
        <f t="shared" ca="1" si="251"/>
        <v>0</v>
      </c>
      <c r="R538" s="306">
        <f t="shared" ca="1" si="252"/>
        <v>0</v>
      </c>
      <c r="S538" s="307">
        <f t="shared" ca="1" si="253"/>
        <v>6.4679999999999849</v>
      </c>
      <c r="T538" s="304">
        <f t="shared" ca="1" si="233"/>
        <v>63.451079999999855</v>
      </c>
      <c r="U538" s="311">
        <f t="shared" ca="1" si="234"/>
        <v>0</v>
      </c>
      <c r="V538" s="306">
        <f t="shared" ca="1" si="235"/>
        <v>1.0068795835168136</v>
      </c>
      <c r="W538" s="304">
        <f t="shared" ca="1" si="236"/>
        <v>97.188918055773456</v>
      </c>
      <c r="Y538" s="314" t="str">
        <f t="shared" ca="1" si="254"/>
        <v/>
      </c>
      <c r="Z538" s="315" t="str">
        <f t="shared" ca="1" si="255"/>
        <v/>
      </c>
      <c r="AA538" s="316" t="str">
        <f t="shared" ca="1" si="256"/>
        <v/>
      </c>
      <c r="AC538" s="310" t="e">
        <f t="shared" ca="1" si="257"/>
        <v>#N/A</v>
      </c>
      <c r="AD538" s="323" t="e">
        <f t="shared" ca="1" si="258"/>
        <v>#N/A</v>
      </c>
      <c r="AE538" s="324">
        <f t="shared" ca="1" si="237"/>
        <v>1954.5894688412363</v>
      </c>
      <c r="AG538" s="306">
        <f t="shared" ca="1" si="259"/>
        <v>-25.187141633569961</v>
      </c>
      <c r="AH538" s="304">
        <f t="shared" ca="1" si="260"/>
        <v>-15.460182066492699</v>
      </c>
    </row>
    <row r="539" spans="1:34" x14ac:dyDescent="0.2">
      <c r="A539" s="347">
        <f t="shared" ca="1" si="238"/>
        <v>0.1</v>
      </c>
      <c r="B539" s="304">
        <f t="shared" ca="1" si="239"/>
        <v>8.4999999999999254</v>
      </c>
      <c r="D539" s="306">
        <f t="shared" ca="1" si="240"/>
        <v>-1.9610521511903318</v>
      </c>
      <c r="E539" s="307">
        <f t="shared" ca="1" si="241"/>
        <v>-24.707598310693438</v>
      </c>
      <c r="F539" s="304">
        <f t="shared" ca="1" si="242"/>
        <v>24.785300882221897</v>
      </c>
      <c r="G539" s="306">
        <f t="shared" ca="1" si="243"/>
        <v>24.372531113541896</v>
      </c>
      <c r="H539" s="307">
        <f t="shared" ca="1" si="244"/>
        <v>184.17071976636788</v>
      </c>
      <c r="I539" s="304">
        <f t="shared" ca="1" si="245"/>
        <v>185.77640940696043</v>
      </c>
      <c r="J539" s="306">
        <f t="shared" ca="1" si="246"/>
        <v>223.67407972930769</v>
      </c>
      <c r="K539" s="307">
        <f t="shared" ca="1" si="247"/>
        <v>1973.1300788094265</v>
      </c>
      <c r="L539" s="304">
        <f t="shared" ca="1" si="232"/>
        <v>1985.7674591565969</v>
      </c>
      <c r="M539" s="306">
        <f t="shared" ca="1" si="248"/>
        <v>1.4392242225958856</v>
      </c>
      <c r="N539" s="304">
        <f t="shared" ca="1" si="249"/>
        <v>82.461473727741179</v>
      </c>
      <c r="P539" s="310">
        <f t="shared" ca="1" si="250"/>
        <v>23</v>
      </c>
      <c r="Q539" s="304">
        <f t="shared" ca="1" si="251"/>
        <v>0</v>
      </c>
      <c r="R539" s="306">
        <f t="shared" ca="1" si="252"/>
        <v>0</v>
      </c>
      <c r="S539" s="307">
        <f t="shared" ca="1" si="253"/>
        <v>6.4679999999999849</v>
      </c>
      <c r="T539" s="304">
        <f t="shared" ca="1" si="233"/>
        <v>63.451079999999855</v>
      </c>
      <c r="U539" s="311">
        <f t="shared" ca="1" si="234"/>
        <v>0</v>
      </c>
      <c r="V539" s="306">
        <f t="shared" ca="1" si="235"/>
        <v>1.0049963557424577</v>
      </c>
      <c r="W539" s="304">
        <f t="shared" ca="1" si="236"/>
        <v>94.4729636674342</v>
      </c>
      <c r="Y539" s="314" t="str">
        <f t="shared" ca="1" si="254"/>
        <v/>
      </c>
      <c r="Z539" s="315" t="str">
        <f t="shared" ca="1" si="255"/>
        <v/>
      </c>
      <c r="AA539" s="316" t="str">
        <f t="shared" ca="1" si="256"/>
        <v/>
      </c>
      <c r="AC539" s="310" t="e">
        <f t="shared" ca="1" si="257"/>
        <v>#N/A</v>
      </c>
      <c r="AD539" s="323" t="e">
        <f t="shared" ca="1" si="258"/>
        <v>#N/A</v>
      </c>
      <c r="AE539" s="324">
        <f t="shared" ca="1" si="237"/>
        <v>1973.1300788094265</v>
      </c>
      <c r="AG539" s="306">
        <f t="shared" ca="1" si="259"/>
        <v>-24.752211501832363</v>
      </c>
      <c r="AH539" s="304">
        <f t="shared" ca="1" si="260"/>
        <v>-15.026115964096117</v>
      </c>
    </row>
    <row r="540" spans="1:34" x14ac:dyDescent="0.2">
      <c r="A540" s="347">
        <f t="shared" ca="1" si="238"/>
        <v>0.1</v>
      </c>
      <c r="B540" s="304">
        <f t="shared" ca="1" si="239"/>
        <v>8.599999999999925</v>
      </c>
      <c r="D540" s="306">
        <f t="shared" ca="1" si="240"/>
        <v>-1.9162298322361409</v>
      </c>
      <c r="E540" s="307">
        <f t="shared" ca="1" si="241"/>
        <v>-24.289966229056542</v>
      </c>
      <c r="F540" s="304">
        <f t="shared" ca="1" si="242"/>
        <v>24.365434454953991</v>
      </c>
      <c r="G540" s="306">
        <f t="shared" ca="1" si="243"/>
        <v>24.180908130318283</v>
      </c>
      <c r="H540" s="307">
        <f t="shared" ca="1" si="244"/>
        <v>181.74172314346222</v>
      </c>
      <c r="I540" s="304">
        <f t="shared" ca="1" si="245"/>
        <v>183.34331252915052</v>
      </c>
      <c r="J540" s="306">
        <f t="shared" ca="1" si="246"/>
        <v>226.10175169150071</v>
      </c>
      <c r="K540" s="307">
        <f t="shared" ca="1" si="247"/>
        <v>1991.4257009549181</v>
      </c>
      <c r="L540" s="304">
        <f t="shared" ca="1" si="232"/>
        <v>2004.2201287637422</v>
      </c>
      <c r="M540" s="306">
        <f t="shared" ca="1" si="248"/>
        <v>1.4385222598921208</v>
      </c>
      <c r="N540" s="304">
        <f t="shared" ca="1" si="249"/>
        <v>82.42125422743986</v>
      </c>
      <c r="P540" s="310">
        <f t="shared" ca="1" si="250"/>
        <v>23</v>
      </c>
      <c r="Q540" s="304">
        <f t="shared" ca="1" si="251"/>
        <v>0</v>
      </c>
      <c r="R540" s="306">
        <f t="shared" ca="1" si="252"/>
        <v>0</v>
      </c>
      <c r="S540" s="307">
        <f t="shared" ca="1" si="253"/>
        <v>6.4679999999999849</v>
      </c>
      <c r="T540" s="304">
        <f t="shared" ca="1" si="233"/>
        <v>63.451079999999855</v>
      </c>
      <c r="U540" s="311">
        <f t="shared" ca="1" si="234"/>
        <v>0</v>
      </c>
      <c r="V540" s="306">
        <f t="shared" ca="1" si="235"/>
        <v>1.0031411249236246</v>
      </c>
      <c r="W540" s="304">
        <f t="shared" ca="1" si="236"/>
        <v>91.844701186511045</v>
      </c>
      <c r="Y540" s="314" t="str">
        <f t="shared" ca="1" si="254"/>
        <v/>
      </c>
      <c r="Z540" s="315" t="str">
        <f t="shared" ca="1" si="255"/>
        <v/>
      </c>
      <c r="AA540" s="316" t="str">
        <f t="shared" ca="1" si="256"/>
        <v/>
      </c>
      <c r="AC540" s="310" t="e">
        <f t="shared" ca="1" si="257"/>
        <v>#N/A</v>
      </c>
      <c r="AD540" s="323" t="e">
        <f t="shared" ca="1" si="258"/>
        <v>#N/A</v>
      </c>
      <c r="AE540" s="324">
        <f t="shared" ca="1" si="237"/>
        <v>1991.4257009549181</v>
      </c>
      <c r="AG540" s="306">
        <f t="shared" ca="1" si="259"/>
        <v>-24.331420491667807</v>
      </c>
      <c r="AH540" s="304">
        <f t="shared" ca="1" si="260"/>
        <v>-14.606209596078296</v>
      </c>
    </row>
    <row r="541" spans="1:34" x14ac:dyDescent="0.2">
      <c r="A541" s="347">
        <f t="shared" ca="1" si="238"/>
        <v>0.1</v>
      </c>
      <c r="B541" s="304">
        <f t="shared" ca="1" si="239"/>
        <v>8.6999999999999247</v>
      </c>
      <c r="D541" s="306">
        <f t="shared" ca="1" si="240"/>
        <v>-1.8728009789906117</v>
      </c>
      <c r="E541" s="307">
        <f t="shared" ca="1" si="241"/>
        <v>-23.885818624849822</v>
      </c>
      <c r="F541" s="304">
        <f t="shared" ca="1" si="242"/>
        <v>23.959125920745333</v>
      </c>
      <c r="G541" s="306">
        <f t="shared" ca="1" si="243"/>
        <v>23.99362803241922</v>
      </c>
      <c r="H541" s="307">
        <f t="shared" ca="1" si="244"/>
        <v>179.35314128097724</v>
      </c>
      <c r="I541" s="304">
        <f t="shared" ca="1" si="245"/>
        <v>180.95094217359653</v>
      </c>
      <c r="J541" s="306">
        <f t="shared" ca="1" si="246"/>
        <v>228.51047849963757</v>
      </c>
      <c r="K541" s="307">
        <f t="shared" ca="1" si="247"/>
        <v>2009.4804441761401</v>
      </c>
      <c r="L541" s="304">
        <f t="shared" ca="1" si="232"/>
        <v>2022.4313818546404</v>
      </c>
      <c r="M541" s="306">
        <f t="shared" ca="1" si="248"/>
        <v>1.4378072439433245</v>
      </c>
      <c r="N541" s="304">
        <f t="shared" ca="1" si="249"/>
        <v>82.380286831289283</v>
      </c>
      <c r="P541" s="310">
        <f t="shared" ca="1" si="250"/>
        <v>23</v>
      </c>
      <c r="Q541" s="304">
        <f t="shared" ca="1" si="251"/>
        <v>0</v>
      </c>
      <c r="R541" s="306">
        <f t="shared" ca="1" si="252"/>
        <v>0</v>
      </c>
      <c r="S541" s="307">
        <f t="shared" ca="1" si="253"/>
        <v>6.4679999999999849</v>
      </c>
      <c r="T541" s="304">
        <f t="shared" ca="1" si="233"/>
        <v>63.451079999999855</v>
      </c>
      <c r="U541" s="311">
        <f t="shared" ca="1" si="234"/>
        <v>0</v>
      </c>
      <c r="V541" s="306">
        <f t="shared" ca="1" si="235"/>
        <v>1.001313343664854</v>
      </c>
      <c r="W541" s="304">
        <f t="shared" ca="1" si="236"/>
        <v>89.300445238496636</v>
      </c>
      <c r="Y541" s="314" t="str">
        <f t="shared" ca="1" si="254"/>
        <v/>
      </c>
      <c r="Z541" s="315" t="str">
        <f t="shared" ca="1" si="255"/>
        <v/>
      </c>
      <c r="AA541" s="316" t="str">
        <f t="shared" ca="1" si="256"/>
        <v/>
      </c>
      <c r="AC541" s="310" t="e">
        <f t="shared" ca="1" si="257"/>
        <v>#N/A</v>
      </c>
      <c r="AD541" s="323" t="e">
        <f t="shared" ca="1" si="258"/>
        <v>#N/A</v>
      </c>
      <c r="AE541" s="324">
        <f t="shared" ca="1" si="237"/>
        <v>2009.4804441761401</v>
      </c>
      <c r="AG541" s="306">
        <f t="shared" ca="1" si="259"/>
        <v>-23.924166109382092</v>
      </c>
      <c r="AH541" s="304">
        <f t="shared" ca="1" si="260"/>
        <v>-14.199861036875582</v>
      </c>
    </row>
    <row r="542" spans="1:34" x14ac:dyDescent="0.2">
      <c r="A542" s="347">
        <f t="shared" ca="1" si="238"/>
        <v>0.1</v>
      </c>
      <c r="B542" s="304">
        <f t="shared" ca="1" si="239"/>
        <v>8.7999999999999243</v>
      </c>
      <c r="D542" s="306">
        <f t="shared" ca="1" si="240"/>
        <v>-1.8307063420829666</v>
      </c>
      <c r="E542" s="307">
        <f t="shared" ca="1" si="241"/>
        <v>-23.494588790488198</v>
      </c>
      <c r="F542" s="304">
        <f t="shared" ca="1" si="242"/>
        <v>23.565805484750072</v>
      </c>
      <c r="G542" s="306">
        <f t="shared" ca="1" si="243"/>
        <v>23.810557398210925</v>
      </c>
      <c r="H542" s="307">
        <f t="shared" ca="1" si="244"/>
        <v>177.00368240192842</v>
      </c>
      <c r="I542" s="304">
        <f t="shared" ca="1" si="245"/>
        <v>178.59800174541775</v>
      </c>
      <c r="J542" s="306">
        <f t="shared" ca="1" si="246"/>
        <v>230.90068777116909</v>
      </c>
      <c r="K542" s="307">
        <f t="shared" ca="1" si="247"/>
        <v>2027.2982853602853</v>
      </c>
      <c r="L542" s="304">
        <f t="shared" ca="1" si="232"/>
        <v>2040.4052208906817</v>
      </c>
      <c r="M542" s="306">
        <f t="shared" ca="1" si="248"/>
        <v>1.4370789150762731</v>
      </c>
      <c r="N542" s="304">
        <f t="shared" ca="1" si="249"/>
        <v>82.338556661109692</v>
      </c>
      <c r="P542" s="310">
        <f t="shared" ca="1" si="250"/>
        <v>23</v>
      </c>
      <c r="Q542" s="304">
        <f t="shared" ca="1" si="251"/>
        <v>0</v>
      </c>
      <c r="R542" s="306">
        <f t="shared" ca="1" si="252"/>
        <v>0</v>
      </c>
      <c r="S542" s="307">
        <f t="shared" ca="1" si="253"/>
        <v>6.4679999999999849</v>
      </c>
      <c r="T542" s="304">
        <f t="shared" ca="1" si="233"/>
        <v>63.451079999999855</v>
      </c>
      <c r="U542" s="311">
        <f t="shared" ca="1" si="234"/>
        <v>0</v>
      </c>
      <c r="V542" s="306">
        <f t="shared" ca="1" si="235"/>
        <v>0.99951248288430516</v>
      </c>
      <c r="W542" s="304">
        <f t="shared" ca="1" si="236"/>
        <v>86.836705094183088</v>
      </c>
      <c r="Y542" s="314" t="str">
        <f t="shared" ca="1" si="254"/>
        <v/>
      </c>
      <c r="Z542" s="315" t="str">
        <f t="shared" ca="1" si="255"/>
        <v/>
      </c>
      <c r="AA542" s="316" t="str">
        <f t="shared" ca="1" si="256"/>
        <v/>
      </c>
      <c r="AC542" s="310" t="e">
        <f t="shared" ca="1" si="257"/>
        <v>#N/A</v>
      </c>
      <c r="AD542" s="323" t="e">
        <f t="shared" ca="1" si="258"/>
        <v>#N/A</v>
      </c>
      <c r="AE542" s="324">
        <f t="shared" ca="1" si="237"/>
        <v>2027.2982853602853</v>
      </c>
      <c r="AG542" s="306">
        <f t="shared" ca="1" si="259"/>
        <v>-23.529877979871024</v>
      </c>
      <c r="AH542" s="304">
        <f t="shared" ca="1" si="260"/>
        <v>-13.806500500695245</v>
      </c>
    </row>
    <row r="543" spans="1:34" x14ac:dyDescent="0.2">
      <c r="A543" s="347">
        <f t="shared" ca="1" si="238"/>
        <v>0.1</v>
      </c>
      <c r="B543" s="304">
        <f t="shared" ca="1" si="239"/>
        <v>8.899999999999924</v>
      </c>
      <c r="D543" s="306">
        <f t="shared" ca="1" si="240"/>
        <v>-1.7898897948832422</v>
      </c>
      <c r="E543" s="307">
        <f t="shared" ca="1" si="241"/>
        <v>-23.115739949278598</v>
      </c>
      <c r="F543" s="304">
        <f t="shared" ca="1" si="242"/>
        <v>23.18493344567764</v>
      </c>
      <c r="G543" s="306">
        <f t="shared" ca="1" si="243"/>
        <v>23.631568418722601</v>
      </c>
      <c r="H543" s="307">
        <f t="shared" ca="1" si="244"/>
        <v>174.69210840700055</v>
      </c>
      <c r="I543" s="304">
        <f t="shared" ca="1" si="245"/>
        <v>176.28324868124028</v>
      </c>
      <c r="J543" s="306">
        <f t="shared" ca="1" si="246"/>
        <v>233.27279406201578</v>
      </c>
      <c r="K543" s="307">
        <f t="shared" ca="1" si="247"/>
        <v>2044.8830749007318</v>
      </c>
      <c r="L543" s="304">
        <f t="shared" ca="1" si="232"/>
        <v>2058.1455212071305</v>
      </c>
      <c r="M543" s="306">
        <f t="shared" ca="1" si="248"/>
        <v>1.4363370055140654</v>
      </c>
      <c r="N543" s="304">
        <f t="shared" ca="1" si="249"/>
        <v>82.296048374414795</v>
      </c>
      <c r="P543" s="310">
        <f t="shared" ca="1" si="250"/>
        <v>23</v>
      </c>
      <c r="Q543" s="304">
        <f t="shared" ca="1" si="251"/>
        <v>0</v>
      </c>
      <c r="R543" s="306">
        <f t="shared" ca="1" si="252"/>
        <v>0</v>
      </c>
      <c r="S543" s="307">
        <f t="shared" ca="1" si="253"/>
        <v>6.4679999999999849</v>
      </c>
      <c r="T543" s="304">
        <f t="shared" ca="1" si="233"/>
        <v>63.451079999999855</v>
      </c>
      <c r="U543" s="311">
        <f t="shared" ca="1" si="234"/>
        <v>0</v>
      </c>
      <c r="V543" s="306">
        <f t="shared" ca="1" si="235"/>
        <v>0.99773803102131675</v>
      </c>
      <c r="W543" s="304">
        <f t="shared" ca="1" si="236"/>
        <v>84.450172412153009</v>
      </c>
      <c r="Y543" s="314" t="str">
        <f t="shared" ca="1" si="254"/>
        <v/>
      </c>
      <c r="Z543" s="315" t="str">
        <f t="shared" ca="1" si="255"/>
        <v/>
      </c>
      <c r="AA543" s="316" t="str">
        <f t="shared" ca="1" si="256"/>
        <v/>
      </c>
      <c r="AC543" s="310" t="e">
        <f t="shared" ca="1" si="257"/>
        <v>#N/A</v>
      </c>
      <c r="AD543" s="323" t="e">
        <f t="shared" ca="1" si="258"/>
        <v>#N/A</v>
      </c>
      <c r="AE543" s="324">
        <f t="shared" ca="1" si="237"/>
        <v>2044.8830749007318</v>
      </c>
      <c r="AG543" s="306">
        <f t="shared" ca="1" si="259"/>
        <v>-23.148015799517687</v>
      </c>
      <c r="AH543" s="304">
        <f t="shared" ca="1" si="260"/>
        <v>-13.425588295328277</v>
      </c>
    </row>
    <row r="544" spans="1:34" x14ac:dyDescent="0.2">
      <c r="A544" s="347">
        <f t="shared" ca="1" si="238"/>
        <v>0.1</v>
      </c>
      <c r="B544" s="304">
        <f t="shared" ca="1" si="239"/>
        <v>8.9999999999999236</v>
      </c>
      <c r="D544" s="306">
        <f t="shared" ca="1" si="240"/>
        <v>-1.7502981367234833</v>
      </c>
      <c r="E544" s="307">
        <f t="shared" ca="1" si="241"/>
        <v>-22.748763370560823</v>
      </c>
      <c r="F544" s="304">
        <f t="shared" ca="1" si="242"/>
        <v>22.815998300692161</v>
      </c>
      <c r="G544" s="306">
        <f t="shared" ca="1" si="243"/>
        <v>23.456538605050252</v>
      </c>
      <c r="H544" s="307">
        <f t="shared" ca="1" si="244"/>
        <v>172.41723206994448</v>
      </c>
      <c r="I544" s="304">
        <f t="shared" ca="1" si="245"/>
        <v>174.00549163170484</v>
      </c>
      <c r="J544" s="306">
        <f t="shared" ca="1" si="246"/>
        <v>235.62719941320441</v>
      </c>
      <c r="K544" s="307">
        <f t="shared" ca="1" si="247"/>
        <v>2062.2385419245788</v>
      </c>
      <c r="L544" s="304">
        <f t="shared" ca="1" si="232"/>
        <v>2075.6560362696232</v>
      </c>
      <c r="M544" s="306">
        <f t="shared" ca="1" si="248"/>
        <v>1.4355812390881075</v>
      </c>
      <c r="N544" s="304">
        <f t="shared" ca="1" si="249"/>
        <v>82.252746147909733</v>
      </c>
      <c r="P544" s="310">
        <f t="shared" ca="1" si="250"/>
        <v>23</v>
      </c>
      <c r="Q544" s="304">
        <f t="shared" ca="1" si="251"/>
        <v>0</v>
      </c>
      <c r="R544" s="306">
        <f t="shared" ca="1" si="252"/>
        <v>0</v>
      </c>
      <c r="S544" s="307">
        <f t="shared" ca="1" si="253"/>
        <v>6.4679999999999849</v>
      </c>
      <c r="T544" s="304">
        <f t="shared" ca="1" si="233"/>
        <v>63.451079999999855</v>
      </c>
      <c r="U544" s="311">
        <f t="shared" ca="1" si="234"/>
        <v>0</v>
      </c>
      <c r="V544" s="306">
        <f t="shared" ca="1" si="235"/>
        <v>0.99598949328672837</v>
      </c>
      <c r="W544" s="304">
        <f t="shared" ca="1" si="236"/>
        <v>82.13770987664121</v>
      </c>
      <c r="Y544" s="314" t="str">
        <f t="shared" ca="1" si="254"/>
        <v/>
      </c>
      <c r="Z544" s="315" t="str">
        <f t="shared" ca="1" si="255"/>
        <v/>
      </c>
      <c r="AA544" s="316" t="str">
        <f t="shared" ca="1" si="256"/>
        <v/>
      </c>
      <c r="AC544" s="310">
        <f t="shared" ca="1" si="257"/>
        <v>8.9999999999999236</v>
      </c>
      <c r="AD544" s="323">
        <f t="shared" ca="1" si="258"/>
        <v>235.62719941320441</v>
      </c>
      <c r="AE544" s="324">
        <f t="shared" ca="1" si="237"/>
        <v>2062.2385419245788</v>
      </c>
      <c r="AG544" s="306">
        <f t="shared" ca="1" si="259"/>
        <v>-22.778067440129206</v>
      </c>
      <c r="AH544" s="304">
        <f t="shared" ca="1" si="260"/>
        <v>-13.056612927049043</v>
      </c>
    </row>
    <row r="545" spans="1:34" x14ac:dyDescent="0.2">
      <c r="A545" s="347">
        <f t="shared" ca="1" si="238"/>
        <v>0.1</v>
      </c>
      <c r="B545" s="304">
        <f t="shared" ca="1" si="239"/>
        <v>9.0999999999999233</v>
      </c>
      <c r="D545" s="306">
        <f t="shared" ca="1" si="240"/>
        <v>-1.7118809104928963</v>
      </c>
      <c r="E545" s="307">
        <f t="shared" ca="1" si="241"/>
        <v>-22.393176622530881</v>
      </c>
      <c r="F545" s="304">
        <f t="shared" ca="1" si="242"/>
        <v>22.458514988742543</v>
      </c>
      <c r="G545" s="306">
        <f t="shared" ca="1" si="243"/>
        <v>23.285350514000964</v>
      </c>
      <c r="H545" s="307">
        <f t="shared" ca="1" si="244"/>
        <v>170.17791440769139</v>
      </c>
      <c r="I545" s="304">
        <f t="shared" ca="1" si="245"/>
        <v>171.76358781974548</v>
      </c>
      <c r="J545" s="306">
        <f t="shared" ca="1" si="246"/>
        <v>237.96429386915696</v>
      </c>
      <c r="K545" s="307">
        <f t="shared" ca="1" si="247"/>
        <v>2079.3682992484605</v>
      </c>
      <c r="L545" s="304">
        <f t="shared" ca="1" si="232"/>
        <v>2092.9404026574866</v>
      </c>
      <c r="M545" s="306">
        <f t="shared" ca="1" si="248"/>
        <v>1.4348113309370409</v>
      </c>
      <c r="N545" s="304">
        <f t="shared" ca="1" si="249"/>
        <v>82.208633660240892</v>
      </c>
      <c r="P545" s="310">
        <f t="shared" ca="1" si="250"/>
        <v>23</v>
      </c>
      <c r="Q545" s="304">
        <f t="shared" ca="1" si="251"/>
        <v>0</v>
      </c>
      <c r="R545" s="306">
        <f t="shared" ca="1" si="252"/>
        <v>0</v>
      </c>
      <c r="S545" s="307">
        <f t="shared" ca="1" si="253"/>
        <v>6.4679999999999849</v>
      </c>
      <c r="T545" s="304">
        <f t="shared" ca="1" si="233"/>
        <v>63.451079999999855</v>
      </c>
      <c r="U545" s="311">
        <f t="shared" ca="1" si="234"/>
        <v>0</v>
      </c>
      <c r="V545" s="306">
        <f t="shared" ca="1" si="235"/>
        <v>0.99426639095321701</v>
      </c>
      <c r="W545" s="304">
        <f t="shared" ca="1" si="236"/>
        <v>79.896340656560525</v>
      </c>
      <c r="Y545" s="314" t="str">
        <f t="shared" ca="1" si="254"/>
        <v/>
      </c>
      <c r="Z545" s="315" t="str">
        <f t="shared" ca="1" si="255"/>
        <v/>
      </c>
      <c r="AA545" s="316" t="str">
        <f t="shared" ca="1" si="256"/>
        <v/>
      </c>
      <c r="AC545" s="310" t="e">
        <f t="shared" ca="1" si="257"/>
        <v>#N/A</v>
      </c>
      <c r="AD545" s="323" t="e">
        <f t="shared" ca="1" si="258"/>
        <v>#N/A</v>
      </c>
      <c r="AE545" s="324">
        <f t="shared" ca="1" si="237"/>
        <v>2079.3682992484605</v>
      </c>
      <c r="AG545" s="306">
        <f t="shared" ca="1" si="259"/>
        <v>-22.419547191254161</v>
      </c>
      <c r="AH545" s="304">
        <f t="shared" ca="1" si="260"/>
        <v>-12.699089343945795</v>
      </c>
    </row>
    <row r="546" spans="1:34" x14ac:dyDescent="0.2">
      <c r="A546" s="347">
        <f t="shared" ca="1" si="238"/>
        <v>0.1</v>
      </c>
      <c r="B546" s="304">
        <f t="shared" ca="1" si="239"/>
        <v>9.1999999999999229</v>
      </c>
      <c r="D546" s="306">
        <f t="shared" ca="1" si="240"/>
        <v>-1.6745902334155687</v>
      </c>
      <c r="E546" s="307">
        <f t="shared" ca="1" si="241"/>
        <v>-22.048521951335871</v>
      </c>
      <c r="F546" s="304">
        <f t="shared" ca="1" si="242"/>
        <v>22.112023260850432</v>
      </c>
      <c r="G546" s="306">
        <f t="shared" ca="1" si="243"/>
        <v>23.117891490659407</v>
      </c>
      <c r="H546" s="307">
        <f t="shared" ca="1" si="244"/>
        <v>167.97306221255781</v>
      </c>
      <c r="I546" s="304">
        <f t="shared" ca="1" si="245"/>
        <v>169.55644056194893</v>
      </c>
      <c r="J546" s="306">
        <f t="shared" ca="1" si="246"/>
        <v>240.28445596938997</v>
      </c>
      <c r="K546" s="307">
        <f t="shared" ca="1" si="247"/>
        <v>2096.2758480794728</v>
      </c>
      <c r="L546" s="304">
        <f t="shared" ca="1" si="232"/>
        <v>2110.0021447908102</v>
      </c>
      <c r="M546" s="306">
        <f t="shared" ca="1" si="248"/>
        <v>1.4340269871919464</v>
      </c>
      <c r="N546" s="304">
        <f t="shared" ca="1" si="249"/>
        <v>82.163694073959491</v>
      </c>
      <c r="P546" s="310">
        <f t="shared" ca="1" si="250"/>
        <v>23</v>
      </c>
      <c r="Q546" s="304">
        <f t="shared" ca="1" si="251"/>
        <v>0</v>
      </c>
      <c r="R546" s="306">
        <f t="shared" ca="1" si="252"/>
        <v>0</v>
      </c>
      <c r="S546" s="307">
        <f t="shared" ca="1" si="253"/>
        <v>6.4679999999999849</v>
      </c>
      <c r="T546" s="304">
        <f t="shared" ca="1" si="233"/>
        <v>63.451079999999855</v>
      </c>
      <c r="U546" s="311">
        <f t="shared" ca="1" si="234"/>
        <v>0</v>
      </c>
      <c r="V546" s="306">
        <f t="shared" ca="1" si="235"/>
        <v>0.99256826068311876</v>
      </c>
      <c r="W546" s="304">
        <f t="shared" ca="1" si="236"/>
        <v>77.723238618352354</v>
      </c>
      <c r="Y546" s="314" t="str">
        <f t="shared" ca="1" si="254"/>
        <v/>
      </c>
      <c r="Z546" s="315" t="str">
        <f t="shared" ca="1" si="255"/>
        <v/>
      </c>
      <c r="AA546" s="316" t="str">
        <f t="shared" ca="1" si="256"/>
        <v/>
      </c>
      <c r="AC546" s="310" t="e">
        <f t="shared" ca="1" si="257"/>
        <v>#N/A</v>
      </c>
      <c r="AD546" s="323" t="e">
        <f t="shared" ca="1" si="258"/>
        <v>#N/A</v>
      </c>
      <c r="AE546" s="324">
        <f t="shared" ca="1" si="237"/>
        <v>2096.2758480794728</v>
      </c>
      <c r="AG546" s="306">
        <f t="shared" ca="1" si="259"/>
        <v>-22.071994129404896</v>
      </c>
      <c r="AH546" s="304">
        <f t="shared" ca="1" si="260"/>
        <v>-12.352557306209139</v>
      </c>
    </row>
    <row r="547" spans="1:34" x14ac:dyDescent="0.2">
      <c r="A547" s="347">
        <f t="shared" ca="1" si="238"/>
        <v>0.1</v>
      </c>
      <c r="B547" s="304">
        <f t="shared" ca="1" si="239"/>
        <v>9.2999999999999226</v>
      </c>
      <c r="D547" s="306">
        <f t="shared" ca="1" si="240"/>
        <v>-1.6383806399297718</v>
      </c>
      <c r="E547" s="307">
        <f t="shared" ca="1" si="241"/>
        <v>-21.714364776085546</v>
      </c>
      <c r="F547" s="304">
        <f t="shared" ca="1" si="242"/>
        <v>21.776086166944722</v>
      </c>
      <c r="G547" s="306">
        <f t="shared" ca="1" si="243"/>
        <v>22.95405342666643</v>
      </c>
      <c r="H547" s="307">
        <f t="shared" ca="1" si="244"/>
        <v>165.80162573494925</v>
      </c>
      <c r="I547" s="304">
        <f t="shared" ca="1" si="245"/>
        <v>167.3829969413454</v>
      </c>
      <c r="J547" s="306">
        <f t="shared" ca="1" si="246"/>
        <v>242.58805321525625</v>
      </c>
      <c r="K547" s="307">
        <f t="shared" ca="1" si="247"/>
        <v>2112.9645824768481</v>
      </c>
      <c r="L547" s="304">
        <f t="shared" ca="1" si="232"/>
        <v>2126.8446794169831</v>
      </c>
      <c r="M547" s="306">
        <f t="shared" ca="1" si="248"/>
        <v>1.433227904647125</v>
      </c>
      <c r="N547" s="304">
        <f t="shared" ca="1" si="249"/>
        <v>82.117910016658655</v>
      </c>
      <c r="P547" s="310">
        <f t="shared" ca="1" si="250"/>
        <v>23</v>
      </c>
      <c r="Q547" s="304">
        <f t="shared" ca="1" si="251"/>
        <v>0</v>
      </c>
      <c r="R547" s="306">
        <f t="shared" ca="1" si="252"/>
        <v>0</v>
      </c>
      <c r="S547" s="307">
        <f t="shared" ca="1" si="253"/>
        <v>6.4679999999999849</v>
      </c>
      <c r="T547" s="304">
        <f t="shared" ca="1" si="233"/>
        <v>63.451079999999855</v>
      </c>
      <c r="U547" s="311">
        <f t="shared" ca="1" si="234"/>
        <v>0</v>
      </c>
      <c r="V547" s="306">
        <f t="shared" ca="1" si="235"/>
        <v>0.99089465389138554</v>
      </c>
      <c r="W547" s="304">
        <f t="shared" ca="1" si="236"/>
        <v>75.615719231487105</v>
      </c>
      <c r="Y547" s="314" t="str">
        <f t="shared" ca="1" si="254"/>
        <v/>
      </c>
      <c r="Z547" s="315" t="str">
        <f t="shared" ca="1" si="255"/>
        <v/>
      </c>
      <c r="AA547" s="316" t="str">
        <f t="shared" ca="1" si="256"/>
        <v/>
      </c>
      <c r="AC547" s="310" t="e">
        <f t="shared" ca="1" si="257"/>
        <v>#N/A</v>
      </c>
      <c r="AD547" s="323" t="e">
        <f t="shared" ca="1" si="258"/>
        <v>#N/A</v>
      </c>
      <c r="AE547" s="324">
        <f t="shared" ca="1" si="237"/>
        <v>2112.9645824768481</v>
      </c>
      <c r="AG547" s="306">
        <f t="shared" ca="1" si="259"/>
        <v>-21.734970603770293</v>
      </c>
      <c r="AH547" s="304">
        <f t="shared" ca="1" si="260"/>
        <v>-12.016579872967306</v>
      </c>
    </row>
    <row r="548" spans="1:34" x14ac:dyDescent="0.2">
      <c r="A548" s="347">
        <f t="shared" ca="1" si="238"/>
        <v>0.1</v>
      </c>
      <c r="B548" s="304">
        <f t="shared" ca="1" si="239"/>
        <v>9.3999999999999222</v>
      </c>
      <c r="D548" s="306">
        <f t="shared" ca="1" si="240"/>
        <v>-1.6032089356866794</v>
      </c>
      <c r="E548" s="307">
        <f t="shared" ca="1" si="241"/>
        <v>-21.390292290373601</v>
      </c>
      <c r="F548" s="304">
        <f t="shared" ca="1" si="242"/>
        <v>21.450288649784689</v>
      </c>
      <c r="G548" s="306">
        <f t="shared" ca="1" si="243"/>
        <v>22.793732533097764</v>
      </c>
      <c r="H548" s="307">
        <f t="shared" ca="1" si="244"/>
        <v>163.66259650591189</v>
      </c>
      <c r="I548" s="304">
        <f t="shared" ca="1" si="245"/>
        <v>165.24224562092868</v>
      </c>
      <c r="J548" s="306">
        <f t="shared" ca="1" si="246"/>
        <v>244.87544251324445</v>
      </c>
      <c r="K548" s="307">
        <f t="shared" ca="1" si="247"/>
        <v>2129.4377935888911</v>
      </c>
      <c r="L548" s="304">
        <f t="shared" ca="1" si="232"/>
        <v>2143.4713198712925</v>
      </c>
      <c r="M548" s="306">
        <f t="shared" ca="1" si="248"/>
        <v>1.4324137704157032</v>
      </c>
      <c r="N548" s="304">
        <f t="shared" ca="1" si="249"/>
        <v>82.071263561241054</v>
      </c>
      <c r="P548" s="310">
        <f t="shared" ca="1" si="250"/>
        <v>23</v>
      </c>
      <c r="Q548" s="304">
        <f t="shared" ca="1" si="251"/>
        <v>0</v>
      </c>
      <c r="R548" s="306">
        <f t="shared" ca="1" si="252"/>
        <v>0</v>
      </c>
      <c r="S548" s="307">
        <f t="shared" ca="1" si="253"/>
        <v>6.4679999999999849</v>
      </c>
      <c r="T548" s="304">
        <f t="shared" ca="1" si="233"/>
        <v>63.451079999999855</v>
      </c>
      <c r="U548" s="311">
        <f t="shared" ca="1" si="234"/>
        <v>0</v>
      </c>
      <c r="V548" s="306">
        <f t="shared" ca="1" si="235"/>
        <v>0.98924513614149601</v>
      </c>
      <c r="W548" s="304">
        <f t="shared" ca="1" si="236"/>
        <v>73.571231110983391</v>
      </c>
      <c r="Y548" s="314" t="str">
        <f t="shared" ca="1" si="254"/>
        <v/>
      </c>
      <c r="Z548" s="315" t="str">
        <f t="shared" ca="1" si="255"/>
        <v/>
      </c>
      <c r="AA548" s="316" t="str">
        <f t="shared" ca="1" si="256"/>
        <v/>
      </c>
      <c r="AC548" s="310" t="e">
        <f t="shared" ca="1" si="257"/>
        <v>#N/A</v>
      </c>
      <c r="AD548" s="323" t="e">
        <f t="shared" ca="1" si="258"/>
        <v>#N/A</v>
      </c>
      <c r="AE548" s="324">
        <f t="shared" ca="1" si="237"/>
        <v>2129.4377935888911</v>
      </c>
      <c r="AG548" s="306">
        <f t="shared" ca="1" si="259"/>
        <v>-21.408060828957652</v>
      </c>
      <c r="AH548" s="304">
        <f t="shared" ca="1" si="260"/>
        <v>-11.690741996210155</v>
      </c>
    </row>
    <row r="549" spans="1:34" x14ac:dyDescent="0.2">
      <c r="A549" s="347">
        <f t="shared" ca="1" si="238"/>
        <v>0.1</v>
      </c>
      <c r="B549" s="304">
        <f t="shared" ca="1" si="239"/>
        <v>9.4999999999999218</v>
      </c>
      <c r="D549" s="306">
        <f t="shared" ca="1" si="240"/>
        <v>-1.5690340617755125</v>
      </c>
      <c r="E549" s="307">
        <f t="shared" ca="1" si="241"/>
        <v>-21.075912161754175</v>
      </c>
      <c r="F549" s="304">
        <f t="shared" ca="1" si="242"/>
        <v>21.134236237370615</v>
      </c>
      <c r="G549" s="306">
        <f t="shared" ca="1" si="243"/>
        <v>22.636829126920212</v>
      </c>
      <c r="H549" s="307">
        <f t="shared" ca="1" si="244"/>
        <v>161.55500528973647</v>
      </c>
      <c r="I549" s="304">
        <f t="shared" ca="1" si="245"/>
        <v>163.13321478806259</v>
      </c>
      <c r="J549" s="306">
        <f t="shared" ca="1" si="246"/>
        <v>247.14697059624535</v>
      </c>
      <c r="K549" s="307">
        <f t="shared" ca="1" si="247"/>
        <v>2145.6986736786735</v>
      </c>
      <c r="L549" s="304">
        <f t="shared" ca="1" si="232"/>
        <v>2159.8852801251551</v>
      </c>
      <c r="M549" s="306">
        <f t="shared" ca="1" si="248"/>
        <v>1.4315842615692753</v>
      </c>
      <c r="N549" s="304">
        <f t="shared" ca="1" si="249"/>
        <v>82.023736205271973</v>
      </c>
      <c r="P549" s="310">
        <f t="shared" ca="1" si="250"/>
        <v>23</v>
      </c>
      <c r="Q549" s="304">
        <f t="shared" ca="1" si="251"/>
        <v>0</v>
      </c>
      <c r="R549" s="306">
        <f t="shared" ca="1" si="252"/>
        <v>0</v>
      </c>
      <c r="S549" s="307">
        <f t="shared" ca="1" si="253"/>
        <v>6.4679999999999849</v>
      </c>
      <c r="T549" s="304">
        <f t="shared" ca="1" si="233"/>
        <v>63.451079999999855</v>
      </c>
      <c r="U549" s="311">
        <f t="shared" ca="1" si="234"/>
        <v>0</v>
      </c>
      <c r="V549" s="306">
        <f t="shared" ca="1" si="235"/>
        <v>0.98761928657229825</v>
      </c>
      <c r="W549" s="304">
        <f t="shared" ca="1" si="236"/>
        <v>71.587348146303839</v>
      </c>
      <c r="Y549" s="314" t="str">
        <f t="shared" ca="1" si="254"/>
        <v/>
      </c>
      <c r="Z549" s="315" t="str">
        <f t="shared" ca="1" si="255"/>
        <v/>
      </c>
      <c r="AA549" s="316" t="str">
        <f t="shared" ca="1" si="256"/>
        <v/>
      </c>
      <c r="AC549" s="310" t="e">
        <f t="shared" ca="1" si="257"/>
        <v>#N/A</v>
      </c>
      <c r="AD549" s="323" t="e">
        <f t="shared" ca="1" si="258"/>
        <v>#N/A</v>
      </c>
      <c r="AE549" s="324">
        <f t="shared" ca="1" si="237"/>
        <v>2145.6986736786735</v>
      </c>
      <c r="AG549" s="306">
        <f t="shared" ca="1" si="259"/>
        <v>-21.090869576159051</v>
      </c>
      <c r="AH549" s="304">
        <f t="shared" ca="1" si="260"/>
        <v>-11.374649213200922</v>
      </c>
    </row>
    <row r="550" spans="1:34" x14ac:dyDescent="0.2">
      <c r="A550" s="347">
        <f t="shared" ca="1" si="238"/>
        <v>0.1</v>
      </c>
      <c r="B550" s="304">
        <f t="shared" ca="1" si="239"/>
        <v>9.5999999999999215</v>
      </c>
      <c r="D550" s="306">
        <f t="shared" ca="1" si="240"/>
        <v>-1.5358169683620571</v>
      </c>
      <c r="E550" s="307">
        <f t="shared" ca="1" si="241"/>
        <v>-20.770851321386296</v>
      </c>
      <c r="F550" s="304">
        <f t="shared" ca="1" si="242"/>
        <v>20.827553826012398</v>
      </c>
      <c r="G550" s="306">
        <f t="shared" ca="1" si="243"/>
        <v>22.483247430084006</v>
      </c>
      <c r="H550" s="307">
        <f t="shared" ca="1" si="244"/>
        <v>159.47792015759785</v>
      </c>
      <c r="I550" s="304">
        <f t="shared" ca="1" si="245"/>
        <v>161.05497022071543</v>
      </c>
      <c r="J550" s="306">
        <f t="shared" ca="1" si="246"/>
        <v>249.40297442409556</v>
      </c>
      <c r="K550" s="307">
        <f t="shared" ca="1" si="247"/>
        <v>2161.7503199510402</v>
      </c>
      <c r="L550" s="304">
        <f t="shared" ca="1" si="232"/>
        <v>2176.0896786345938</v>
      </c>
      <c r="M550" s="306">
        <f t="shared" ca="1" si="248"/>
        <v>1.4307390447607429</v>
      </c>
      <c r="N550" s="304">
        <f t="shared" ca="1" si="249"/>
        <v>81.97530884936954</v>
      </c>
      <c r="P550" s="310">
        <f t="shared" ca="1" si="250"/>
        <v>23</v>
      </c>
      <c r="Q550" s="304">
        <f t="shared" ca="1" si="251"/>
        <v>0</v>
      </c>
      <c r="R550" s="306">
        <f t="shared" ca="1" si="252"/>
        <v>0</v>
      </c>
      <c r="S550" s="307">
        <f t="shared" ca="1" si="253"/>
        <v>6.4679999999999849</v>
      </c>
      <c r="T550" s="304">
        <f t="shared" ca="1" si="233"/>
        <v>63.451079999999855</v>
      </c>
      <c r="U550" s="311">
        <f t="shared" ca="1" si="234"/>
        <v>0</v>
      </c>
      <c r="V550" s="306">
        <f t="shared" ca="1" si="235"/>
        <v>0.98601669735390529</v>
      </c>
      <c r="W550" s="304">
        <f t="shared" ca="1" si="236"/>
        <v>69.661762170482532</v>
      </c>
      <c r="Y550" s="314" t="str">
        <f t="shared" ca="1" si="254"/>
        <v/>
      </c>
      <c r="Z550" s="315" t="str">
        <f t="shared" ca="1" si="255"/>
        <v/>
      </c>
      <c r="AA550" s="316" t="str">
        <f t="shared" ca="1" si="256"/>
        <v/>
      </c>
      <c r="AC550" s="310" t="e">
        <f t="shared" ca="1" si="257"/>
        <v>#N/A</v>
      </c>
      <c r="AD550" s="323" t="e">
        <f t="shared" ca="1" si="258"/>
        <v>#N/A</v>
      </c>
      <c r="AE550" s="324">
        <f t="shared" ca="1" si="237"/>
        <v>2161.7503199510402</v>
      </c>
      <c r="AG550" s="306">
        <f t="shared" ca="1" si="259"/>
        <v>-20.783020954908714</v>
      </c>
      <c r="AH550" s="304">
        <f t="shared" ca="1" si="260"/>
        <v>-11.067926429546073</v>
      </c>
    </row>
    <row r="551" spans="1:34" x14ac:dyDescent="0.2">
      <c r="A551" s="347">
        <f t="shared" ca="1" si="238"/>
        <v>0.1</v>
      </c>
      <c r="B551" s="304">
        <f t="shared" ca="1" si="239"/>
        <v>9.6999999999999211</v>
      </c>
      <c r="D551" s="306">
        <f t="shared" ca="1" si="240"/>
        <v>-1.503520496999788</v>
      </c>
      <c r="E551" s="307">
        <f t="shared" ca="1" si="241"/>
        <v>-20.474754836750389</v>
      </c>
      <c r="F551" s="304">
        <f t="shared" ca="1" si="242"/>
        <v>20.52988454692164</v>
      </c>
      <c r="G551" s="306">
        <f t="shared" ca="1" si="243"/>
        <v>22.332895380384027</v>
      </c>
      <c r="H551" s="307">
        <f t="shared" ca="1" si="244"/>
        <v>157.43044467392281</v>
      </c>
      <c r="I551" s="304">
        <f t="shared" ca="1" si="245"/>
        <v>159.00661346717703</v>
      </c>
      <c r="J551" s="306">
        <f t="shared" ca="1" si="246"/>
        <v>251.64378156461896</v>
      </c>
      <c r="K551" s="307">
        <f t="shared" ca="1" si="247"/>
        <v>2177.5957381926164</v>
      </c>
      <c r="L551" s="304">
        <f t="shared" ca="1" si="232"/>
        <v>2192.0875420007264</v>
      </c>
      <c r="M551" s="306">
        <f t="shared" ca="1" si="248"/>
        <v>1.4298777758294545</v>
      </c>
      <c r="N551" s="304">
        <f t="shared" ca="1" si="249"/>
        <v>81.925961774580983</v>
      </c>
      <c r="P551" s="310">
        <f t="shared" ca="1" si="250"/>
        <v>23</v>
      </c>
      <c r="Q551" s="304">
        <f t="shared" ca="1" si="251"/>
        <v>0</v>
      </c>
      <c r="R551" s="306">
        <f t="shared" ca="1" si="252"/>
        <v>0</v>
      </c>
      <c r="S551" s="307">
        <f t="shared" ca="1" si="253"/>
        <v>6.4679999999999849</v>
      </c>
      <c r="T551" s="304">
        <f t="shared" ca="1" si="233"/>
        <v>63.451079999999855</v>
      </c>
      <c r="U551" s="311">
        <f t="shared" ca="1" si="234"/>
        <v>0</v>
      </c>
      <c r="V551" s="306">
        <f t="shared" ca="1" si="235"/>
        <v>0.9844369731708934</v>
      </c>
      <c r="W551" s="304">
        <f t="shared" ca="1" si="236"/>
        <v>67.792276127394146</v>
      </c>
      <c r="Y551" s="314" t="str">
        <f t="shared" ca="1" si="254"/>
        <v/>
      </c>
      <c r="Z551" s="315" t="str">
        <f t="shared" ca="1" si="255"/>
        <v/>
      </c>
      <c r="AA551" s="316" t="str">
        <f t="shared" ca="1" si="256"/>
        <v/>
      </c>
      <c r="AC551" s="310" t="e">
        <f t="shared" ca="1" si="257"/>
        <v>#N/A</v>
      </c>
      <c r="AD551" s="323" t="e">
        <f t="shared" ca="1" si="258"/>
        <v>#N/A</v>
      </c>
      <c r="AE551" s="324">
        <f t="shared" ca="1" si="237"/>
        <v>2177.5957381926164</v>
      </c>
      <c r="AG551" s="306">
        <f t="shared" ca="1" si="259"/>
        <v>-20.484157278292926</v>
      </c>
      <c r="AH551" s="304">
        <f t="shared" ca="1" si="260"/>
        <v>-10.770216785788914</v>
      </c>
    </row>
    <row r="552" spans="1:34" x14ac:dyDescent="0.2">
      <c r="A552" s="347">
        <f t="shared" ca="1" si="238"/>
        <v>0.1</v>
      </c>
      <c r="B552" s="304">
        <f t="shared" ca="1" si="239"/>
        <v>9.7999999999999208</v>
      </c>
      <c r="D552" s="306">
        <f t="shared" ca="1" si="240"/>
        <v>-1.4721092709379568</v>
      </c>
      <c r="E552" s="307">
        <f t="shared" ca="1" si="241"/>
        <v>-20.187284860964674</v>
      </c>
      <c r="F552" s="304">
        <f t="shared" ca="1" si="242"/>
        <v>20.240888709819906</v>
      </c>
      <c r="G552" s="306">
        <f t="shared" ca="1" si="243"/>
        <v>22.185684453290232</v>
      </c>
      <c r="H552" s="307">
        <f t="shared" ca="1" si="244"/>
        <v>155.41171618782633</v>
      </c>
      <c r="I552" s="304">
        <f t="shared" ca="1" si="245"/>
        <v>156.98728013156494</v>
      </c>
      <c r="J552" s="306">
        <f t="shared" ca="1" si="246"/>
        <v>253.86971055630266</v>
      </c>
      <c r="K552" s="307">
        <f t="shared" ca="1" si="247"/>
        <v>2193.2378462357037</v>
      </c>
      <c r="L552" s="304">
        <f t="shared" ca="1" si="232"/>
        <v>2207.881808453199</v>
      </c>
      <c r="M552" s="306">
        <f t="shared" ca="1" si="248"/>
        <v>1.429000099387705</v>
      </c>
      <c r="N552" s="304">
        <f t="shared" ca="1" si="249"/>
        <v>81.875674618690667</v>
      </c>
      <c r="P552" s="310">
        <f t="shared" ca="1" si="250"/>
        <v>23</v>
      </c>
      <c r="Q552" s="304">
        <f t="shared" ca="1" si="251"/>
        <v>0</v>
      </c>
      <c r="R552" s="306">
        <f t="shared" ca="1" si="252"/>
        <v>0</v>
      </c>
      <c r="S552" s="307">
        <f t="shared" ca="1" si="253"/>
        <v>6.4679999999999849</v>
      </c>
      <c r="T552" s="304">
        <f t="shared" ca="1" si="233"/>
        <v>63.451079999999855</v>
      </c>
      <c r="U552" s="311">
        <f t="shared" ca="1" si="234"/>
        <v>0</v>
      </c>
      <c r="V552" s="306">
        <f t="shared" ca="1" si="235"/>
        <v>0.98287973073118362</v>
      </c>
      <c r="W552" s="304">
        <f t="shared" ca="1" si="236"/>
        <v>65.976797698739091</v>
      </c>
      <c r="Y552" s="314" t="str">
        <f t="shared" ca="1" si="254"/>
        <v/>
      </c>
      <c r="Z552" s="315" t="str">
        <f t="shared" ca="1" si="255"/>
        <v/>
      </c>
      <c r="AA552" s="316" t="str">
        <f t="shared" ca="1" si="256"/>
        <v/>
      </c>
      <c r="AC552" s="310" t="e">
        <f t="shared" ca="1" si="257"/>
        <v>#N/A</v>
      </c>
      <c r="AD552" s="323" t="e">
        <f t="shared" ca="1" si="258"/>
        <v>#N/A</v>
      </c>
      <c r="AE552" s="324">
        <f t="shared" ca="1" si="237"/>
        <v>2193.2378462357037</v>
      </c>
      <c r="AG552" s="306">
        <f t="shared" ca="1" si="259"/>
        <v>-20.193938005100613</v>
      </c>
      <c r="AH552" s="304">
        <f t="shared" ca="1" si="260"/>
        <v>-10.481180601019528</v>
      </c>
    </row>
    <row r="553" spans="1:34" x14ac:dyDescent="0.2">
      <c r="A553" s="347">
        <f t="shared" ca="1" si="238"/>
        <v>0.1</v>
      </c>
      <c r="B553" s="304">
        <f t="shared" ca="1" si="239"/>
        <v>9.8999999999999204</v>
      </c>
      <c r="D553" s="306">
        <f t="shared" ca="1" si="240"/>
        <v>-1.4415495928097533</v>
      </c>
      <c r="E553" s="307">
        <f t="shared" ca="1" si="241"/>
        <v>-19.908119652792632</v>
      </c>
      <c r="F553" s="304">
        <f t="shared" ca="1" si="242"/>
        <v>19.960242817622188</v>
      </c>
      <c r="G553" s="306">
        <f t="shared" ca="1" si="243"/>
        <v>22.041529494009257</v>
      </c>
      <c r="H553" s="307">
        <f t="shared" ca="1" si="244"/>
        <v>153.42090422254708</v>
      </c>
      <c r="I553" s="304">
        <f t="shared" ca="1" si="245"/>
        <v>154.99613825801998</v>
      </c>
      <c r="J553" s="306">
        <f t="shared" ca="1" si="246"/>
        <v>256.08107125366763</v>
      </c>
      <c r="K553" s="307">
        <f t="shared" ca="1" si="247"/>
        <v>2208.6794772562225</v>
      </c>
      <c r="L553" s="304">
        <f t="shared" ca="1" si="232"/>
        <v>2223.4753311667855</v>
      </c>
      <c r="M553" s="306">
        <f t="shared" ca="1" si="248"/>
        <v>1.4281056483875836</v>
      </c>
      <c r="N553" s="304">
        <f t="shared" ca="1" si="249"/>
        <v>81.824426351402465</v>
      </c>
      <c r="P553" s="310">
        <f t="shared" ca="1" si="250"/>
        <v>23</v>
      </c>
      <c r="Q553" s="304">
        <f t="shared" ca="1" si="251"/>
        <v>0</v>
      </c>
      <c r="R553" s="306">
        <f t="shared" ca="1" si="252"/>
        <v>0</v>
      </c>
      <c r="S553" s="307">
        <f t="shared" ca="1" si="253"/>
        <v>6.4679999999999849</v>
      </c>
      <c r="T553" s="304">
        <f t="shared" ca="1" si="233"/>
        <v>63.451079999999855</v>
      </c>
      <c r="U553" s="311">
        <f t="shared" ca="1" si="234"/>
        <v>0</v>
      </c>
      <c r="V553" s="306">
        <f t="shared" ca="1" si="235"/>
        <v>0.98134459829908471</v>
      </c>
      <c r="W553" s="304">
        <f t="shared" ca="1" si="236"/>
        <v>64.213333355628691</v>
      </c>
      <c r="Y553" s="314" t="str">
        <f t="shared" ca="1" si="254"/>
        <v/>
      </c>
      <c r="Z553" s="315" t="str">
        <f t="shared" ca="1" si="255"/>
        <v/>
      </c>
      <c r="AA553" s="316" t="str">
        <f t="shared" ca="1" si="256"/>
        <v/>
      </c>
      <c r="AC553" s="310" t="e">
        <f t="shared" ca="1" si="257"/>
        <v>#N/A</v>
      </c>
      <c r="AD553" s="323" t="e">
        <f t="shared" ca="1" si="258"/>
        <v>#N/A</v>
      </c>
      <c r="AE553" s="324">
        <f t="shared" ca="1" si="237"/>
        <v>2208.6794772562225</v>
      </c>
      <c r="AG553" s="306">
        <f t="shared" ca="1" si="259"/>
        <v>-19.912038752969131</v>
      </c>
      <c r="AH553" s="304">
        <f t="shared" ca="1" si="260"/>
        <v>-10.20049438756018</v>
      </c>
    </row>
    <row r="554" spans="1:34" x14ac:dyDescent="0.2">
      <c r="A554" s="347">
        <f t="shared" ca="1" si="238"/>
        <v>0.1</v>
      </c>
      <c r="B554" s="304">
        <f t="shared" ca="1" si="239"/>
        <v>9.9999999999999201</v>
      </c>
      <c r="D554" s="306">
        <f t="shared" ca="1" si="240"/>
        <v>-1.4118093491368475</v>
      </c>
      <c r="E554" s="307">
        <f t="shared" ca="1" si="241"/>
        <v>-19.636952661941706</v>
      </c>
      <c r="F554" s="304">
        <f t="shared" ca="1" si="242"/>
        <v>19.687638646766391</v>
      </c>
      <c r="G554" s="306">
        <f t="shared" ca="1" si="243"/>
        <v>21.900348559095573</v>
      </c>
      <c r="H554" s="307">
        <f t="shared" ca="1" si="244"/>
        <v>151.4572089563529</v>
      </c>
      <c r="I554" s="304">
        <f t="shared" ca="1" si="245"/>
        <v>153.03238680703581</v>
      </c>
      <c r="J554" s="306">
        <f t="shared" ca="1" si="246"/>
        <v>258.27816515632287</v>
      </c>
      <c r="K554" s="307">
        <f t="shared" ca="1" si="247"/>
        <v>2223.9233829151676</v>
      </c>
      <c r="L554" s="304">
        <f t="shared" ca="1" si="232"/>
        <v>2238.8708814206684</v>
      </c>
      <c r="M554" s="306">
        <f t="shared" ca="1" si="248"/>
        <v>1.4271940436671031</v>
      </c>
      <c r="N554" s="304">
        <f t="shared" ca="1" si="249"/>
        <v>81.772195248334725</v>
      </c>
      <c r="P554" s="310">
        <f t="shared" ca="1" si="250"/>
        <v>23</v>
      </c>
      <c r="Q554" s="304">
        <f t="shared" ca="1" si="251"/>
        <v>0</v>
      </c>
      <c r="R554" s="306">
        <f t="shared" ca="1" si="252"/>
        <v>0</v>
      </c>
      <c r="S554" s="307">
        <f t="shared" ca="1" si="253"/>
        <v>6.4679999999999849</v>
      </c>
      <c r="T554" s="304">
        <f t="shared" ca="1" si="233"/>
        <v>63.451079999999855</v>
      </c>
      <c r="U554" s="311">
        <f t="shared" ca="1" si="234"/>
        <v>0</v>
      </c>
      <c r="V554" s="306">
        <f t="shared" ca="1" si="235"/>
        <v>0.97983121525109174</v>
      </c>
      <c r="W554" s="304">
        <f t="shared" ca="1" si="236"/>
        <v>62.499982802653079</v>
      </c>
      <c r="Y554" s="314" t="str">
        <f t="shared" ca="1" si="254"/>
        <v/>
      </c>
      <c r="Z554" s="315" t="str">
        <f t="shared" ca="1" si="255"/>
        <v/>
      </c>
      <c r="AA554" s="316" t="str">
        <f t="shared" ca="1" si="256"/>
        <v/>
      </c>
      <c r="AC554" s="310">
        <f t="shared" ca="1" si="257"/>
        <v>9.9999999999999201</v>
      </c>
      <c r="AD554" s="323">
        <f t="shared" ca="1" si="258"/>
        <v>258.27816515632287</v>
      </c>
      <c r="AE554" s="324">
        <f t="shared" ca="1" si="237"/>
        <v>2223.9233829151676</v>
      </c>
      <c r="AG554" s="306">
        <f t="shared" ca="1" si="259"/>
        <v>-19.638150377090895</v>
      </c>
      <c r="AH554" s="304">
        <f t="shared" ca="1" si="260"/>
        <v>-9.9278499312969757</v>
      </c>
    </row>
    <row r="555" spans="1:34" x14ac:dyDescent="0.2">
      <c r="A555" s="347">
        <f t="shared" ca="1" si="238"/>
        <v>0.1</v>
      </c>
      <c r="B555" s="304">
        <f t="shared" ca="1" si="239"/>
        <v>10.09999999999992</v>
      </c>
      <c r="D555" s="306">
        <f t="shared" ca="1" si="240"/>
        <v>-1.3828579211347636</v>
      </c>
      <c r="E555" s="307">
        <f t="shared" ca="1" si="241"/>
        <v>-19.373491674714472</v>
      </c>
      <c r="F555" s="304">
        <f t="shared" ca="1" si="242"/>
        <v>19.422782388223272</v>
      </c>
      <c r="G555" s="306">
        <f t="shared" ca="1" si="243"/>
        <v>21.762062766982098</v>
      </c>
      <c r="H555" s="307">
        <f t="shared" ca="1" si="244"/>
        <v>149.51985978888146</v>
      </c>
      <c r="I555" s="304">
        <f t="shared" ca="1" si="245"/>
        <v>151.09525421786364</v>
      </c>
      <c r="J555" s="306">
        <f t="shared" ca="1" si="246"/>
        <v>260.46128572262677</v>
      </c>
      <c r="K555" s="307">
        <f t="shared" ca="1" si="247"/>
        <v>2238.9722363524293</v>
      </c>
      <c r="L555" s="304">
        <f t="shared" ca="1" si="232"/>
        <v>2254.0711516093015</v>
      </c>
      <c r="M555" s="306">
        <f t="shared" ca="1" si="248"/>
        <v>1.4262648934744746</v>
      </c>
      <c r="N555" s="304">
        <f t="shared" ca="1" si="249"/>
        <v>81.718958863763348</v>
      </c>
      <c r="P555" s="310">
        <f t="shared" ca="1" si="250"/>
        <v>23</v>
      </c>
      <c r="Q555" s="304">
        <f t="shared" ca="1" si="251"/>
        <v>0</v>
      </c>
      <c r="R555" s="306">
        <f t="shared" ca="1" si="252"/>
        <v>0</v>
      </c>
      <c r="S555" s="307">
        <f t="shared" ca="1" si="253"/>
        <v>6.4679999999999849</v>
      </c>
      <c r="T555" s="304">
        <f t="shared" ca="1" si="233"/>
        <v>63.451079999999855</v>
      </c>
      <c r="U555" s="311">
        <f t="shared" ca="1" si="234"/>
        <v>0</v>
      </c>
      <c r="V555" s="306">
        <f t="shared" ca="1" si="235"/>
        <v>0.97833923165312764</v>
      </c>
      <c r="W555" s="304">
        <f t="shared" ca="1" si="236"/>
        <v>60.834933785028028</v>
      </c>
      <c r="Y555" s="314" t="str">
        <f t="shared" ca="1" si="254"/>
        <v/>
      </c>
      <c r="Z555" s="315" t="str">
        <f t="shared" ca="1" si="255"/>
        <v/>
      </c>
      <c r="AA555" s="316" t="str">
        <f t="shared" ca="1" si="256"/>
        <v/>
      </c>
      <c r="AC555" s="310" t="e">
        <f t="shared" ca="1" si="257"/>
        <v>#N/A</v>
      </c>
      <c r="AD555" s="323" t="e">
        <f t="shared" ca="1" si="258"/>
        <v>#N/A</v>
      </c>
      <c r="AE555" s="324">
        <f t="shared" ca="1" si="237"/>
        <v>2238.9722363524293</v>
      </c>
      <c r="AG555" s="306">
        <f t="shared" ca="1" si="259"/>
        <v>-19.371978109509911</v>
      </c>
      <c r="AH555" s="304">
        <f t="shared" ca="1" si="260"/>
        <v>-9.6629534326922109</v>
      </c>
    </row>
    <row r="556" spans="1:34" x14ac:dyDescent="0.2">
      <c r="A556" s="347">
        <f t="shared" ca="1" si="238"/>
        <v>0.1</v>
      </c>
      <c r="B556" s="304">
        <f t="shared" ca="1" si="239"/>
        <v>10.199999999999919</v>
      </c>
      <c r="D556" s="306">
        <f t="shared" ca="1" si="240"/>
        <v>-1.3546661013470549</v>
      </c>
      <c r="E556" s="307">
        <f t="shared" ca="1" si="241"/>
        <v>-19.11745801549084</v>
      </c>
      <c r="F556" s="304">
        <f t="shared" ca="1" si="242"/>
        <v>19.165393844640757</v>
      </c>
      <c r="G556" s="306">
        <f t="shared" ca="1" si="243"/>
        <v>21.626596156847391</v>
      </c>
      <c r="H556" s="307">
        <f t="shared" ca="1" si="244"/>
        <v>147.60811398733239</v>
      </c>
      <c r="I556" s="304">
        <f t="shared" ca="1" si="245"/>
        <v>149.18399705138845</v>
      </c>
      <c r="J556" s="306">
        <f t="shared" ca="1" si="246"/>
        <v>262.63071866881825</v>
      </c>
      <c r="K556" s="307">
        <f t="shared" ca="1" si="247"/>
        <v>2253.82863504124</v>
      </c>
      <c r="L556" s="304">
        <f t="shared" ca="1" si="232"/>
        <v>2269.0787581131594</v>
      </c>
      <c r="M556" s="306">
        <f t="shared" ca="1" si="248"/>
        <v>1.4253177929693162</v>
      </c>
      <c r="N556" s="304">
        <f t="shared" ca="1" si="249"/>
        <v>81.664694002043049</v>
      </c>
      <c r="P556" s="310">
        <f t="shared" ca="1" si="250"/>
        <v>23</v>
      </c>
      <c r="Q556" s="304">
        <f t="shared" ca="1" si="251"/>
        <v>0</v>
      </c>
      <c r="R556" s="306">
        <f t="shared" ca="1" si="252"/>
        <v>0</v>
      </c>
      <c r="S556" s="307">
        <f t="shared" ca="1" si="253"/>
        <v>6.4679999999999849</v>
      </c>
      <c r="T556" s="304">
        <f t="shared" ca="1" si="233"/>
        <v>63.451079999999855</v>
      </c>
      <c r="U556" s="311">
        <f t="shared" ca="1" si="234"/>
        <v>0</v>
      </c>
      <c r="V556" s="306">
        <f t="shared" ca="1" si="235"/>
        <v>0.97686830785799295</v>
      </c>
      <c r="W556" s="304">
        <f t="shared" ca="1" si="236"/>
        <v>59.216457231878174</v>
      </c>
      <c r="Y556" s="314" t="str">
        <f t="shared" ca="1" si="254"/>
        <v/>
      </c>
      <c r="Z556" s="315" t="str">
        <f t="shared" ca="1" si="255"/>
        <v/>
      </c>
      <c r="AA556" s="316" t="str">
        <f t="shared" ca="1" si="256"/>
        <v/>
      </c>
      <c r="AC556" s="310" t="e">
        <f t="shared" ca="1" si="257"/>
        <v>#N/A</v>
      </c>
      <c r="AD556" s="323" t="e">
        <f t="shared" ca="1" si="258"/>
        <v>#N/A</v>
      </c>
      <c r="AE556" s="324">
        <f t="shared" ca="1" si="237"/>
        <v>2253.82863504124</v>
      </c>
      <c r="AG556" s="306">
        <f t="shared" ca="1" si="259"/>
        <v>-19.113240754456491</v>
      </c>
      <c r="AH556" s="304">
        <f t="shared" ca="1" si="260"/>
        <v>-9.4055247039313805</v>
      </c>
    </row>
    <row r="557" spans="1:34" x14ac:dyDescent="0.2">
      <c r="A557" s="347">
        <f t="shared" ca="1" si="238"/>
        <v>0.1</v>
      </c>
      <c r="B557" s="304">
        <f t="shared" ca="1" si="239"/>
        <v>10.299999999999919</v>
      </c>
      <c r="D557" s="306">
        <f t="shared" ca="1" si="240"/>
        <v>-1.3272060156758294</v>
      </c>
      <c r="E557" s="307">
        <f t="shared" ca="1" si="241"/>
        <v>-18.868585799898209</v>
      </c>
      <c r="F557" s="304">
        <f t="shared" ca="1" si="242"/>
        <v>18.91520567945711</v>
      </c>
      <c r="G557" s="306">
        <f t="shared" ca="1" si="243"/>
        <v>21.493875555279807</v>
      </c>
      <c r="H557" s="307">
        <f t="shared" ca="1" si="244"/>
        <v>145.72125540734257</v>
      </c>
      <c r="I557" s="304">
        <f t="shared" ca="1" si="245"/>
        <v>147.29789870829055</v>
      </c>
      <c r="J557" s="306">
        <f t="shared" ca="1" si="246"/>
        <v>264.78674225442461</v>
      </c>
      <c r="K557" s="307">
        <f t="shared" ca="1" si="247"/>
        <v>2268.4951035109739</v>
      </c>
      <c r="L557" s="304">
        <f t="shared" ca="1" si="232"/>
        <v>2283.8962440371442</v>
      </c>
      <c r="M557" s="306">
        <f t="shared" ca="1" si="248"/>
        <v>1.4243523236995117</v>
      </c>
      <c r="N557" s="304">
        <f t="shared" ca="1" si="249"/>
        <v>81.609376687633684</v>
      </c>
      <c r="P557" s="310">
        <f t="shared" ca="1" si="250"/>
        <v>23</v>
      </c>
      <c r="Q557" s="304">
        <f t="shared" ca="1" si="251"/>
        <v>0</v>
      </c>
      <c r="R557" s="306">
        <f t="shared" ca="1" si="252"/>
        <v>0</v>
      </c>
      <c r="S557" s="307">
        <f t="shared" ca="1" si="253"/>
        <v>6.4679999999999849</v>
      </c>
      <c r="T557" s="304">
        <f t="shared" ca="1" si="233"/>
        <v>63.451079999999855</v>
      </c>
      <c r="U557" s="311">
        <f t="shared" ca="1" si="234"/>
        <v>0</v>
      </c>
      <c r="V557" s="306">
        <f t="shared" ca="1" si="235"/>
        <v>0.97541811412188295</v>
      </c>
      <c r="W557" s="304">
        <f t="shared" ca="1" si="236"/>
        <v>57.642902710949663</v>
      </c>
      <c r="Y557" s="314" t="str">
        <f t="shared" ca="1" si="254"/>
        <v/>
      </c>
      <c r="Z557" s="315" t="str">
        <f t="shared" ca="1" si="255"/>
        <v/>
      </c>
      <c r="AA557" s="316" t="str">
        <f t="shared" ca="1" si="256"/>
        <v/>
      </c>
      <c r="AC557" s="310" t="e">
        <f t="shared" ca="1" si="257"/>
        <v>#N/A</v>
      </c>
      <c r="AD557" s="323" t="e">
        <f t="shared" ca="1" si="258"/>
        <v>#N/A</v>
      </c>
      <c r="AE557" s="324">
        <f t="shared" ca="1" si="237"/>
        <v>2268.4951035109739</v>
      </c>
      <c r="AG557" s="306">
        <f t="shared" ca="1" si="259"/>
        <v>-18.861669935548271</v>
      </c>
      <c r="AH557" s="304">
        <f t="shared" ca="1" si="260"/>
        <v>-9.1552964180393186</v>
      </c>
    </row>
    <row r="558" spans="1:34" x14ac:dyDescent="0.2">
      <c r="A558" s="347">
        <f t="shared" ca="1" si="238"/>
        <v>0.1</v>
      </c>
      <c r="B558" s="304">
        <f t="shared" ca="1" si="239"/>
        <v>10.399999999999919</v>
      </c>
      <c r="D558" s="306">
        <f t="shared" ca="1" si="240"/>
        <v>-1.3004510504120159</v>
      </c>
      <c r="E558" s="307">
        <f t="shared" ca="1" si="241"/>
        <v>-18.626621235870424</v>
      </c>
      <c r="F558" s="304">
        <f t="shared" ca="1" si="242"/>
        <v>18.671962714163094</v>
      </c>
      <c r="G558" s="306">
        <f t="shared" ca="1" si="243"/>
        <v>21.363830450238606</v>
      </c>
      <c r="H558" s="307">
        <f t="shared" ca="1" si="244"/>
        <v>143.85859328375554</v>
      </c>
      <c r="I558" s="304">
        <f t="shared" ca="1" si="245"/>
        <v>145.43626821768888</v>
      </c>
      <c r="J558" s="306">
        <f t="shared" ca="1" si="246"/>
        <v>266.92962755470052</v>
      </c>
      <c r="K558" s="307">
        <f t="shared" ca="1" si="247"/>
        <v>2282.9740959455289</v>
      </c>
      <c r="L558" s="304">
        <f t="shared" ca="1" si="232"/>
        <v>2298.5260818239144</v>
      </c>
      <c r="M558" s="306">
        <f t="shared" ca="1" si="248"/>
        <v>1.4233680530523491</v>
      </c>
      <c r="N558" s="304">
        <f t="shared" ca="1" si="249"/>
        <v>81.552982133652662</v>
      </c>
      <c r="P558" s="310">
        <f t="shared" ca="1" si="250"/>
        <v>23</v>
      </c>
      <c r="Q558" s="304">
        <f t="shared" ca="1" si="251"/>
        <v>0</v>
      </c>
      <c r="R558" s="306">
        <f t="shared" ca="1" si="252"/>
        <v>0</v>
      </c>
      <c r="S558" s="307">
        <f t="shared" ca="1" si="253"/>
        <v>6.4679999999999849</v>
      </c>
      <c r="T558" s="304">
        <f t="shared" ca="1" si="233"/>
        <v>63.451079999999855</v>
      </c>
      <c r="U558" s="311">
        <f t="shared" ca="1" si="234"/>
        <v>0</v>
      </c>
      <c r="V558" s="306">
        <f t="shared" ca="1" si="235"/>
        <v>0.97398833023890352</v>
      </c>
      <c r="W558" s="304">
        <f t="shared" ca="1" si="236"/>
        <v>56.112694172074065</v>
      </c>
      <c r="Y558" s="314" t="str">
        <f t="shared" ca="1" si="254"/>
        <v/>
      </c>
      <c r="Z558" s="315" t="str">
        <f t="shared" ca="1" si="255"/>
        <v/>
      </c>
      <c r="AA558" s="316" t="str">
        <f t="shared" ca="1" si="256"/>
        <v/>
      </c>
      <c r="AC558" s="310" t="e">
        <f t="shared" ca="1" si="257"/>
        <v>#N/A</v>
      </c>
      <c r="AD558" s="323" t="e">
        <f t="shared" ca="1" si="258"/>
        <v>#N/A</v>
      </c>
      <c r="AE558" s="324">
        <f t="shared" ca="1" si="237"/>
        <v>2282.9740959455289</v>
      </c>
      <c r="AG558" s="306">
        <f t="shared" ca="1" si="259"/>
        <v>-18.617009391031107</v>
      </c>
      <c r="AH558" s="304">
        <f t="shared" ca="1" si="260"/>
        <v>-8.9120134061456096</v>
      </c>
    </row>
    <row r="559" spans="1:34" x14ac:dyDescent="0.2">
      <c r="A559" s="347">
        <f t="shared" ca="1" si="238"/>
        <v>0.1</v>
      </c>
      <c r="B559" s="304">
        <f t="shared" ca="1" si="239"/>
        <v>10.499999999999918</v>
      </c>
      <c r="D559" s="306">
        <f t="shared" ca="1" si="240"/>
        <v>-1.2743757839013721</v>
      </c>
      <c r="E559" s="307">
        <f t="shared" ca="1" si="241"/>
        <v>-18.391321969108169</v>
      </c>
      <c r="F559" s="304">
        <f t="shared" ca="1" si="242"/>
        <v>18.435421270206849</v>
      </c>
      <c r="G559" s="306">
        <f t="shared" ca="1" si="243"/>
        <v>21.236392871848469</v>
      </c>
      <c r="H559" s="307">
        <f t="shared" ca="1" si="244"/>
        <v>142.01946108684473</v>
      </c>
      <c r="I559" s="304">
        <f t="shared" ca="1" si="245"/>
        <v>143.59843909181362</v>
      </c>
      <c r="J559" s="306">
        <f t="shared" ca="1" si="246"/>
        <v>269.05963872080486</v>
      </c>
      <c r="K559" s="307">
        <f t="shared" ca="1" si="247"/>
        <v>2297.2679986640587</v>
      </c>
      <c r="L559" s="304">
        <f t="shared" ca="1" si="232"/>
        <v>2312.9706757489466</v>
      </c>
      <c r="M559" s="306">
        <f t="shared" ca="1" si="248"/>
        <v>1.42236453367848</v>
      </c>
      <c r="N559" s="304">
        <f t="shared" ca="1" si="249"/>
        <v>81.49548470887035</v>
      </c>
      <c r="P559" s="310">
        <f t="shared" ca="1" si="250"/>
        <v>23</v>
      </c>
      <c r="Q559" s="304">
        <f t="shared" ca="1" si="251"/>
        <v>0</v>
      </c>
      <c r="R559" s="306">
        <f t="shared" ca="1" si="252"/>
        <v>0</v>
      </c>
      <c r="S559" s="307">
        <f t="shared" ca="1" si="253"/>
        <v>6.4679999999999849</v>
      </c>
      <c r="T559" s="304">
        <f t="shared" ca="1" si="233"/>
        <v>63.451079999999855</v>
      </c>
      <c r="U559" s="311">
        <f t="shared" ca="1" si="234"/>
        <v>0</v>
      </c>
      <c r="V559" s="306">
        <f t="shared" ca="1" si="235"/>
        <v>0.97257864519257875</v>
      </c>
      <c r="W559" s="304">
        <f t="shared" ca="1" si="236"/>
        <v>54.624325958551516</v>
      </c>
      <c r="Y559" s="314" t="str">
        <f t="shared" ca="1" si="254"/>
        <v/>
      </c>
      <c r="Z559" s="315" t="str">
        <f t="shared" ca="1" si="255"/>
        <v/>
      </c>
      <c r="AA559" s="316" t="str">
        <f t="shared" ca="1" si="256"/>
        <v/>
      </c>
      <c r="AC559" s="310" t="e">
        <f t="shared" ca="1" si="257"/>
        <v>#N/A</v>
      </c>
      <c r="AD559" s="323" t="e">
        <f t="shared" ca="1" si="258"/>
        <v>#N/A</v>
      </c>
      <c r="AE559" s="324">
        <f t="shared" ca="1" si="237"/>
        <v>2297.2679986640587</v>
      </c>
      <c r="AG559" s="306">
        <f t="shared" ca="1" si="259"/>
        <v>-18.379014313546485</v>
      </c>
      <c r="AH559" s="304">
        <f t="shared" ca="1" si="260"/>
        <v>-8.6754319993930427</v>
      </c>
    </row>
    <row r="560" spans="1:34" x14ac:dyDescent="0.2">
      <c r="A560" s="347">
        <f t="shared" ca="1" si="238"/>
        <v>0.1</v>
      </c>
      <c r="B560" s="304">
        <f t="shared" ca="1" si="239"/>
        <v>10.599999999999918</v>
      </c>
      <c r="D560" s="306">
        <f t="shared" ca="1" si="240"/>
        <v>-1.2489559225118585</v>
      </c>
      <c r="E560" s="307">
        <f t="shared" ca="1" si="241"/>
        <v>-18.162456469737457</v>
      </c>
      <c r="F560" s="304">
        <f t="shared" ca="1" si="242"/>
        <v>18.2053485523207</v>
      </c>
      <c r="G560" s="306">
        <f t="shared" ca="1" si="243"/>
        <v>21.111497279597284</v>
      </c>
      <c r="H560" s="307">
        <f t="shared" ca="1" si="244"/>
        <v>140.20321543987097</v>
      </c>
      <c r="I560" s="304">
        <f t="shared" ca="1" si="245"/>
        <v>141.78376824257887</v>
      </c>
      <c r="J560" s="306">
        <f t="shared" ca="1" si="246"/>
        <v>271.17703322837713</v>
      </c>
      <c r="K560" s="307">
        <f t="shared" ca="1" si="247"/>
        <v>2311.3791324903946</v>
      </c>
      <c r="L560" s="304">
        <f t="shared" ca="1" si="232"/>
        <v>2327.2323643037007</v>
      </c>
      <c r="M560" s="306">
        <f t="shared" ca="1" si="248"/>
        <v>1.4213413028871484</v>
      </c>
      <c r="N560" s="304">
        <f t="shared" ca="1" si="249"/>
        <v>81.43685790305922</v>
      </c>
      <c r="P560" s="310">
        <f t="shared" ca="1" si="250"/>
        <v>23</v>
      </c>
      <c r="Q560" s="304">
        <f t="shared" ca="1" si="251"/>
        <v>0</v>
      </c>
      <c r="R560" s="306">
        <f t="shared" ca="1" si="252"/>
        <v>0</v>
      </c>
      <c r="S560" s="307">
        <f t="shared" ca="1" si="253"/>
        <v>6.4679999999999849</v>
      </c>
      <c r="T560" s="304">
        <f t="shared" ca="1" si="233"/>
        <v>63.451079999999855</v>
      </c>
      <c r="U560" s="311">
        <f t="shared" ca="1" si="234"/>
        <v>0</v>
      </c>
      <c r="V560" s="306">
        <f t="shared" ca="1" si="235"/>
        <v>0.97118875682341677</v>
      </c>
      <c r="W560" s="304">
        <f t="shared" ca="1" si="236"/>
        <v>53.176359067301263</v>
      </c>
      <c r="Y560" s="314" t="str">
        <f t="shared" ca="1" si="254"/>
        <v/>
      </c>
      <c r="Z560" s="315" t="str">
        <f t="shared" ca="1" si="255"/>
        <v/>
      </c>
      <c r="AA560" s="316" t="str">
        <f t="shared" ca="1" si="256"/>
        <v/>
      </c>
      <c r="AC560" s="310" t="e">
        <f t="shared" ca="1" si="257"/>
        <v>#N/A</v>
      </c>
      <c r="AD560" s="323" t="e">
        <f t="shared" ca="1" si="258"/>
        <v>#N/A</v>
      </c>
      <c r="AE560" s="324">
        <f t="shared" ca="1" si="237"/>
        <v>2311.3791324903946</v>
      </c>
      <c r="AG560" s="306">
        <f t="shared" ca="1" si="259"/>
        <v>-18.147450731196951</v>
      </c>
      <c r="AH560" s="304">
        <f t="shared" ca="1" si="260"/>
        <v>-8.4453194122683435</v>
      </c>
    </row>
    <row r="561" spans="1:34" x14ac:dyDescent="0.2">
      <c r="A561" s="347">
        <f t="shared" ca="1" si="238"/>
        <v>0.1</v>
      </c>
      <c r="B561" s="304">
        <f t="shared" ca="1" si="239"/>
        <v>10.699999999999918</v>
      </c>
      <c r="D561" s="306">
        <f t="shared" ca="1" si="240"/>
        <v>-1.2241682405949756</v>
      </c>
      <c r="E561" s="307">
        <f t="shared" ca="1" si="241"/>
        <v>-17.939803457221167</v>
      </c>
      <c r="F561" s="304">
        <f t="shared" ca="1" si="242"/>
        <v>17.981522070308898</v>
      </c>
      <c r="G561" s="306">
        <f t="shared" ca="1" si="243"/>
        <v>20.989080455537785</v>
      </c>
      <c r="H561" s="307">
        <f t="shared" ca="1" si="244"/>
        <v>138.40923509414887</v>
      </c>
      <c r="I561" s="304">
        <f t="shared" ca="1" si="245"/>
        <v>139.99163495622304</v>
      </c>
      <c r="J561" s="306">
        <f t="shared" ca="1" si="246"/>
        <v>273.2820621151339</v>
      </c>
      <c r="K561" s="307">
        <f t="shared" ca="1" si="247"/>
        <v>2325.3097550170955</v>
      </c>
      <c r="L561" s="304">
        <f t="shared" ca="1" si="232"/>
        <v>2341.3134224728574</v>
      </c>
      <c r="M561" s="306">
        <f t="shared" ca="1" si="248"/>
        <v>1.4202978820110306</v>
      </c>
      <c r="N561" s="304">
        <f t="shared" ca="1" si="249"/>
        <v>81.377074290601826</v>
      </c>
      <c r="P561" s="310">
        <f t="shared" ca="1" si="250"/>
        <v>23</v>
      </c>
      <c r="Q561" s="304">
        <f t="shared" ca="1" si="251"/>
        <v>0</v>
      </c>
      <c r="R561" s="306">
        <f t="shared" ca="1" si="252"/>
        <v>0</v>
      </c>
      <c r="S561" s="307">
        <f t="shared" ca="1" si="253"/>
        <v>6.4679999999999849</v>
      </c>
      <c r="T561" s="304">
        <f t="shared" ca="1" si="233"/>
        <v>63.451079999999855</v>
      </c>
      <c r="U561" s="311">
        <f t="shared" ca="1" si="234"/>
        <v>0</v>
      </c>
      <c r="V561" s="306">
        <f t="shared" ca="1" si="235"/>
        <v>0.96981837151165995</v>
      </c>
      <c r="W561" s="304">
        <f t="shared" ca="1" si="236"/>
        <v>51.767417640158492</v>
      </c>
      <c r="Y561" s="314" t="str">
        <f t="shared" ca="1" si="254"/>
        <v/>
      </c>
      <c r="Z561" s="315" t="str">
        <f t="shared" ca="1" si="255"/>
        <v/>
      </c>
      <c r="AA561" s="316" t="str">
        <f t="shared" ca="1" si="256"/>
        <v/>
      </c>
      <c r="AC561" s="310" t="e">
        <f t="shared" ca="1" si="257"/>
        <v>#N/A</v>
      </c>
      <c r="AD561" s="323" t="e">
        <f t="shared" ca="1" si="258"/>
        <v>#N/A</v>
      </c>
      <c r="AE561" s="324">
        <f t="shared" ca="1" si="237"/>
        <v>2325.3097550170955</v>
      </c>
      <c r="AG561" s="306">
        <f t="shared" ca="1" si="259"/>
        <v>-17.922094926940368</v>
      </c>
      <c r="AH561" s="304">
        <f t="shared" ca="1" si="260"/>
        <v>-8.2214531643941537</v>
      </c>
    </row>
    <row r="562" spans="1:34" x14ac:dyDescent="0.2">
      <c r="A562" s="347">
        <f t="shared" ca="1" si="238"/>
        <v>0.1</v>
      </c>
      <c r="B562" s="304">
        <f t="shared" ca="1" si="239"/>
        <v>10.799999999999917</v>
      </c>
      <c r="D562" s="306">
        <f t="shared" ca="1" si="240"/>
        <v>-1.1999905241582765</v>
      </c>
      <c r="E562" s="307">
        <f t="shared" ca="1" si="241"/>
        <v>-17.723151360814025</v>
      </c>
      <c r="F562" s="304">
        <f t="shared" ca="1" si="242"/>
        <v>17.763729096571858</v>
      </c>
      <c r="G562" s="306">
        <f t="shared" ca="1" si="243"/>
        <v>20.869081403121957</v>
      </c>
      <c r="H562" s="307">
        <f t="shared" ca="1" si="244"/>
        <v>136.63691995806747</v>
      </c>
      <c r="I562" s="304">
        <f t="shared" ca="1" si="245"/>
        <v>138.22143992245728</v>
      </c>
      <c r="J562" s="306">
        <f t="shared" ca="1" si="246"/>
        <v>275.37497020806688</v>
      </c>
      <c r="K562" s="307">
        <f t="shared" ca="1" si="247"/>
        <v>2339.0620627697062</v>
      </c>
      <c r="L562" s="304">
        <f t="shared" ca="1" si="232"/>
        <v>2355.2160639112426</v>
      </c>
      <c r="M562" s="306">
        <f t="shared" ca="1" si="248"/>
        <v>1.4192337757389226</v>
      </c>
      <c r="N562" s="304">
        <f t="shared" ca="1" si="249"/>
        <v>81.316105492256639</v>
      </c>
      <c r="P562" s="310">
        <f t="shared" ca="1" si="250"/>
        <v>23</v>
      </c>
      <c r="Q562" s="304">
        <f t="shared" ca="1" si="251"/>
        <v>0</v>
      </c>
      <c r="R562" s="306">
        <f t="shared" ca="1" si="252"/>
        <v>0</v>
      </c>
      <c r="S562" s="307">
        <f t="shared" ca="1" si="253"/>
        <v>6.4679999999999849</v>
      </c>
      <c r="T562" s="304">
        <f t="shared" ca="1" si="233"/>
        <v>63.451079999999855</v>
      </c>
      <c r="U562" s="311">
        <f t="shared" ca="1" si="234"/>
        <v>0</v>
      </c>
      <c r="V562" s="306">
        <f t="shared" ca="1" si="235"/>
        <v>0.96846720387439322</v>
      </c>
      <c r="W562" s="304">
        <f t="shared" ca="1" si="236"/>
        <v>50.396185670091356</v>
      </c>
      <c r="Y562" s="314" t="str">
        <f t="shared" ca="1" si="254"/>
        <v/>
      </c>
      <c r="Z562" s="315" t="str">
        <f t="shared" ca="1" si="255"/>
        <v/>
      </c>
      <c r="AA562" s="316" t="str">
        <f t="shared" ca="1" si="256"/>
        <v/>
      </c>
      <c r="AC562" s="310" t="e">
        <f t="shared" ca="1" si="257"/>
        <v>#N/A</v>
      </c>
      <c r="AD562" s="323" t="e">
        <f t="shared" ca="1" si="258"/>
        <v>#N/A</v>
      </c>
      <c r="AE562" s="324">
        <f t="shared" ca="1" si="237"/>
        <v>2339.0620627697062</v>
      </c>
      <c r="AG562" s="306">
        <f t="shared" ca="1" si="259"/>
        <v>-17.702732893579721</v>
      </c>
      <c r="AH562" s="304">
        <f t="shared" ca="1" si="260"/>
        <v>-8.003620538057918</v>
      </c>
    </row>
    <row r="563" spans="1:34" x14ac:dyDescent="0.2">
      <c r="A563" s="347">
        <f t="shared" ca="1" si="238"/>
        <v>0.1</v>
      </c>
      <c r="B563" s="304">
        <f t="shared" ca="1" si="239"/>
        <v>10.899999999999917</v>
      </c>
      <c r="D563" s="306">
        <f t="shared" ca="1" si="240"/>
        <v>-1.176401517988608</v>
      </c>
      <c r="E563" s="307">
        <f t="shared" ca="1" si="241"/>
        <v>-17.512297813065803</v>
      </c>
      <c r="F563" s="304">
        <f t="shared" ca="1" si="242"/>
        <v>17.551766156858267</v>
      </c>
      <c r="G563" s="306">
        <f t="shared" ca="1" si="243"/>
        <v>20.751441251323097</v>
      </c>
      <c r="H563" s="307">
        <f t="shared" ca="1" si="244"/>
        <v>134.88569017676087</v>
      </c>
      <c r="I563" s="304">
        <f t="shared" ca="1" si="245"/>
        <v>136.47260431481564</v>
      </c>
      <c r="J563" s="306">
        <f t="shared" ca="1" si="246"/>
        <v>277.45599634078911</v>
      </c>
      <c r="K563" s="307">
        <f t="shared" ca="1" si="247"/>
        <v>2352.6381932764475</v>
      </c>
      <c r="L563" s="304">
        <f t="shared" ca="1" si="232"/>
        <v>2368.9424430256904</v>
      </c>
      <c r="M563" s="306">
        <f t="shared" ca="1" si="248"/>
        <v>1.4181484714143915</v>
      </c>
      <c r="N563" s="304">
        <f t="shared" ca="1" si="249"/>
        <v>81.253922134973706</v>
      </c>
      <c r="P563" s="310">
        <f t="shared" ca="1" si="250"/>
        <v>23</v>
      </c>
      <c r="Q563" s="304">
        <f t="shared" ca="1" si="251"/>
        <v>0</v>
      </c>
      <c r="R563" s="306">
        <f t="shared" ca="1" si="252"/>
        <v>0</v>
      </c>
      <c r="S563" s="307">
        <f t="shared" ca="1" si="253"/>
        <v>6.4679999999999849</v>
      </c>
      <c r="T563" s="304">
        <f t="shared" ca="1" si="233"/>
        <v>63.451079999999855</v>
      </c>
      <c r="U563" s="311">
        <f t="shared" ca="1" si="234"/>
        <v>0</v>
      </c>
      <c r="V563" s="306">
        <f t="shared" ca="1" si="235"/>
        <v>0.96713497647624136</v>
      </c>
      <c r="W563" s="304">
        <f t="shared" ca="1" si="236"/>
        <v>49.061403907386385</v>
      </c>
      <c r="Y563" s="314" t="str">
        <f t="shared" ca="1" si="254"/>
        <v/>
      </c>
      <c r="Z563" s="315" t="str">
        <f t="shared" ca="1" si="255"/>
        <v/>
      </c>
      <c r="AA563" s="316" t="str">
        <f t="shared" ca="1" si="256"/>
        <v/>
      </c>
      <c r="AC563" s="310" t="e">
        <f t="shared" ca="1" si="257"/>
        <v>#N/A</v>
      </c>
      <c r="AD563" s="323" t="e">
        <f t="shared" ca="1" si="258"/>
        <v>#N/A</v>
      </c>
      <c r="AE563" s="324">
        <f t="shared" ca="1" si="237"/>
        <v>2352.6381932764475</v>
      </c>
      <c r="AG563" s="306">
        <f t="shared" ca="1" si="259"/>
        <v>-17.489159821830317</v>
      </c>
      <c r="AH563" s="304">
        <f t="shared" ca="1" si="260"/>
        <v>-7.7916180689689973</v>
      </c>
    </row>
    <row r="564" spans="1:34" x14ac:dyDescent="0.2">
      <c r="A564" s="347">
        <f t="shared" ca="1" si="238"/>
        <v>0.1</v>
      </c>
      <c r="B564" s="304">
        <f t="shared" ca="1" si="239"/>
        <v>10.999999999999917</v>
      </c>
      <c r="D564" s="306">
        <f t="shared" ca="1" si="240"/>
        <v>-1.1533808759861557</v>
      </c>
      <c r="E564" s="307">
        <f t="shared" ca="1" si="241"/>
        <v>-17.307049174073651</v>
      </c>
      <c r="F564" s="304">
        <f t="shared" ca="1" si="242"/>
        <v>17.345438551933302</v>
      </c>
      <c r="G564" s="306">
        <f t="shared" ca="1" si="243"/>
        <v>20.636103163724481</v>
      </c>
      <c r="H564" s="307">
        <f t="shared" ca="1" si="244"/>
        <v>133.15498525935351</v>
      </c>
      <c r="I564" s="304">
        <f t="shared" ca="1" si="245"/>
        <v>134.74456891913132</v>
      </c>
      <c r="J564" s="306">
        <f t="shared" ca="1" si="246"/>
        <v>279.52537356154147</v>
      </c>
      <c r="K564" s="307">
        <f t="shared" ca="1" si="247"/>
        <v>2366.0402270482532</v>
      </c>
      <c r="L564" s="304">
        <f t="shared" ca="1" si="232"/>
        <v>2382.4946569667832</v>
      </c>
      <c r="M564" s="306">
        <f t="shared" ca="1" si="248"/>
        <v>1.4170414382983771</v>
      </c>
      <c r="N564" s="304">
        <f t="shared" ca="1" si="249"/>
        <v>81.190493809644863</v>
      </c>
      <c r="P564" s="310">
        <f t="shared" ca="1" si="250"/>
        <v>23</v>
      </c>
      <c r="Q564" s="304">
        <f t="shared" ca="1" si="251"/>
        <v>0</v>
      </c>
      <c r="R564" s="306">
        <f t="shared" ca="1" si="252"/>
        <v>0</v>
      </c>
      <c r="S564" s="307">
        <f t="shared" ca="1" si="253"/>
        <v>6.4679999999999849</v>
      </c>
      <c r="T564" s="304">
        <f t="shared" ca="1" si="233"/>
        <v>63.451079999999855</v>
      </c>
      <c r="U564" s="311">
        <f t="shared" ca="1" si="234"/>
        <v>0</v>
      </c>
      <c r="V564" s="306">
        <f t="shared" ca="1" si="235"/>
        <v>0.96582141955293954</v>
      </c>
      <c r="W564" s="304">
        <f t="shared" ca="1" si="236"/>
        <v>47.761866952013847</v>
      </c>
      <c r="Y564" s="314" t="str">
        <f t="shared" ca="1" si="254"/>
        <v/>
      </c>
      <c r="Z564" s="315" t="str">
        <f t="shared" ca="1" si="255"/>
        <v/>
      </c>
      <c r="AA564" s="316" t="str">
        <f t="shared" ca="1" si="256"/>
        <v/>
      </c>
      <c r="AC564" s="310">
        <f t="shared" ca="1" si="257"/>
        <v>10.999999999999917</v>
      </c>
      <c r="AD564" s="323">
        <f t="shared" ca="1" si="258"/>
        <v>279.52537356154147</v>
      </c>
      <c r="AE564" s="324">
        <f t="shared" ca="1" si="237"/>
        <v>2366.0402270482532</v>
      </c>
      <c r="AG564" s="306">
        <f t="shared" ca="1" si="259"/>
        <v>-17.281179619142492</v>
      </c>
      <c r="AH564" s="304">
        <f t="shared" ca="1" si="260"/>
        <v>-7.5852510679323597</v>
      </c>
    </row>
    <row r="565" spans="1:34" x14ac:dyDescent="0.2">
      <c r="A565" s="347">
        <f t="shared" ca="1" si="238"/>
        <v>0.1</v>
      </c>
      <c r="B565" s="304">
        <f t="shared" ca="1" si="239"/>
        <v>11.099999999999916</v>
      </c>
      <c r="D565" s="306">
        <f t="shared" ca="1" si="240"/>
        <v>-1.1309091144880212</v>
      </c>
      <c r="E565" s="307">
        <f t="shared" ca="1" si="241"/>
        <v>-17.107220084363185</v>
      </c>
      <c r="F565" s="304">
        <f t="shared" ca="1" si="242"/>
        <v>17.144559908031212</v>
      </c>
      <c r="G565" s="306">
        <f t="shared" ca="1" si="243"/>
        <v>20.523012252275681</v>
      </c>
      <c r="H565" s="307">
        <f t="shared" ca="1" si="244"/>
        <v>131.4442632509172</v>
      </c>
      <c r="I565" s="304">
        <f t="shared" ca="1" si="245"/>
        <v>133.03679330727826</v>
      </c>
      <c r="J565" s="306">
        <f t="shared" ca="1" si="246"/>
        <v>281.58332933234146</v>
      </c>
      <c r="K565" s="307">
        <f t="shared" ca="1" si="247"/>
        <v>2379.2701894737665</v>
      </c>
      <c r="L565" s="304">
        <f t="shared" ca="1" si="232"/>
        <v>2395.8747475351083</v>
      </c>
      <c r="M565" s="306">
        <f t="shared" ca="1" si="248"/>
        <v>1.4159121267936028</v>
      </c>
      <c r="N565" s="304">
        <f t="shared" ca="1" si="249"/>
        <v>81.125789026665728</v>
      </c>
      <c r="P565" s="310">
        <f t="shared" ca="1" si="250"/>
        <v>23</v>
      </c>
      <c r="Q565" s="304">
        <f t="shared" ca="1" si="251"/>
        <v>0</v>
      </c>
      <c r="R565" s="306">
        <f t="shared" ca="1" si="252"/>
        <v>0</v>
      </c>
      <c r="S565" s="307">
        <f t="shared" ca="1" si="253"/>
        <v>6.4679999999999849</v>
      </c>
      <c r="T565" s="304">
        <f t="shared" ca="1" si="233"/>
        <v>63.451079999999855</v>
      </c>
      <c r="U565" s="311">
        <f t="shared" ca="1" si="234"/>
        <v>0</v>
      </c>
      <c r="V565" s="306">
        <f t="shared" ca="1" si="235"/>
        <v>0.96452627074708941</v>
      </c>
      <c r="W565" s="304">
        <f t="shared" ca="1" si="236"/>
        <v>46.496420519446481</v>
      </c>
      <c r="Y565" s="314" t="str">
        <f t="shared" ca="1" si="254"/>
        <v/>
      </c>
      <c r="Z565" s="315" t="str">
        <f t="shared" ca="1" si="255"/>
        <v/>
      </c>
      <c r="AA565" s="316" t="str">
        <f t="shared" ca="1" si="256"/>
        <v/>
      </c>
      <c r="AC565" s="310" t="e">
        <f t="shared" ca="1" si="257"/>
        <v>#N/A</v>
      </c>
      <c r="AD565" s="323" t="e">
        <f t="shared" ca="1" si="258"/>
        <v>#N/A</v>
      </c>
      <c r="AE565" s="324">
        <f t="shared" ca="1" si="237"/>
        <v>2379.2701894737665</v>
      </c>
      <c r="AG565" s="306">
        <f t="shared" ca="1" si="259"/>
        <v>-17.078604457136908</v>
      </c>
      <c r="AH565" s="304">
        <f t="shared" ca="1" si="260"/>
        <v>-7.3843331713070439</v>
      </c>
    </row>
    <row r="566" spans="1:34" x14ac:dyDescent="0.2">
      <c r="A566" s="347">
        <f t="shared" ca="1" si="238"/>
        <v>0.1</v>
      </c>
      <c r="B566" s="304">
        <f t="shared" ca="1" si="239"/>
        <v>11.199999999999916</v>
      </c>
      <c r="D566" s="306">
        <f t="shared" ca="1" si="240"/>
        <v>-1.1089675683770959</v>
      </c>
      <c r="E566" s="307">
        <f t="shared" ca="1" si="241"/>
        <v>-16.912633044441382</v>
      </c>
      <c r="F566" s="304">
        <f t="shared" ca="1" si="242"/>
        <v>16.948951754124582</v>
      </c>
      <c r="G566" s="306">
        <f t="shared" ca="1" si="243"/>
        <v>20.41211549543797</v>
      </c>
      <c r="H566" s="307">
        <f t="shared" ca="1" si="244"/>
        <v>129.75299994647307</v>
      </c>
      <c r="I566" s="304">
        <f t="shared" ca="1" si="245"/>
        <v>131.34875505351599</v>
      </c>
      <c r="J566" s="306">
        <f t="shared" ca="1" si="246"/>
        <v>283.63008571972716</v>
      </c>
      <c r="K566" s="307">
        <f t="shared" ca="1" si="247"/>
        <v>2392.3300526336361</v>
      </c>
      <c r="L566" s="304">
        <f t="shared" ca="1" si="232"/>
        <v>2409.0847030064006</v>
      </c>
      <c r="M566" s="306">
        <f t="shared" ca="1" si="248"/>
        <v>1.4147599676284945</v>
      </c>
      <c r="N566" s="304">
        <f t="shared" ca="1" si="249"/>
        <v>81.059775169177712</v>
      </c>
      <c r="P566" s="310">
        <f t="shared" ca="1" si="250"/>
        <v>23</v>
      </c>
      <c r="Q566" s="304">
        <f t="shared" ca="1" si="251"/>
        <v>0</v>
      </c>
      <c r="R566" s="306">
        <f t="shared" ca="1" si="252"/>
        <v>0</v>
      </c>
      <c r="S566" s="307">
        <f t="shared" ca="1" si="253"/>
        <v>6.4679999999999849</v>
      </c>
      <c r="T566" s="304">
        <f t="shared" ca="1" si="233"/>
        <v>63.451079999999855</v>
      </c>
      <c r="U566" s="311">
        <f t="shared" ca="1" si="234"/>
        <v>0</v>
      </c>
      <c r="V566" s="306">
        <f t="shared" ca="1" si="235"/>
        <v>0.96324927485547451</v>
      </c>
      <c r="W566" s="304">
        <f t="shared" ca="1" si="236"/>
        <v>45.263958868180644</v>
      </c>
      <c r="Y566" s="314" t="str">
        <f t="shared" ca="1" si="254"/>
        <v/>
      </c>
      <c r="Z566" s="315" t="str">
        <f t="shared" ca="1" si="255"/>
        <v/>
      </c>
      <c r="AA566" s="316" t="str">
        <f t="shared" ca="1" si="256"/>
        <v/>
      </c>
      <c r="AC566" s="310" t="e">
        <f t="shared" ca="1" si="257"/>
        <v>#N/A</v>
      </c>
      <c r="AD566" s="323" t="e">
        <f t="shared" ca="1" si="258"/>
        <v>#N/A</v>
      </c>
      <c r="AE566" s="324">
        <f t="shared" ca="1" si="237"/>
        <v>2392.3300526336361</v>
      </c>
      <c r="AG566" s="306">
        <f t="shared" ca="1" si="259"/>
        <v>-16.881254345673014</v>
      </c>
      <c r="AH566" s="304">
        <f t="shared" ca="1" si="260"/>
        <v>-7.1886859182817853</v>
      </c>
    </row>
    <row r="567" spans="1:34" x14ac:dyDescent="0.2">
      <c r="A567" s="347">
        <f t="shared" ca="1" si="238"/>
        <v>0.1</v>
      </c>
      <c r="B567" s="304">
        <f t="shared" ca="1" si="239"/>
        <v>11.299999999999915</v>
      </c>
      <c r="D567" s="306">
        <f t="shared" ca="1" si="240"/>
        <v>-1.0875383497877227</v>
      </c>
      <c r="E567" s="307">
        <f t="shared" ca="1" si="241"/>
        <v>-16.723118019214208</v>
      </c>
      <c r="F567" s="304">
        <f t="shared" ca="1" si="242"/>
        <v>16.758443124193427</v>
      </c>
      <c r="G567" s="306">
        <f t="shared" ca="1" si="243"/>
        <v>20.303361660459199</v>
      </c>
      <c r="H567" s="307">
        <f t="shared" ca="1" si="244"/>
        <v>128.08068814455166</v>
      </c>
      <c r="I567" s="304">
        <f t="shared" ca="1" si="245"/>
        <v>129.67994899095734</v>
      </c>
      <c r="J567" s="306">
        <f t="shared" ca="1" si="246"/>
        <v>285.66585957752204</v>
      </c>
      <c r="K567" s="307">
        <f t="shared" ca="1" si="247"/>
        <v>2405.2217370381873</v>
      </c>
      <c r="L567" s="304">
        <f t="shared" ca="1" si="232"/>
        <v>2422.126459879657</v>
      </c>
      <c r="M567" s="306">
        <f t="shared" ca="1" si="248"/>
        <v>1.4135843709981641</v>
      </c>
      <c r="N567" s="304">
        <f t="shared" ca="1" si="249"/>
        <v>80.992418443849971</v>
      </c>
      <c r="P567" s="310">
        <f t="shared" ca="1" si="250"/>
        <v>23</v>
      </c>
      <c r="Q567" s="304">
        <f t="shared" ca="1" si="251"/>
        <v>0</v>
      </c>
      <c r="R567" s="306">
        <f t="shared" ca="1" si="252"/>
        <v>0</v>
      </c>
      <c r="S567" s="307">
        <f t="shared" ca="1" si="253"/>
        <v>6.4679999999999849</v>
      </c>
      <c r="T567" s="304">
        <f t="shared" ca="1" si="233"/>
        <v>63.451079999999855</v>
      </c>
      <c r="U567" s="311">
        <f t="shared" ca="1" si="234"/>
        <v>0</v>
      </c>
      <c r="V567" s="306">
        <f t="shared" ca="1" si="235"/>
        <v>0.96199018358733079</v>
      </c>
      <c r="W567" s="304">
        <f t="shared" ca="1" si="236"/>
        <v>44.063422378096604</v>
      </c>
      <c r="Y567" s="314" t="str">
        <f t="shared" ca="1" si="254"/>
        <v/>
      </c>
      <c r="Z567" s="315" t="str">
        <f t="shared" ca="1" si="255"/>
        <v/>
      </c>
      <c r="AA567" s="316" t="str">
        <f t="shared" ca="1" si="256"/>
        <v/>
      </c>
      <c r="AC567" s="310" t="e">
        <f t="shared" ca="1" si="257"/>
        <v>#N/A</v>
      </c>
      <c r="AD567" s="323" t="e">
        <f t="shared" ca="1" si="258"/>
        <v>#N/A</v>
      </c>
      <c r="AE567" s="324">
        <f t="shared" ca="1" si="237"/>
        <v>2405.2217370381873</v>
      </c>
      <c r="AG567" s="306">
        <f t="shared" ca="1" si="259"/>
        <v>-16.688956731721007</v>
      </c>
      <c r="AH567" s="304">
        <f t="shared" ca="1" si="260"/>
        <v>-6.9981383531510124</v>
      </c>
    </row>
    <row r="568" spans="1:34" x14ac:dyDescent="0.2">
      <c r="A568" s="347">
        <f t="shared" ca="1" si="238"/>
        <v>0.1</v>
      </c>
      <c r="B568" s="304">
        <f t="shared" ca="1" si="239"/>
        <v>11.399999999999915</v>
      </c>
      <c r="D568" s="306">
        <f t="shared" ca="1" si="240"/>
        <v>-1.0666043092338158</v>
      </c>
      <c r="E568" s="307">
        <f t="shared" ca="1" si="241"/>
        <v>-16.538512065598582</v>
      </c>
      <c r="F568" s="304">
        <f t="shared" ca="1" si="242"/>
        <v>16.572870182814622</v>
      </c>
      <c r="G568" s="306">
        <f t="shared" ca="1" si="243"/>
        <v>20.196701229535819</v>
      </c>
      <c r="H568" s="307">
        <f t="shared" ca="1" si="244"/>
        <v>126.42683693799179</v>
      </c>
      <c r="I568" s="304">
        <f t="shared" ca="1" si="245"/>
        <v>128.02988650584948</v>
      </c>
      <c r="J568" s="306">
        <f t="shared" ca="1" si="246"/>
        <v>287.69086272202179</v>
      </c>
      <c r="K568" s="307">
        <f t="shared" ca="1" si="247"/>
        <v>2417.9471132923145</v>
      </c>
      <c r="L568" s="304">
        <f t="shared" ca="1" si="232"/>
        <v>2435.0019045521049</v>
      </c>
      <c r="M568" s="306">
        <f t="shared" ca="1" si="248"/>
        <v>1.4123847256598268</v>
      </c>
      <c r="N568" s="304">
        <f t="shared" ca="1" si="249"/>
        <v>80.923683829050702</v>
      </c>
      <c r="P568" s="310">
        <f t="shared" ca="1" si="250"/>
        <v>23</v>
      </c>
      <c r="Q568" s="304">
        <f t="shared" ca="1" si="251"/>
        <v>0</v>
      </c>
      <c r="R568" s="306">
        <f t="shared" ca="1" si="252"/>
        <v>0</v>
      </c>
      <c r="S568" s="307">
        <f t="shared" ca="1" si="253"/>
        <v>6.4679999999999849</v>
      </c>
      <c r="T568" s="304">
        <f t="shared" ca="1" si="233"/>
        <v>63.451079999999855</v>
      </c>
      <c r="U568" s="311">
        <f t="shared" ca="1" si="234"/>
        <v>0</v>
      </c>
      <c r="V568" s="306">
        <f t="shared" ca="1" si="235"/>
        <v>0.96074875533301374</v>
      </c>
      <c r="W568" s="304">
        <f t="shared" ca="1" si="236"/>
        <v>42.893795269613634</v>
      </c>
      <c r="Y568" s="314" t="str">
        <f t="shared" ca="1" si="254"/>
        <v/>
      </c>
      <c r="Z568" s="315" t="str">
        <f t="shared" ca="1" si="255"/>
        <v/>
      </c>
      <c r="AA568" s="316" t="str">
        <f t="shared" ca="1" si="256"/>
        <v/>
      </c>
      <c r="AC568" s="310" t="e">
        <f t="shared" ca="1" si="257"/>
        <v>#N/A</v>
      </c>
      <c r="AD568" s="323" t="e">
        <f t="shared" ca="1" si="258"/>
        <v>#N/A</v>
      </c>
      <c r="AE568" s="324">
        <f t="shared" ca="1" si="237"/>
        <v>2417.9471132923145</v>
      </c>
      <c r="AG568" s="306">
        <f t="shared" ca="1" si="259"/>
        <v>-16.501546121343964</v>
      </c>
      <c r="AH568" s="304">
        <f t="shared" ca="1" si="260"/>
        <v>-6.812526650911674</v>
      </c>
    </row>
    <row r="569" spans="1:34" x14ac:dyDescent="0.2">
      <c r="A569" s="347">
        <f t="shared" ca="1" si="238"/>
        <v>0.1</v>
      </c>
      <c r="B569" s="304">
        <f t="shared" ca="1" si="239"/>
        <v>11.499999999999915</v>
      </c>
      <c r="D569" s="306">
        <f t="shared" ca="1" si="240"/>
        <v>-1.0461489989983506</v>
      </c>
      <c r="E569" s="307">
        <f t="shared" ca="1" si="241"/>
        <v>-16.358658981784004</v>
      </c>
      <c r="F569" s="304">
        <f t="shared" ca="1" si="242"/>
        <v>16.392075872518639</v>
      </c>
      <c r="G569" s="306">
        <f t="shared" ca="1" si="243"/>
        <v>20.092086329635983</v>
      </c>
      <c r="H569" s="307">
        <f t="shared" ca="1" si="244"/>
        <v>124.7909710398134</v>
      </c>
      <c r="I569" s="304">
        <f t="shared" ca="1" si="245"/>
        <v>126.39809486751409</v>
      </c>
      <c r="J569" s="306">
        <f t="shared" ca="1" si="246"/>
        <v>289.70530209998037</v>
      </c>
      <c r="K569" s="307">
        <f t="shared" ca="1" si="247"/>
        <v>2430.508003691205</v>
      </c>
      <c r="L569" s="304">
        <f t="shared" ca="1" si="232"/>
        <v>2447.7128749246403</v>
      </c>
      <c r="M569" s="306">
        <f t="shared" ca="1" si="248"/>
        <v>1.4111603979798548</v>
      </c>
      <c r="N569" s="304">
        <f t="shared" ca="1" si="249"/>
        <v>80.853535020247264</v>
      </c>
      <c r="P569" s="310">
        <f t="shared" ca="1" si="250"/>
        <v>23</v>
      </c>
      <c r="Q569" s="304">
        <f t="shared" ca="1" si="251"/>
        <v>0</v>
      </c>
      <c r="R569" s="306">
        <f t="shared" ca="1" si="252"/>
        <v>0</v>
      </c>
      <c r="S569" s="307">
        <f t="shared" ca="1" si="253"/>
        <v>6.4679999999999849</v>
      </c>
      <c r="T569" s="304">
        <f t="shared" ca="1" si="233"/>
        <v>63.451079999999855</v>
      </c>
      <c r="U569" s="311">
        <f t="shared" ca="1" si="234"/>
        <v>0</v>
      </c>
      <c r="V569" s="306">
        <f t="shared" ca="1" si="235"/>
        <v>0.95952475494253076</v>
      </c>
      <c r="W569" s="304">
        <f t="shared" ca="1" si="236"/>
        <v>41.754103454341909</v>
      </c>
      <c r="Y569" s="314" t="str">
        <f t="shared" ca="1" si="254"/>
        <v/>
      </c>
      <c r="Z569" s="315" t="str">
        <f t="shared" ca="1" si="255"/>
        <v/>
      </c>
      <c r="AA569" s="316" t="str">
        <f t="shared" ca="1" si="256"/>
        <v/>
      </c>
      <c r="AC569" s="310" t="e">
        <f t="shared" ca="1" si="257"/>
        <v>#N/A</v>
      </c>
      <c r="AD569" s="323" t="e">
        <f t="shared" ca="1" si="258"/>
        <v>#N/A</v>
      </c>
      <c r="AE569" s="324">
        <f t="shared" ca="1" si="237"/>
        <v>2430.508003691205</v>
      </c>
      <c r="AG569" s="306">
        <f t="shared" ca="1" si="259"/>
        <v>-16.318863723222247</v>
      </c>
      <c r="AH569" s="304">
        <f t="shared" ca="1" si="260"/>
        <v>-6.6316937646279737</v>
      </c>
    </row>
    <row r="570" spans="1:34" x14ac:dyDescent="0.2">
      <c r="A570" s="347">
        <f t="shared" ca="1" si="238"/>
        <v>0.1</v>
      </c>
      <c r="B570" s="304">
        <f t="shared" ca="1" si="239"/>
        <v>11.599999999999914</v>
      </c>
      <c r="D570" s="306">
        <f t="shared" ca="1" si="240"/>
        <v>-1.0261566386350347</v>
      </c>
      <c r="E570" s="307">
        <f t="shared" ca="1" si="241"/>
        <v>-16.183408976714116</v>
      </c>
      <c r="F570" s="304">
        <f t="shared" ca="1" si="242"/>
        <v>16.215909581476019</v>
      </c>
      <c r="G570" s="306">
        <f t="shared" ca="1" si="243"/>
        <v>19.98947066577248</v>
      </c>
      <c r="H570" s="307">
        <f t="shared" ca="1" si="244"/>
        <v>123.17263014214198</v>
      </c>
      <c r="I570" s="304">
        <f t="shared" ca="1" si="245"/>
        <v>124.78411659193922</v>
      </c>
      <c r="J570" s="306">
        <f t="shared" ca="1" si="246"/>
        <v>291.70937994975077</v>
      </c>
      <c r="K570" s="307">
        <f t="shared" ca="1" si="247"/>
        <v>2442.9061837503027</v>
      </c>
      <c r="L570" s="304">
        <f t="shared" ca="1" si="232"/>
        <v>2460.2611619411741</v>
      </c>
      <c r="M570" s="306">
        <f t="shared" ca="1" si="248"/>
        <v>1.4099107309294567</v>
      </c>
      <c r="N570" s="304">
        <f t="shared" ca="1" si="249"/>
        <v>80.781934372462885</v>
      </c>
      <c r="P570" s="310">
        <f t="shared" ca="1" si="250"/>
        <v>23</v>
      </c>
      <c r="Q570" s="304">
        <f t="shared" ca="1" si="251"/>
        <v>0</v>
      </c>
      <c r="R570" s="306">
        <f t="shared" ca="1" si="252"/>
        <v>0</v>
      </c>
      <c r="S570" s="307">
        <f t="shared" ca="1" si="253"/>
        <v>6.4679999999999849</v>
      </c>
      <c r="T570" s="304">
        <f t="shared" ca="1" si="233"/>
        <v>63.451079999999855</v>
      </c>
      <c r="U570" s="311">
        <f t="shared" ca="1" si="234"/>
        <v>0</v>
      </c>
      <c r="V570" s="306">
        <f t="shared" ca="1" si="235"/>
        <v>0.95831795351344728</v>
      </c>
      <c r="W570" s="304">
        <f t="shared" ca="1" si="236"/>
        <v>40.643412508621743</v>
      </c>
      <c r="Y570" s="314" t="str">
        <f t="shared" ca="1" si="254"/>
        <v/>
      </c>
      <c r="Z570" s="315" t="str">
        <f t="shared" ca="1" si="255"/>
        <v/>
      </c>
      <c r="AA570" s="316" t="str">
        <f t="shared" ca="1" si="256"/>
        <v/>
      </c>
      <c r="AC570" s="310" t="e">
        <f t="shared" ca="1" si="257"/>
        <v>#N/A</v>
      </c>
      <c r="AD570" s="323" t="e">
        <f t="shared" ca="1" si="258"/>
        <v>#N/A</v>
      </c>
      <c r="AE570" s="324">
        <f t="shared" ca="1" si="237"/>
        <v>2442.9061837503027</v>
      </c>
      <c r="AG570" s="306">
        <f t="shared" ca="1" si="259"/>
        <v>-16.140757112266563</v>
      </c>
      <c r="AH570" s="304">
        <f t="shared" ca="1" si="260"/>
        <v>-6.4554890931264701</v>
      </c>
    </row>
    <row r="571" spans="1:34" x14ac:dyDescent="0.2">
      <c r="A571" s="347">
        <f t="shared" ca="1" si="238"/>
        <v>0.1</v>
      </c>
      <c r="B571" s="304">
        <f t="shared" ca="1" si="239"/>
        <v>11.699999999999914</v>
      </c>
      <c r="D571" s="306">
        <f t="shared" ca="1" si="240"/>
        <v>-1.0066120824441314</v>
      </c>
      <c r="E571" s="307">
        <f t="shared" ca="1" si="241"/>
        <v>-16.012618358464216</v>
      </c>
      <c r="F571" s="304">
        <f t="shared" ca="1" si="242"/>
        <v>16.044226830182495</v>
      </c>
      <c r="G571" s="306">
        <f t="shared" ca="1" si="243"/>
        <v>19.888809457528065</v>
      </c>
      <c r="H571" s="307">
        <f t="shared" ca="1" si="244"/>
        <v>121.57136830629557</v>
      </c>
      <c r="I571" s="304">
        <f t="shared" ca="1" si="245"/>
        <v>123.18750883714966</v>
      </c>
      <c r="J571" s="306">
        <f t="shared" ca="1" si="246"/>
        <v>293.7032939559158</v>
      </c>
      <c r="K571" s="307">
        <f t="shared" ca="1" si="247"/>
        <v>2455.1433836727247</v>
      </c>
      <c r="L571" s="304">
        <f t="shared" ca="1" si="232"/>
        <v>2472.6485110651111</v>
      </c>
      <c r="M571" s="306">
        <f t="shared" ca="1" si="248"/>
        <v>1.4086350430257712</v>
      </c>
      <c r="N571" s="304">
        <f t="shared" ca="1" si="249"/>
        <v>80.708842839605822</v>
      </c>
      <c r="P571" s="310">
        <f t="shared" ca="1" si="250"/>
        <v>23</v>
      </c>
      <c r="Q571" s="304">
        <f t="shared" ca="1" si="251"/>
        <v>0</v>
      </c>
      <c r="R571" s="306">
        <f t="shared" ca="1" si="252"/>
        <v>0</v>
      </c>
      <c r="S571" s="307">
        <f t="shared" ca="1" si="253"/>
        <v>6.4679999999999849</v>
      </c>
      <c r="T571" s="304">
        <f t="shared" ca="1" si="233"/>
        <v>63.451079999999855</v>
      </c>
      <c r="U571" s="311">
        <f t="shared" ca="1" si="234"/>
        <v>0</v>
      </c>
      <c r="V571" s="306">
        <f t="shared" ca="1" si="235"/>
        <v>0.95712812818769233</v>
      </c>
      <c r="W571" s="304">
        <f t="shared" ca="1" si="236"/>
        <v>39.560825761970875</v>
      </c>
      <c r="Y571" s="314" t="str">
        <f t="shared" ca="1" si="254"/>
        <v/>
      </c>
      <c r="Z571" s="315" t="str">
        <f t="shared" ca="1" si="255"/>
        <v/>
      </c>
      <c r="AA571" s="316" t="str">
        <f t="shared" ca="1" si="256"/>
        <v/>
      </c>
      <c r="AC571" s="310" t="e">
        <f t="shared" ca="1" si="257"/>
        <v>#N/A</v>
      </c>
      <c r="AD571" s="323" t="e">
        <f t="shared" ca="1" si="258"/>
        <v>#N/A</v>
      </c>
      <c r="AE571" s="324">
        <f t="shared" ca="1" si="237"/>
        <v>2455.1433836727247</v>
      </c>
      <c r="AG571" s="306">
        <f t="shared" ca="1" si="259"/>
        <v>-15.967079911971116</v>
      </c>
      <c r="AH571" s="304">
        <f t="shared" ca="1" si="260"/>
        <v>-6.2837681676904511</v>
      </c>
    </row>
    <row r="572" spans="1:34" x14ac:dyDescent="0.2">
      <c r="A572" s="347">
        <f t="shared" ca="1" si="238"/>
        <v>0.1</v>
      </c>
      <c r="B572" s="304">
        <f t="shared" ca="1" si="239"/>
        <v>11.799999999999914</v>
      </c>
      <c r="D572" s="306">
        <f t="shared" ca="1" si="240"/>
        <v>-0.98750078879443026</v>
      </c>
      <c r="E572" s="307">
        <f t="shared" ca="1" si="241"/>
        <v>-15.846149240287712</v>
      </c>
      <c r="F572" s="304">
        <f t="shared" ca="1" si="242"/>
        <v>15.876888975908992</v>
      </c>
      <c r="G572" s="306">
        <f t="shared" ca="1" si="243"/>
        <v>19.790059378648621</v>
      </c>
      <c r="H572" s="307">
        <f t="shared" ca="1" si="244"/>
        <v>119.9867533822668</v>
      </c>
      <c r="I572" s="304">
        <f t="shared" ca="1" si="245"/>
        <v>121.6078428286077</v>
      </c>
      <c r="J572" s="306">
        <f t="shared" ca="1" si="246"/>
        <v>295.68723739772463</v>
      </c>
      <c r="K572" s="307">
        <f t="shared" ca="1" si="247"/>
        <v>2467.2212897571526</v>
      </c>
      <c r="L572" s="304">
        <f t="shared" ca="1" si="232"/>
        <v>2484.8766236960028</v>
      </c>
      <c r="M572" s="306">
        <f t="shared" ca="1" si="248"/>
        <v>1.4073326272149218</v>
      </c>
      <c r="N572" s="304">
        <f t="shared" ca="1" si="249"/>
        <v>80.634219910473035</v>
      </c>
      <c r="P572" s="310">
        <f t="shared" ca="1" si="250"/>
        <v>23</v>
      </c>
      <c r="Q572" s="304">
        <f t="shared" ca="1" si="251"/>
        <v>0</v>
      </c>
      <c r="R572" s="306">
        <f t="shared" ca="1" si="252"/>
        <v>0</v>
      </c>
      <c r="S572" s="307">
        <f t="shared" ca="1" si="253"/>
        <v>6.4679999999999849</v>
      </c>
      <c r="T572" s="304">
        <f t="shared" ca="1" si="233"/>
        <v>63.451079999999855</v>
      </c>
      <c r="U572" s="311">
        <f t="shared" ca="1" si="234"/>
        <v>0</v>
      </c>
      <c r="V572" s="306">
        <f t="shared" ca="1" si="235"/>
        <v>0.95595506195682478</v>
      </c>
      <c r="W572" s="304">
        <f t="shared" ca="1" si="236"/>
        <v>38.505482493040006</v>
      </c>
      <c r="Y572" s="314" t="str">
        <f t="shared" ca="1" si="254"/>
        <v/>
      </c>
      <c r="Z572" s="315" t="str">
        <f t="shared" ca="1" si="255"/>
        <v/>
      </c>
      <c r="AA572" s="316" t="str">
        <f t="shared" ca="1" si="256"/>
        <v/>
      </c>
      <c r="AC572" s="310" t="e">
        <f t="shared" ca="1" si="257"/>
        <v>#N/A</v>
      </c>
      <c r="AD572" s="323" t="e">
        <f t="shared" ca="1" si="258"/>
        <v>#N/A</v>
      </c>
      <c r="AE572" s="324">
        <f t="shared" ca="1" si="237"/>
        <v>2467.2212897571526</v>
      </c>
      <c r="AG572" s="306">
        <f t="shared" ca="1" si="259"/>
        <v>-15.797691494254451</v>
      </c>
      <c r="AH572" s="304">
        <f t="shared" ca="1" si="260"/>
        <v>-6.1163923565199392</v>
      </c>
    </row>
    <row r="573" spans="1:34" x14ac:dyDescent="0.2">
      <c r="A573" s="347">
        <f t="shared" ca="1" si="238"/>
        <v>0.1</v>
      </c>
      <c r="B573" s="304">
        <f t="shared" ca="1" si="239"/>
        <v>11.899999999999913</v>
      </c>
      <c r="D573" s="306">
        <f t="shared" ca="1" si="240"/>
        <v>-0.96880879117277718</v>
      </c>
      <c r="E573" s="307">
        <f t="shared" ca="1" si="241"/>
        <v>-15.683869263193586</v>
      </c>
      <c r="F573" s="304">
        <f t="shared" ca="1" si="242"/>
        <v>15.713762933772488</v>
      </c>
      <c r="G573" s="306">
        <f t="shared" ca="1" si="243"/>
        <v>19.693178499531342</v>
      </c>
      <c r="H573" s="307">
        <f t="shared" ca="1" si="244"/>
        <v>118.41836645594744</v>
      </c>
      <c r="I573" s="304">
        <f t="shared" ca="1" si="245"/>
        <v>120.04470331301361</v>
      </c>
      <c r="J573" s="306">
        <f t="shared" ca="1" si="246"/>
        <v>297.66139929163364</v>
      </c>
      <c r="K573" s="307">
        <f t="shared" ca="1" si="247"/>
        <v>2479.1415457490634</v>
      </c>
      <c r="L573" s="304">
        <f t="shared" ca="1" si="232"/>
        <v>2496.9471585292526</v>
      </c>
      <c r="M573" s="306">
        <f t="shared" ca="1" si="248"/>
        <v>1.4060027496933394</v>
      </c>
      <c r="N573" s="304">
        <f t="shared" ca="1" si="249"/>
        <v>80.558023541217054</v>
      </c>
      <c r="P573" s="310">
        <f t="shared" ca="1" si="250"/>
        <v>23</v>
      </c>
      <c r="Q573" s="304">
        <f t="shared" ca="1" si="251"/>
        <v>0</v>
      </c>
      <c r="R573" s="306">
        <f t="shared" ca="1" si="252"/>
        <v>0</v>
      </c>
      <c r="S573" s="307">
        <f t="shared" ca="1" si="253"/>
        <v>6.4679999999999849</v>
      </c>
      <c r="T573" s="304">
        <f t="shared" ca="1" si="233"/>
        <v>63.451079999999855</v>
      </c>
      <c r="U573" s="311">
        <f t="shared" ca="1" si="234"/>
        <v>0</v>
      </c>
      <c r="V573" s="306">
        <f t="shared" ca="1" si="235"/>
        <v>0.95479854347534854</v>
      </c>
      <c r="W573" s="304">
        <f t="shared" ca="1" si="236"/>
        <v>37.476556226211329</v>
      </c>
      <c r="Y573" s="314" t="str">
        <f t="shared" ca="1" si="254"/>
        <v/>
      </c>
      <c r="Z573" s="315" t="str">
        <f t="shared" ca="1" si="255"/>
        <v/>
      </c>
      <c r="AA573" s="316" t="str">
        <f t="shared" ca="1" si="256"/>
        <v/>
      </c>
      <c r="AC573" s="310" t="e">
        <f t="shared" ca="1" si="257"/>
        <v>#N/A</v>
      </c>
      <c r="AD573" s="323" t="e">
        <f t="shared" ca="1" si="258"/>
        <v>#N/A</v>
      </c>
      <c r="AE573" s="324">
        <f t="shared" ca="1" si="237"/>
        <v>2479.1415457490634</v>
      </c>
      <c r="AG573" s="306">
        <f t="shared" ca="1" si="259"/>
        <v>-15.632456695623425</v>
      </c>
      <c r="AH573" s="304">
        <f t="shared" ca="1" si="260"/>
        <v>-5.9532285858132497</v>
      </c>
    </row>
    <row r="574" spans="1:34" x14ac:dyDescent="0.2">
      <c r="A574" s="347">
        <f t="shared" ca="1" si="238"/>
        <v>0.1</v>
      </c>
      <c r="B574" s="304">
        <f t="shared" ca="1" si="239"/>
        <v>11.999999999999913</v>
      </c>
      <c r="D574" s="306">
        <f t="shared" ca="1" si="240"/>
        <v>-0.95052267085107833</v>
      </c>
      <c r="E574" s="307">
        <f t="shared" ca="1" si="241"/>
        <v>-15.525651333999113</v>
      </c>
      <c r="F574" s="304">
        <f t="shared" ca="1" si="242"/>
        <v>15.55472091336615</v>
      </c>
      <c r="G574" s="306">
        <f t="shared" ca="1" si="243"/>
        <v>19.598126232446234</v>
      </c>
      <c r="H574" s="307">
        <f t="shared" ca="1" si="244"/>
        <v>116.86580132254753</v>
      </c>
      <c r="I574" s="304">
        <f t="shared" ca="1" si="245"/>
        <v>118.49768803898263</v>
      </c>
      <c r="J574" s="306">
        <f t="shared" ca="1" si="246"/>
        <v>299.62596452823254</v>
      </c>
      <c r="K574" s="307">
        <f t="shared" ca="1" si="247"/>
        <v>2490.905754137988</v>
      </c>
      <c r="L574" s="304">
        <f t="shared" ca="1" si="232"/>
        <v>2508.8617328615805</v>
      </c>
      <c r="M574" s="306">
        <f t="shared" ca="1" si="248"/>
        <v>1.4046446486633846</v>
      </c>
      <c r="N574" s="304">
        <f t="shared" ca="1" si="249"/>
        <v>80.480210084048267</v>
      </c>
      <c r="P574" s="310">
        <f t="shared" ca="1" si="250"/>
        <v>23</v>
      </c>
      <c r="Q574" s="304">
        <f t="shared" ca="1" si="251"/>
        <v>0</v>
      </c>
      <c r="R574" s="306">
        <f t="shared" ca="1" si="252"/>
        <v>0</v>
      </c>
      <c r="S574" s="307">
        <f t="shared" ca="1" si="253"/>
        <v>6.4679999999999849</v>
      </c>
      <c r="T574" s="304">
        <f t="shared" ca="1" si="233"/>
        <v>63.451079999999855</v>
      </c>
      <c r="U574" s="311">
        <f t="shared" ca="1" si="234"/>
        <v>0</v>
      </c>
      <c r="V574" s="306">
        <f t="shared" ca="1" si="235"/>
        <v>0.95365836688167793</v>
      </c>
      <c r="W574" s="304">
        <f t="shared" ca="1" si="236"/>
        <v>36.473253122464094</v>
      </c>
      <c r="Y574" s="314" t="str">
        <f t="shared" ca="1" si="254"/>
        <v/>
      </c>
      <c r="Z574" s="315" t="str">
        <f t="shared" ca="1" si="255"/>
        <v/>
      </c>
      <c r="AA574" s="316" t="str">
        <f t="shared" ca="1" si="256"/>
        <v/>
      </c>
      <c r="AC574" s="310">
        <f t="shared" ca="1" si="257"/>
        <v>11.999999999999913</v>
      </c>
      <c r="AD574" s="323">
        <f t="shared" ca="1" si="258"/>
        <v>299.62596452823254</v>
      </c>
      <c r="AE574" s="324">
        <f t="shared" ca="1" si="237"/>
        <v>2490.905754137988</v>
      </c>
      <c r="AG574" s="306">
        <f t="shared" ca="1" si="259"/>
        <v>-15.47124554857691</v>
      </c>
      <c r="AH574" s="304">
        <f t="shared" ca="1" si="260"/>
        <v>-5.7941490764086918</v>
      </c>
    </row>
    <row r="575" spans="1:34" x14ac:dyDescent="0.2">
      <c r="A575" s="347">
        <f t="shared" ca="1" si="238"/>
        <v>0.1</v>
      </c>
      <c r="B575" s="304">
        <f t="shared" ca="1" si="239"/>
        <v>12.099999999999913</v>
      </c>
      <c r="D575" s="306">
        <f t="shared" ca="1" si="240"/>
        <v>-0.93262953106862112</v>
      </c>
      <c r="E575" s="307">
        <f t="shared" ca="1" si="241"/>
        <v>-15.371373377877349</v>
      </c>
      <c r="F575" s="304">
        <f t="shared" ca="1" si="242"/>
        <v>15.399640169962991</v>
      </c>
      <c r="G575" s="306">
        <f t="shared" ca="1" si="243"/>
        <v>19.504863279339371</v>
      </c>
      <c r="H575" s="307">
        <f t="shared" ca="1" si="244"/>
        <v>115.32866398475979</v>
      </c>
      <c r="I575" s="304">
        <f t="shared" ca="1" si="245"/>
        <v>116.96640726317685</v>
      </c>
      <c r="J575" s="306">
        <f t="shared" ca="1" si="246"/>
        <v>301.58111400382182</v>
      </c>
      <c r="K575" s="307">
        <f t="shared" ca="1" si="247"/>
        <v>2502.5154774033535</v>
      </c>
      <c r="L575" s="304">
        <f t="shared" ca="1" si="232"/>
        <v>2520.6219238448116</v>
      </c>
      <c r="M575" s="306">
        <f t="shared" ca="1" si="248"/>
        <v>1.40325753301901</v>
      </c>
      <c r="N575" s="304">
        <f t="shared" ca="1" si="249"/>
        <v>80.400734211929034</v>
      </c>
      <c r="P575" s="310">
        <f t="shared" ca="1" si="250"/>
        <v>23</v>
      </c>
      <c r="Q575" s="304">
        <f t="shared" ca="1" si="251"/>
        <v>0</v>
      </c>
      <c r="R575" s="306">
        <f t="shared" ca="1" si="252"/>
        <v>0</v>
      </c>
      <c r="S575" s="307">
        <f t="shared" ca="1" si="253"/>
        <v>6.4679999999999849</v>
      </c>
      <c r="T575" s="304">
        <f t="shared" ca="1" si="233"/>
        <v>63.451079999999855</v>
      </c>
      <c r="U575" s="311">
        <f t="shared" ca="1" si="234"/>
        <v>0</v>
      </c>
      <c r="V575" s="306">
        <f t="shared" ca="1" si="235"/>
        <v>0.95253433162638967</v>
      </c>
      <c r="W575" s="304">
        <f t="shared" ca="1" si="236"/>
        <v>35.494810458584752</v>
      </c>
      <c r="Y575" s="314" t="str">
        <f t="shared" ca="1" si="254"/>
        <v/>
      </c>
      <c r="Z575" s="315" t="str">
        <f t="shared" ca="1" si="255"/>
        <v/>
      </c>
      <c r="AA575" s="316" t="str">
        <f t="shared" ca="1" si="256"/>
        <v/>
      </c>
      <c r="AC575" s="310" t="e">
        <f t="shared" ca="1" si="257"/>
        <v>#N/A</v>
      </c>
      <c r="AD575" s="323" t="e">
        <f t="shared" ca="1" si="258"/>
        <v>#N/A</v>
      </c>
      <c r="AE575" s="324">
        <f t="shared" ca="1" si="237"/>
        <v>2502.5154774033535</v>
      </c>
      <c r="AG575" s="306">
        <f t="shared" ca="1" si="259"/>
        <v>-15.313933027239511</v>
      </c>
      <c r="AH575" s="304">
        <f t="shared" ca="1" si="260"/>
        <v>-5.6390310950006457</v>
      </c>
    </row>
    <row r="576" spans="1:34" x14ac:dyDescent="0.2">
      <c r="A576" s="347">
        <f t="shared" ca="1" si="238"/>
        <v>0.1</v>
      </c>
      <c r="B576" s="304">
        <f t="shared" ca="1" si="239"/>
        <v>12.199999999999912</v>
      </c>
      <c r="D576" s="306">
        <f t="shared" ca="1" si="240"/>
        <v>-0.91511697263482938</v>
      </c>
      <c r="E576" s="307">
        <f t="shared" ca="1" si="241"/>
        <v>-15.220918104488632</v>
      </c>
      <c r="F576" s="304">
        <f t="shared" ca="1" si="242"/>
        <v>15.248402769377329</v>
      </c>
      <c r="G576" s="306">
        <f t="shared" ca="1" si="243"/>
        <v>19.41335158207589</v>
      </c>
      <c r="H576" s="307">
        <f t="shared" ca="1" si="244"/>
        <v>113.80657217431093</v>
      </c>
      <c r="I576" s="304">
        <f t="shared" ca="1" si="245"/>
        <v>115.45048328056463</v>
      </c>
      <c r="J576" s="306">
        <f t="shared" ca="1" si="246"/>
        <v>303.52702474689261</v>
      </c>
      <c r="K576" s="307">
        <f t="shared" ca="1" si="247"/>
        <v>2513.9722392113072</v>
      </c>
      <c r="L576" s="304">
        <f t="shared" ca="1" si="232"/>
        <v>2532.2292696904074</v>
      </c>
      <c r="M576" s="306">
        <f t="shared" ca="1" si="248"/>
        <v>1.4018405809568908</v>
      </c>
      <c r="N576" s="304">
        <f t="shared" ca="1" si="249"/>
        <v>80.31954883899725</v>
      </c>
      <c r="P576" s="310">
        <f t="shared" ca="1" si="250"/>
        <v>23</v>
      </c>
      <c r="Q576" s="304">
        <f t="shared" ca="1" si="251"/>
        <v>0</v>
      </c>
      <c r="R576" s="306">
        <f t="shared" ca="1" si="252"/>
        <v>0</v>
      </c>
      <c r="S576" s="307">
        <f t="shared" ca="1" si="253"/>
        <v>6.4679999999999849</v>
      </c>
      <c r="T576" s="304">
        <f t="shared" ca="1" si="233"/>
        <v>63.451079999999855</v>
      </c>
      <c r="U576" s="311">
        <f t="shared" ca="1" si="234"/>
        <v>0</v>
      </c>
      <c r="V576" s="306">
        <f t="shared" ca="1" si="235"/>
        <v>0.95142624230740958</v>
      </c>
      <c r="W576" s="304">
        <f t="shared" ca="1" si="236"/>
        <v>34.540495189215115</v>
      </c>
      <c r="Y576" s="314" t="str">
        <f t="shared" ca="1" si="254"/>
        <v/>
      </c>
      <c r="Z576" s="315" t="str">
        <f t="shared" ca="1" si="255"/>
        <v/>
      </c>
      <c r="AA576" s="316" t="str">
        <f t="shared" ca="1" si="256"/>
        <v/>
      </c>
      <c r="AC576" s="310" t="e">
        <f t="shared" ca="1" si="257"/>
        <v>#N/A</v>
      </c>
      <c r="AD576" s="323" t="e">
        <f t="shared" ca="1" si="258"/>
        <v>#N/A</v>
      </c>
      <c r="AE576" s="324">
        <f t="shared" ca="1" si="237"/>
        <v>2513.9722392113072</v>
      </c>
      <c r="AG576" s="306">
        <f t="shared" ca="1" si="259"/>
        <v>-15.160398806283718</v>
      </c>
      <c r="AH576" s="304">
        <f t="shared" ca="1" si="260"/>
        <v>-5.487756719014353</v>
      </c>
    </row>
    <row r="577" spans="1:34" x14ac:dyDescent="0.2">
      <c r="A577" s="347">
        <f t="shared" ca="1" si="238"/>
        <v>0.1</v>
      </c>
      <c r="B577" s="304">
        <f t="shared" ca="1" si="239"/>
        <v>12.299999999999912</v>
      </c>
      <c r="D577" s="306">
        <f t="shared" ca="1" si="240"/>
        <v>-0.89797307086425415</v>
      </c>
      <c r="E577" s="307">
        <f t="shared" ca="1" si="241"/>
        <v>-15.074172786849228</v>
      </c>
      <c r="F577" s="304">
        <f t="shared" ca="1" si="242"/>
        <v>15.100895365632569</v>
      </c>
      <c r="G577" s="306">
        <f t="shared" ca="1" si="243"/>
        <v>19.323554274989466</v>
      </c>
      <c r="H577" s="307">
        <f t="shared" ca="1" si="244"/>
        <v>112.299154895626</v>
      </c>
      <c r="I577" s="304">
        <f t="shared" ca="1" si="245"/>
        <v>113.949549977568</v>
      </c>
      <c r="J577" s="306">
        <f t="shared" ca="1" si="246"/>
        <v>305.46387003974587</v>
      </c>
      <c r="K577" s="307">
        <f t="shared" ca="1" si="247"/>
        <v>2525.2775255648039</v>
      </c>
      <c r="L577" s="304">
        <f t="shared" ca="1" si="232"/>
        <v>2543.6852708270253</v>
      </c>
      <c r="M577" s="306">
        <f t="shared" ca="1" si="248"/>
        <v>1.4003929385081071</v>
      </c>
      <c r="N577" s="304">
        <f t="shared" ca="1" si="249"/>
        <v>80.23660503643795</v>
      </c>
      <c r="P577" s="310">
        <f t="shared" ca="1" si="250"/>
        <v>23</v>
      </c>
      <c r="Q577" s="304">
        <f t="shared" ca="1" si="251"/>
        <v>0</v>
      </c>
      <c r="R577" s="306">
        <f t="shared" ca="1" si="252"/>
        <v>0</v>
      </c>
      <c r="S577" s="307">
        <f t="shared" ca="1" si="253"/>
        <v>6.4679999999999849</v>
      </c>
      <c r="T577" s="304">
        <f t="shared" ca="1" si="233"/>
        <v>63.451079999999855</v>
      </c>
      <c r="U577" s="311">
        <f t="shared" ca="1" si="234"/>
        <v>0</v>
      </c>
      <c r="V577" s="306">
        <f t="shared" ca="1" si="235"/>
        <v>0.95033390851180488</v>
      </c>
      <c r="W577" s="304">
        <f t="shared" ca="1" si="236"/>
        <v>33.609602586616411</v>
      </c>
      <c r="Y577" s="314" t="str">
        <f t="shared" ca="1" si="254"/>
        <v/>
      </c>
      <c r="Z577" s="315" t="str">
        <f t="shared" ca="1" si="255"/>
        <v/>
      </c>
      <c r="AA577" s="316" t="str">
        <f t="shared" ca="1" si="256"/>
        <v/>
      </c>
      <c r="AC577" s="310" t="e">
        <f t="shared" ca="1" si="257"/>
        <v>#N/A</v>
      </c>
      <c r="AD577" s="323" t="e">
        <f t="shared" ca="1" si="258"/>
        <v>#N/A</v>
      </c>
      <c r="AE577" s="324">
        <f t="shared" ca="1" si="237"/>
        <v>2525.2775255648039</v>
      </c>
      <c r="AG577" s="306">
        <f t="shared" ca="1" si="259"/>
        <v>-15.010527032261024</v>
      </c>
      <c r="AH577" s="304">
        <f t="shared" ca="1" si="260"/>
        <v>-5.3402126142880633</v>
      </c>
    </row>
    <row r="578" spans="1:34" x14ac:dyDescent="0.2">
      <c r="A578" s="347">
        <f t="shared" ca="1" si="238"/>
        <v>0.1</v>
      </c>
      <c r="B578" s="304">
        <f t="shared" ca="1" si="239"/>
        <v>12.399999999999912</v>
      </c>
      <c r="D578" s="306">
        <f t="shared" ca="1" si="240"/>
        <v>-0.88118635376179788</v>
      </c>
      <c r="E578" s="307">
        <f t="shared" ca="1" si="241"/>
        <v>-14.931029052149466</v>
      </c>
      <c r="F578" s="304">
        <f t="shared" ca="1" si="242"/>
        <v>14.957008990643397</v>
      </c>
      <c r="G578" s="306">
        <f t="shared" ca="1" si="243"/>
        <v>19.235435639613286</v>
      </c>
      <c r="H578" s="307">
        <f t="shared" ca="1" si="244"/>
        <v>110.80605199041106</v>
      </c>
      <c r="I578" s="304">
        <f t="shared" ca="1" si="245"/>
        <v>112.46325240694128</v>
      </c>
      <c r="J578" s="306">
        <f t="shared" ca="1" si="246"/>
        <v>307.39181953547603</v>
      </c>
      <c r="K578" s="307">
        <f t="shared" ca="1" si="247"/>
        <v>2536.4327859091059</v>
      </c>
      <c r="L578" s="304">
        <f t="shared" ca="1" si="232"/>
        <v>2554.9913910132768</v>
      </c>
      <c r="M578" s="306">
        <f t="shared" ca="1" si="248"/>
        <v>1.3989137179850903</v>
      </c>
      <c r="N578" s="304">
        <f t="shared" ca="1" si="249"/>
        <v>80.151851943499963</v>
      </c>
      <c r="P578" s="310">
        <f t="shared" ca="1" si="250"/>
        <v>23</v>
      </c>
      <c r="Q578" s="304">
        <f t="shared" ca="1" si="251"/>
        <v>0</v>
      </c>
      <c r="R578" s="306">
        <f t="shared" ca="1" si="252"/>
        <v>0</v>
      </c>
      <c r="S578" s="307">
        <f t="shared" ca="1" si="253"/>
        <v>6.4679999999999849</v>
      </c>
      <c r="T578" s="304">
        <f t="shared" ca="1" si="233"/>
        <v>63.451079999999855</v>
      </c>
      <c r="U578" s="311">
        <f t="shared" ca="1" si="234"/>
        <v>0</v>
      </c>
      <c r="V578" s="306">
        <f t="shared" ca="1" si="235"/>
        <v>0.9492571446638719</v>
      </c>
      <c r="W578" s="304">
        <f t="shared" ca="1" si="236"/>
        <v>32.701454953382353</v>
      </c>
      <c r="Y578" s="314" t="str">
        <f t="shared" ca="1" si="254"/>
        <v/>
      </c>
      <c r="Z578" s="315" t="str">
        <f t="shared" ca="1" si="255"/>
        <v/>
      </c>
      <c r="AA578" s="316" t="str">
        <f t="shared" ca="1" si="256"/>
        <v/>
      </c>
      <c r="AC578" s="310" t="e">
        <f t="shared" ca="1" si="257"/>
        <v>#N/A</v>
      </c>
      <c r="AD578" s="323" t="e">
        <f t="shared" ca="1" si="258"/>
        <v>#N/A</v>
      </c>
      <c r="AE578" s="324">
        <f t="shared" ca="1" si="237"/>
        <v>2536.4327859091059</v>
      </c>
      <c r="AG578" s="306">
        <f t="shared" ca="1" si="259"/>
        <v>-14.864206106519553</v>
      </c>
      <c r="AH578" s="304">
        <f t="shared" ca="1" si="260"/>
        <v>-5.1962898247706386</v>
      </c>
    </row>
    <row r="579" spans="1:34" x14ac:dyDescent="0.2">
      <c r="A579" s="347">
        <f t="shared" ca="1" si="238"/>
        <v>0.1</v>
      </c>
      <c r="B579" s="304">
        <f t="shared" ca="1" si="239"/>
        <v>12.499999999999911</v>
      </c>
      <c r="D579" s="306">
        <f t="shared" ca="1" si="240"/>
        <v>-0.86474578138190605</v>
      </c>
      <c r="E579" s="307">
        <f t="shared" ca="1" si="241"/>
        <v>-14.791382683788205</v>
      </c>
      <c r="F579" s="304">
        <f t="shared" ca="1" si="242"/>
        <v>14.816638855175198</v>
      </c>
      <c r="G579" s="306">
        <f t="shared" ca="1" si="243"/>
        <v>19.148961061475095</v>
      </c>
      <c r="H579" s="307">
        <f t="shared" ca="1" si="244"/>
        <v>109.32691372203224</v>
      </c>
      <c r="I579" s="304">
        <f t="shared" ca="1" si="245"/>
        <v>110.99124638330075</v>
      </c>
      <c r="J579" s="306">
        <f t="shared" ca="1" si="246"/>
        <v>309.31103937053047</v>
      </c>
      <c r="K579" s="307">
        <f t="shared" ca="1" si="247"/>
        <v>2547.4394341947282</v>
      </c>
      <c r="L579" s="304">
        <f t="shared" ca="1" si="232"/>
        <v>2566.149058407721</v>
      </c>
      <c r="M579" s="306">
        <f t="shared" ca="1" si="248"/>
        <v>1.3974019963381501</v>
      </c>
      <c r="N579" s="304">
        <f t="shared" ca="1" si="249"/>
        <v>80.065236673331725</v>
      </c>
      <c r="P579" s="310">
        <f t="shared" ca="1" si="250"/>
        <v>23</v>
      </c>
      <c r="Q579" s="304">
        <f t="shared" ca="1" si="251"/>
        <v>0</v>
      </c>
      <c r="R579" s="306">
        <f t="shared" ca="1" si="252"/>
        <v>0</v>
      </c>
      <c r="S579" s="307">
        <f t="shared" ca="1" si="253"/>
        <v>6.4679999999999849</v>
      </c>
      <c r="T579" s="304">
        <f t="shared" ca="1" si="233"/>
        <v>63.451079999999855</v>
      </c>
      <c r="U579" s="311">
        <f t="shared" ca="1" si="234"/>
        <v>0</v>
      </c>
      <c r="V579" s="306">
        <f t="shared" ca="1" si="235"/>
        <v>0.94819576987922483</v>
      </c>
      <c r="W579" s="304">
        <f t="shared" ca="1" si="236"/>
        <v>31.815400403660981</v>
      </c>
      <c r="Y579" s="314" t="str">
        <f t="shared" ca="1" si="254"/>
        <v/>
      </c>
      <c r="Z579" s="315" t="str">
        <f t="shared" ca="1" si="255"/>
        <v/>
      </c>
      <c r="AA579" s="316" t="str">
        <f t="shared" ca="1" si="256"/>
        <v/>
      </c>
      <c r="AC579" s="310" t="e">
        <f t="shared" ca="1" si="257"/>
        <v>#N/A</v>
      </c>
      <c r="AD579" s="323" t="e">
        <f t="shared" ca="1" si="258"/>
        <v>#N/A</v>
      </c>
      <c r="AE579" s="324">
        <f t="shared" ca="1" si="237"/>
        <v>2547.4394341947282</v>
      </c>
      <c r="AG579" s="306">
        <f t="shared" ca="1" si="259"/>
        <v>-14.721328478938029</v>
      </c>
      <c r="AH579" s="304">
        <f t="shared" ca="1" si="260"/>
        <v>-5.0558835734975922</v>
      </c>
    </row>
    <row r="580" spans="1:34" x14ac:dyDescent="0.2">
      <c r="A580" s="347">
        <f t="shared" ca="1" si="238"/>
        <v>0.1</v>
      </c>
      <c r="B580" s="304">
        <f t="shared" ca="1" si="239"/>
        <v>12.599999999999911</v>
      </c>
      <c r="D580" s="306">
        <f t="shared" ca="1" si="240"/>
        <v>-0.84864072629067955</v>
      </c>
      <c r="E580" s="307">
        <f t="shared" ca="1" si="241"/>
        <v>-14.655133433940822</v>
      </c>
      <c r="F580" s="304">
        <f t="shared" ca="1" si="242"/>
        <v>14.679684160394231</v>
      </c>
      <c r="G580" s="306">
        <f t="shared" ca="1" si="243"/>
        <v>19.064096988846028</v>
      </c>
      <c r="H580" s="307">
        <f t="shared" ca="1" si="244"/>
        <v>107.86140037863817</v>
      </c>
      <c r="I580" s="304">
        <f t="shared" ca="1" si="245"/>
        <v>109.5331980982981</v>
      </c>
      <c r="J580" s="306">
        <f t="shared" ca="1" si="246"/>
        <v>311.22169227304653</v>
      </c>
      <c r="K580" s="307">
        <f t="shared" ca="1" si="247"/>
        <v>2558.2988498997615</v>
      </c>
      <c r="L580" s="304">
        <f t="shared" ref="L580:L643" ca="1" si="261">SQRT(pos_x^2+pos_z^2)</f>
        <v>2577.1596665980442</v>
      </c>
      <c r="M580" s="306">
        <f t="shared" ca="1" si="248"/>
        <v>1.3958568134154521</v>
      </c>
      <c r="N580" s="304">
        <f t="shared" ca="1" si="249"/>
        <v>79.97670421328543</v>
      </c>
      <c r="P580" s="310">
        <f t="shared" ca="1" si="250"/>
        <v>23</v>
      </c>
      <c r="Q580" s="304">
        <f t="shared" ca="1" si="251"/>
        <v>0</v>
      </c>
      <c r="R580" s="306">
        <f t="shared" ca="1" si="252"/>
        <v>0</v>
      </c>
      <c r="S580" s="307">
        <f t="shared" ca="1" si="253"/>
        <v>6.4679999999999849</v>
      </c>
      <c r="T580" s="304">
        <f t="shared" ref="T580:T643" ca="1" si="262">m*g</f>
        <v>63.451079999999855</v>
      </c>
      <c r="U580" s="311">
        <f t="shared" ref="U580:U643" ca="1" si="263">IF(pos_xz&lt;L_rampe,Poids*COS(Beta),0)</f>
        <v>0</v>
      </c>
      <c r="V580" s="306">
        <f t="shared" ref="V580:V643" ca="1" si="264">Rho_moyen*(20000-Alt_rampe-pos_z)/(20000+Alt_rampe+pos_z)</f>
        <v>0.94714960782460478</v>
      </c>
      <c r="W580" s="304">
        <f t="shared" ref="W580:W643" ca="1" si="265">1/2*Rho*Sref*Cx*vit_xz^2</f>
        <v>30.950811708748557</v>
      </c>
      <c r="Y580" s="314" t="str">
        <f t="shared" ca="1" si="254"/>
        <v/>
      </c>
      <c r="Z580" s="315" t="str">
        <f t="shared" ca="1" si="255"/>
        <v/>
      </c>
      <c r="AA580" s="316" t="str">
        <f t="shared" ca="1" si="256"/>
        <v/>
      </c>
      <c r="AC580" s="310" t="e">
        <f t="shared" ca="1" si="257"/>
        <v>#N/A</v>
      </c>
      <c r="AD580" s="323" t="e">
        <f t="shared" ca="1" si="258"/>
        <v>#N/A</v>
      </c>
      <c r="AE580" s="324">
        <f t="shared" ref="AE580:AE643" ca="1" si="266">IF(t&lt;T_para, pos_z, NA())</f>
        <v>2558.2988498997615</v>
      </c>
      <c r="AG580" s="306">
        <f t="shared" ca="1" si="259"/>
        <v>-14.58179045175355</v>
      </c>
      <c r="AH580" s="304">
        <f t="shared" ca="1" si="260"/>
        <v>-4.918893074159099</v>
      </c>
    </row>
    <row r="581" spans="1:34" x14ac:dyDescent="0.2">
      <c r="A581" s="347">
        <f t="shared" ref="A581:A644" ca="1" si="267">IF(B580+0.01&lt;=T_ini+ROUNDUP(Temps_fin_propu,0), 0.01, IF(K580&gt;0, 0.1, 0.0001))</f>
        <v>0.1</v>
      </c>
      <c r="B581" s="304">
        <f t="shared" ref="B581:B644" ca="1" si="268">B580+pas</f>
        <v>12.69999999999991</v>
      </c>
      <c r="D581" s="306">
        <f t="shared" ref="D581:D644" ca="1" si="269">IF(AND(L580&lt;L_rampe,Poussee&lt;Poids*SIN(M580)),0,(-W580+Poussee)/m*COS(M580)-U580/m*SIN(M580))</f>
        <v>-0.83286095506481339</v>
      </c>
      <c r="E581" s="307">
        <f t="shared" ref="E581:E644" ca="1" si="270">IF(AND(L580&lt;L_rampe,Poussee&lt;Poids*SIN(M580)),0,(-W580+Poussee)/m*SIN(M580)+U580/m*COS(M580)-Poids/m)</f>
        <v>-14.52218484602446</v>
      </c>
      <c r="F581" s="304">
        <f t="shared" ref="F581:F644" ca="1" si="271">SQRT(acc_x^2+acc_z^2)</f>
        <v>14.546047919368819</v>
      </c>
      <c r="G581" s="306">
        <f t="shared" ref="G581:G644" ca="1" si="272">G580+acc_x*pas</f>
        <v>18.980810893339548</v>
      </c>
      <c r="H581" s="307">
        <f t="shared" ref="H581:H644" ca="1" si="273">H580+acc_z*pas</f>
        <v>106.40918189403573</v>
      </c>
      <c r="I581" s="304">
        <f t="shared" ref="I581:I644" ca="1" si="274">SQRT(vit_x^2+vit_z^2)</f>
        <v>108.08878375449831</v>
      </c>
      <c r="J581" s="306">
        <f t="shared" ref="J581:J644" ca="1" si="275">J580+0.5*(vit_x+G580)*pas*(K580&gt;=0)</f>
        <v>313.12393766715581</v>
      </c>
      <c r="K581" s="307">
        <f t="shared" ref="K581:K644" ca="1" si="276">K580+0.5*(vit_z+H580)*pas</f>
        <v>2569.0123790133953</v>
      </c>
      <c r="L581" s="304">
        <f t="shared" ca="1" si="261"/>
        <v>2588.024575591246</v>
      </c>
      <c r="M581" s="306">
        <f t="shared" ref="M581:M644" ca="1" si="277">IF(AND(L580&gt;L_rampe,G581&gt;0),ATAN2(G581,H581),$M$4)</f>
        <v>1.3942771701198546</v>
      </c>
      <c r="N581" s="304">
        <f t="shared" ref="N581:N644" ca="1" si="278">DEGREES(Beta)</f>
        <v>79.886197319311563</v>
      </c>
      <c r="P581" s="310">
        <f t="shared" ref="P581:P644" ca="1" si="279">MATCH(t-pas/2-T_ini,CdP_t)</f>
        <v>23</v>
      </c>
      <c r="Q581" s="304">
        <f t="shared" ref="Q581:Q644" ca="1" si="280">(INDEX(CdP,2,i_P+1)-INDEX(CdP,2,i_P+0))/(INDEX(CdP,1,i_P+1)-INDEX(CdP,1,i_P+0))*(t-pas/2-T_ini-INDEX(CdP,1,i_P+0))+INDEX(CdP,2,i_P+0)</f>
        <v>0</v>
      </c>
      <c r="R581" s="306">
        <f t="shared" ref="R581:R644" ca="1" si="281">Poussee/(g*ISP)</f>
        <v>0</v>
      </c>
      <c r="S581" s="307">
        <f t="shared" ref="S581:S644" ca="1" si="282">S580-Débit*pas</f>
        <v>6.4679999999999849</v>
      </c>
      <c r="T581" s="304">
        <f t="shared" ca="1" si="262"/>
        <v>63.451079999999855</v>
      </c>
      <c r="U581" s="311">
        <f t="shared" ca="1" si="263"/>
        <v>0</v>
      </c>
      <c r="V581" s="306">
        <f t="shared" ca="1" si="264"/>
        <v>0.94611848658315267</v>
      </c>
      <c r="W581" s="304">
        <f t="shared" ca="1" si="265"/>
        <v>30.107085203198487</v>
      </c>
      <c r="Y581" s="314" t="str">
        <f t="shared" ref="Y581:Y644" ca="1" si="283">IF(AND(pos_z&lt;=0,K580&gt;0),"Impact balistique","") &amp; IF(AND(H582&lt;0,vit_z&gt;=0),"Apogée","") &amp; IF(AND(Poussee=0,Q580&gt;0),"Fin de propulsion","") &amp; IF(AND(L582&gt;L_rampe,pos_xz&lt;=L_rampe),"Sortie de rampe","")</f>
        <v/>
      </c>
      <c r="Z581" s="315" t="str">
        <f t="shared" ref="Z581:Z644" ca="1" si="284">IF(ABS(t-T_para)&lt;pas/2,"Para","")</f>
        <v/>
      </c>
      <c r="AA581" s="316" t="str">
        <f t="shared" ref="AA581:AA644" ca="1" si="285">IF(ABS(t-T_satellite)&lt;pas/2,"Satellite","")</f>
        <v/>
      </c>
      <c r="AC581" s="310" t="e">
        <f t="shared" ref="AC581:AC644" ca="1" si="286">IF(ABS(t-ROUND(t,0))&lt;0.001,t,NA())</f>
        <v>#N/A</v>
      </c>
      <c r="AD581" s="323" t="e">
        <f t="shared" ref="AD581:AD644" ca="1" si="287">IF(ABS(t-ROUND(t,0))&lt;0.001,pos_x,NA())</f>
        <v>#N/A</v>
      </c>
      <c r="AE581" s="324">
        <f t="shared" ca="1" si="266"/>
        <v>2569.0123790133953</v>
      </c>
      <c r="AG581" s="306">
        <f t="shared" ref="AG581:AG644" ca="1" si="288">IF(AND(L580&lt;L_rampe,Poussee&lt;Poids*SIN(M580)),0,(-W580+Poussee)/m-Poids*SIN(M580)/m)</f>
        <v>-14.445491992804321</v>
      </c>
      <c r="AH581" s="304">
        <f t="shared" ref="AH581:AH644" ca="1" si="289">IF(AND(L580&lt;L_rampe,Poussee&lt;Poids*SIN(M580)), g*SIN(M580), (-W580+Poussee)/m)</f>
        <v>-4.7852213526203817</v>
      </c>
    </row>
    <row r="582" spans="1:34" x14ac:dyDescent="0.2">
      <c r="A582" s="347">
        <f t="shared" ca="1" si="267"/>
        <v>0.1</v>
      </c>
      <c r="B582" s="304">
        <f t="shared" ca="1" si="268"/>
        <v>12.79999999999991</v>
      </c>
      <c r="D582" s="306">
        <f t="shared" ca="1" si="269"/>
        <v>-0.81739661076573089</v>
      </c>
      <c r="E582" s="307">
        <f t="shared" ca="1" si="270"/>
        <v>-14.392444086467357</v>
      </c>
      <c r="F582" s="304">
        <f t="shared" ca="1" si="271"/>
        <v>14.415636787925136</v>
      </c>
      <c r="G582" s="306">
        <f t="shared" ca="1" si="272"/>
        <v>18.899071232262976</v>
      </c>
      <c r="H582" s="307">
        <f t="shared" ca="1" si="273"/>
        <v>104.969937485389</v>
      </c>
      <c r="I582" s="304">
        <f t="shared" ca="1" si="274"/>
        <v>106.65768921708657</v>
      </c>
      <c r="J582" s="306">
        <f t="shared" ca="1" si="275"/>
        <v>315.01793177343592</v>
      </c>
      <c r="K582" s="307">
        <f t="shared" ca="1" si="276"/>
        <v>2579.5813349823666</v>
      </c>
      <c r="L582" s="304">
        <f t="shared" ca="1" si="261"/>
        <v>2598.7451127665872</v>
      </c>
      <c r="M582" s="306">
        <f t="shared" ca="1" si="277"/>
        <v>1.3926620264554888</v>
      </c>
      <c r="N582" s="304">
        <f t="shared" ca="1" si="278"/>
        <v>79.793656404036099</v>
      </c>
      <c r="P582" s="310">
        <f t="shared" ca="1" si="279"/>
        <v>23</v>
      </c>
      <c r="Q582" s="304">
        <f t="shared" ca="1" si="280"/>
        <v>0</v>
      </c>
      <c r="R582" s="306">
        <f t="shared" ca="1" si="281"/>
        <v>0</v>
      </c>
      <c r="S582" s="307">
        <f t="shared" ca="1" si="282"/>
        <v>6.4679999999999849</v>
      </c>
      <c r="T582" s="304">
        <f t="shared" ca="1" si="262"/>
        <v>63.451079999999855</v>
      </c>
      <c r="U582" s="311">
        <f t="shared" ca="1" si="263"/>
        <v>0</v>
      </c>
      <c r="V582" s="306">
        <f t="shared" ca="1" si="264"/>
        <v>0.94510223852488762</v>
      </c>
      <c r="W582" s="304">
        <f t="shared" ca="1" si="265"/>
        <v>29.283639747846852</v>
      </c>
      <c r="Y582" s="314" t="str">
        <f t="shared" ca="1" si="283"/>
        <v/>
      </c>
      <c r="Z582" s="315" t="str">
        <f t="shared" ca="1" si="284"/>
        <v/>
      </c>
      <c r="AA582" s="316" t="str">
        <f t="shared" ca="1" si="285"/>
        <v/>
      </c>
      <c r="AC582" s="310" t="e">
        <f t="shared" ca="1" si="286"/>
        <v>#N/A</v>
      </c>
      <c r="AD582" s="323" t="e">
        <f t="shared" ca="1" si="287"/>
        <v>#N/A</v>
      </c>
      <c r="AE582" s="324">
        <f t="shared" ca="1" si="266"/>
        <v>2579.5813349823666</v>
      </c>
      <c r="AG582" s="306">
        <f t="shared" ca="1" si="288"/>
        <v>-14.312336557548354</v>
      </c>
      <c r="AH582" s="304">
        <f t="shared" ca="1" si="289"/>
        <v>-4.6547750777981687</v>
      </c>
    </row>
    <row r="583" spans="1:34" x14ac:dyDescent="0.2">
      <c r="A583" s="347">
        <f t="shared" ca="1" si="267"/>
        <v>0.1</v>
      </c>
      <c r="B583" s="304">
        <f t="shared" ca="1" si="268"/>
        <v>12.89999999999991</v>
      </c>
      <c r="D583" s="306">
        <f t="shared" ca="1" si="269"/>
        <v>-0.80223819633149285</v>
      </c>
      <c r="E583" s="307">
        <f t="shared" ca="1" si="270"/>
        <v>-14.265821785228791</v>
      </c>
      <c r="F583" s="304">
        <f t="shared" ca="1" si="271"/>
        <v>14.28836090430115</v>
      </c>
      <c r="G583" s="306">
        <f t="shared" ca="1" si="272"/>
        <v>18.818847412629825</v>
      </c>
      <c r="H583" s="307">
        <f t="shared" ca="1" si="273"/>
        <v>103.54335530686612</v>
      </c>
      <c r="I583" s="304">
        <f t="shared" ca="1" si="274"/>
        <v>105.2396096825894</v>
      </c>
      <c r="J583" s="306">
        <f t="shared" ca="1" si="275"/>
        <v>316.90382770568056</v>
      </c>
      <c r="K583" s="307">
        <f t="shared" ca="1" si="276"/>
        <v>2590.0069996219795</v>
      </c>
      <c r="L583" s="304">
        <f t="shared" ca="1" si="261"/>
        <v>2609.3225737929297</v>
      </c>
      <c r="M583" s="306">
        <f t="shared" ca="1" si="277"/>
        <v>1.3910102994564129</v>
      </c>
      <c r="N583" s="304">
        <f t="shared" ca="1" si="278"/>
        <v>79.699019418081249</v>
      </c>
      <c r="P583" s="310">
        <f t="shared" ca="1" si="279"/>
        <v>23</v>
      </c>
      <c r="Q583" s="304">
        <f t="shared" ca="1" si="280"/>
        <v>0</v>
      </c>
      <c r="R583" s="306">
        <f t="shared" ca="1" si="281"/>
        <v>0</v>
      </c>
      <c r="S583" s="307">
        <f t="shared" ca="1" si="282"/>
        <v>6.4679999999999849</v>
      </c>
      <c r="T583" s="304">
        <f t="shared" ca="1" si="262"/>
        <v>63.451079999999855</v>
      </c>
      <c r="U583" s="311">
        <f t="shared" ca="1" si="263"/>
        <v>0</v>
      </c>
      <c r="V583" s="306">
        <f t="shared" ca="1" si="264"/>
        <v>0.94410070018216319</v>
      </c>
      <c r="W583" s="304">
        <f t="shared" ca="1" si="265"/>
        <v>28.479915746396532</v>
      </c>
      <c r="Y583" s="314" t="str">
        <f t="shared" ca="1" si="283"/>
        <v/>
      </c>
      <c r="Z583" s="315" t="str">
        <f t="shared" ca="1" si="284"/>
        <v/>
      </c>
      <c r="AA583" s="316" t="str">
        <f t="shared" ca="1" si="285"/>
        <v/>
      </c>
      <c r="AC583" s="310" t="e">
        <f t="shared" ca="1" si="286"/>
        <v>#N/A</v>
      </c>
      <c r="AD583" s="323" t="e">
        <f t="shared" ca="1" si="287"/>
        <v>#N/A</v>
      </c>
      <c r="AE583" s="324">
        <f t="shared" ca="1" si="266"/>
        <v>2590.0069996219795</v>
      </c>
      <c r="AG583" s="306">
        <f t="shared" ca="1" si="288"/>
        <v>-14.182230919255206</v>
      </c>
      <c r="AH583" s="304">
        <f t="shared" ca="1" si="289"/>
        <v>-4.5274644013368768</v>
      </c>
    </row>
    <row r="584" spans="1:34" x14ac:dyDescent="0.2">
      <c r="A584" s="347">
        <f t="shared" ca="1" si="267"/>
        <v>0.1</v>
      </c>
      <c r="B584" s="304">
        <f t="shared" ca="1" si="268"/>
        <v>12.999999999999909</v>
      </c>
      <c r="D584" s="306">
        <f t="shared" ca="1" si="269"/>
        <v>-0.78737655883292668</v>
      </c>
      <c r="E584" s="307">
        <f t="shared" ca="1" si="270"/>
        <v>-14.142231884553143</v>
      </c>
      <c r="F584" s="304">
        <f t="shared" ca="1" si="271"/>
        <v>14.16413373707941</v>
      </c>
      <c r="G584" s="306">
        <f t="shared" ca="1" si="272"/>
        <v>18.740109756746534</v>
      </c>
      <c r="H584" s="307">
        <f t="shared" ca="1" si="273"/>
        <v>102.12913211841081</v>
      </c>
      <c r="I584" s="304">
        <f t="shared" ca="1" si="274"/>
        <v>103.83424936385256</v>
      </c>
      <c r="J584" s="306">
        <f t="shared" ca="1" si="275"/>
        <v>318.78177556414937</v>
      </c>
      <c r="K584" s="307">
        <f t="shared" ca="1" si="276"/>
        <v>2600.2906239932436</v>
      </c>
      <c r="L584" s="304">
        <f t="shared" ca="1" si="261"/>
        <v>2619.7582235120481</v>
      </c>
      <c r="M584" s="306">
        <f t="shared" ca="1" si="277"/>
        <v>1.3893208609890613</v>
      </c>
      <c r="N584" s="304">
        <f t="shared" ca="1" si="278"/>
        <v>79.602221724154944</v>
      </c>
      <c r="P584" s="310">
        <f t="shared" ca="1" si="279"/>
        <v>23</v>
      </c>
      <c r="Q584" s="304">
        <f t="shared" ca="1" si="280"/>
        <v>0</v>
      </c>
      <c r="R584" s="306">
        <f t="shared" ca="1" si="281"/>
        <v>0</v>
      </c>
      <c r="S584" s="307">
        <f t="shared" ca="1" si="282"/>
        <v>6.4679999999999849</v>
      </c>
      <c r="T584" s="304">
        <f t="shared" ca="1" si="262"/>
        <v>63.451079999999855</v>
      </c>
      <c r="U584" s="311">
        <f t="shared" ca="1" si="263"/>
        <v>0</v>
      </c>
      <c r="V584" s="306">
        <f t="shared" ca="1" si="264"/>
        <v>0.94311371212987516</v>
      </c>
      <c r="W584" s="304">
        <f t="shared" ca="1" si="265"/>
        <v>27.695374212423587</v>
      </c>
      <c r="Y584" s="314" t="str">
        <f t="shared" ca="1" si="283"/>
        <v/>
      </c>
      <c r="Z584" s="315" t="str">
        <f t="shared" ca="1" si="284"/>
        <v/>
      </c>
      <c r="AA584" s="316" t="str">
        <f t="shared" ca="1" si="285"/>
        <v/>
      </c>
      <c r="AC584" s="310">
        <f t="shared" ca="1" si="286"/>
        <v>12.999999999999909</v>
      </c>
      <c r="AD584" s="323">
        <f t="shared" ca="1" si="287"/>
        <v>318.78177556414937</v>
      </c>
      <c r="AE584" s="324">
        <f t="shared" ca="1" si="266"/>
        <v>2600.2906239932436</v>
      </c>
      <c r="AG584" s="306">
        <f t="shared" ca="1" si="288"/>
        <v>-14.055085006800844</v>
      </c>
      <c r="AH584" s="304">
        <f t="shared" ca="1" si="289"/>
        <v>-4.4032028055653365</v>
      </c>
    </row>
    <row r="585" spans="1:34" x14ac:dyDescent="0.2">
      <c r="A585" s="347">
        <f t="shared" ca="1" si="267"/>
        <v>0.1</v>
      </c>
      <c r="B585" s="304">
        <f t="shared" ca="1" si="268"/>
        <v>13.099999999999909</v>
      </c>
      <c r="D585" s="306">
        <f t="shared" ca="1" si="269"/>
        <v>-0.77280287454402474</v>
      </c>
      <c r="E585" s="307">
        <f t="shared" ca="1" si="270"/>
        <v>-14.02159149547567</v>
      </c>
      <c r="F585" s="304">
        <f t="shared" ca="1" si="271"/>
        <v>14.042871940913622</v>
      </c>
      <c r="G585" s="306">
        <f t="shared" ca="1" si="272"/>
        <v>18.662829469292131</v>
      </c>
      <c r="H585" s="307">
        <f t="shared" ca="1" si="273"/>
        <v>100.72697296886324</v>
      </c>
      <c r="I585" s="304">
        <f t="shared" ca="1" si="274"/>
        <v>102.44132119057224</v>
      </c>
      <c r="J585" s="306">
        <f t="shared" ca="1" si="275"/>
        <v>320.65192252545131</v>
      </c>
      <c r="K585" s="307">
        <f t="shared" ca="1" si="276"/>
        <v>2610.4334292476074</v>
      </c>
      <c r="L585" s="304">
        <f t="shared" ca="1" si="261"/>
        <v>2630.053296789381</v>
      </c>
      <c r="M585" s="306">
        <f t="shared" ca="1" si="277"/>
        <v>1.387592535419544</v>
      </c>
      <c r="N585" s="304">
        <f t="shared" ca="1" si="278"/>
        <v>79.503195963397062</v>
      </c>
      <c r="P585" s="310">
        <f t="shared" ca="1" si="279"/>
        <v>23</v>
      </c>
      <c r="Q585" s="304">
        <f t="shared" ca="1" si="280"/>
        <v>0</v>
      </c>
      <c r="R585" s="306">
        <f t="shared" ca="1" si="281"/>
        <v>0</v>
      </c>
      <c r="S585" s="307">
        <f t="shared" ca="1" si="282"/>
        <v>6.4679999999999849</v>
      </c>
      <c r="T585" s="304">
        <f t="shared" ca="1" si="262"/>
        <v>63.451079999999855</v>
      </c>
      <c r="U585" s="311">
        <f t="shared" ca="1" si="263"/>
        <v>0</v>
      </c>
      <c r="V585" s="306">
        <f t="shared" ca="1" si="264"/>
        <v>0.94214111887020724</v>
      </c>
      <c r="W585" s="304">
        <f t="shared" ca="1" si="265"/>
        <v>26.92949588387566</v>
      </c>
      <c r="Y585" s="314" t="str">
        <f t="shared" ca="1" si="283"/>
        <v/>
      </c>
      <c r="Z585" s="315" t="str">
        <f t="shared" ca="1" si="284"/>
        <v/>
      </c>
      <c r="AA585" s="316" t="str">
        <f t="shared" ca="1" si="285"/>
        <v/>
      </c>
      <c r="AC585" s="310" t="e">
        <f t="shared" ca="1" si="286"/>
        <v>#N/A</v>
      </c>
      <c r="AD585" s="323" t="e">
        <f t="shared" ca="1" si="287"/>
        <v>#N/A</v>
      </c>
      <c r="AE585" s="324">
        <f t="shared" ca="1" si="266"/>
        <v>2610.4334292476074</v>
      </c>
      <c r="AG585" s="306">
        <f t="shared" ca="1" si="288"/>
        <v>-13.930811749525368</v>
      </c>
      <c r="AH585" s="304">
        <f t="shared" ca="1" si="289"/>
        <v>-4.2819069592491728</v>
      </c>
    </row>
    <row r="586" spans="1:34" x14ac:dyDescent="0.2">
      <c r="A586" s="347">
        <f t="shared" ca="1" si="267"/>
        <v>0.1</v>
      </c>
      <c r="B586" s="304">
        <f t="shared" ca="1" si="268"/>
        <v>13.199999999999909</v>
      </c>
      <c r="D586" s="306">
        <f t="shared" ca="1" si="269"/>
        <v>-0.75850863477999464</v>
      </c>
      <c r="E586" s="307">
        <f t="shared" ca="1" si="270"/>
        <v>-13.903820761629227</v>
      </c>
      <c r="F586" s="304">
        <f t="shared" ca="1" si="271"/>
        <v>13.924495219595851</v>
      </c>
      <c r="G586" s="306">
        <f t="shared" ca="1" si="272"/>
        <v>18.586978605814132</v>
      </c>
      <c r="H586" s="307">
        <f t="shared" ca="1" si="273"/>
        <v>99.336590892700315</v>
      </c>
      <c r="I586" s="304">
        <f t="shared" ca="1" si="274"/>
        <v>101.06054652472794</v>
      </c>
      <c r="J586" s="306">
        <f t="shared" ca="1" si="275"/>
        <v>322.51441292920663</v>
      </c>
      <c r="K586" s="307">
        <f t="shared" ca="1" si="276"/>
        <v>2620.4366074406857</v>
      </c>
      <c r="L586" s="304">
        <f t="shared" ca="1" si="261"/>
        <v>2640.2089993336363</v>
      </c>
      <c r="M586" s="306">
        <f t="shared" ca="1" si="277"/>
        <v>1.3858240971361329</v>
      </c>
      <c r="N586" s="304">
        <f t="shared" ca="1" si="278"/>
        <v>79.401871913428252</v>
      </c>
      <c r="P586" s="310">
        <f t="shared" ca="1" si="279"/>
        <v>23</v>
      </c>
      <c r="Q586" s="304">
        <f t="shared" ca="1" si="280"/>
        <v>0</v>
      </c>
      <c r="R586" s="306">
        <f t="shared" ca="1" si="281"/>
        <v>0</v>
      </c>
      <c r="S586" s="307">
        <f t="shared" ca="1" si="282"/>
        <v>6.4679999999999849</v>
      </c>
      <c r="T586" s="304">
        <f t="shared" ca="1" si="262"/>
        <v>63.451079999999855</v>
      </c>
      <c r="U586" s="311">
        <f t="shared" ca="1" si="263"/>
        <v>0</v>
      </c>
      <c r="V586" s="306">
        <f t="shared" ca="1" si="264"/>
        <v>0.94118276872171935</v>
      </c>
      <c r="W586" s="304">
        <f t="shared" ca="1" si="265"/>
        <v>26.18178038232308</v>
      </c>
      <c r="Y586" s="314" t="str">
        <f t="shared" ca="1" si="283"/>
        <v/>
      </c>
      <c r="Z586" s="315" t="str">
        <f t="shared" ca="1" si="284"/>
        <v/>
      </c>
      <c r="AA586" s="316" t="str">
        <f t="shared" ca="1" si="285"/>
        <v/>
      </c>
      <c r="AC586" s="310" t="e">
        <f t="shared" ca="1" si="286"/>
        <v>#N/A</v>
      </c>
      <c r="AD586" s="323" t="e">
        <f t="shared" ca="1" si="287"/>
        <v>#N/A</v>
      </c>
      <c r="AE586" s="324">
        <f t="shared" ca="1" si="266"/>
        <v>2620.4366074406857</v>
      </c>
      <c r="AG586" s="306">
        <f t="shared" ca="1" si="288"/>
        <v>-13.809326928640026</v>
      </c>
      <c r="AH586" s="304">
        <f t="shared" ca="1" si="289"/>
        <v>-4.1634965806857949</v>
      </c>
    </row>
    <row r="587" spans="1:34" x14ac:dyDescent="0.2">
      <c r="A587" s="347">
        <f t="shared" ca="1" si="267"/>
        <v>0.1</v>
      </c>
      <c r="B587" s="304">
        <f t="shared" ca="1" si="268"/>
        <v>13.299999999999908</v>
      </c>
      <c r="D587" s="306">
        <f t="shared" ca="1" si="269"/>
        <v>-0.74448563245945421</v>
      </c>
      <c r="E587" s="307">
        <f t="shared" ca="1" si="270"/>
        <v>-13.788842729930543</v>
      </c>
      <c r="F587" s="304">
        <f t="shared" ca="1" si="271"/>
        <v>13.808926196040623</v>
      </c>
      <c r="G587" s="306">
        <f t="shared" ca="1" si="272"/>
        <v>18.512530042568187</v>
      </c>
      <c r="H587" s="307">
        <f t="shared" ca="1" si="273"/>
        <v>97.957706619707267</v>
      </c>
      <c r="I587" s="304">
        <f t="shared" ca="1" si="274"/>
        <v>99.691654890314823</v>
      </c>
      <c r="J587" s="306">
        <f t="shared" ca="1" si="275"/>
        <v>324.36938836162574</v>
      </c>
      <c r="K587" s="307">
        <f t="shared" ca="1" si="276"/>
        <v>2630.3013223163061</v>
      </c>
      <c r="L587" s="304">
        <f t="shared" ca="1" si="261"/>
        <v>2650.2265084865867</v>
      </c>
      <c r="M587" s="306">
        <f t="shared" ca="1" si="277"/>
        <v>1.3840142679164829</v>
      </c>
      <c r="N587" s="304">
        <f t="shared" ca="1" si="278"/>
        <v>79.298176337502852</v>
      </c>
      <c r="P587" s="310">
        <f t="shared" ca="1" si="279"/>
        <v>23</v>
      </c>
      <c r="Q587" s="304">
        <f t="shared" ca="1" si="280"/>
        <v>0</v>
      </c>
      <c r="R587" s="306">
        <f t="shared" ca="1" si="281"/>
        <v>0</v>
      </c>
      <c r="S587" s="307">
        <f t="shared" ca="1" si="282"/>
        <v>6.4679999999999849</v>
      </c>
      <c r="T587" s="304">
        <f t="shared" ca="1" si="262"/>
        <v>63.451079999999855</v>
      </c>
      <c r="U587" s="311">
        <f t="shared" ca="1" si="263"/>
        <v>0</v>
      </c>
      <c r="V587" s="306">
        <f t="shared" ca="1" si="264"/>
        <v>0.94023851371258027</v>
      </c>
      <c r="W587" s="304">
        <f t="shared" ca="1" si="265"/>
        <v>25.45174541440057</v>
      </c>
      <c r="Y587" s="314" t="str">
        <f t="shared" ca="1" si="283"/>
        <v/>
      </c>
      <c r="Z587" s="315" t="str">
        <f t="shared" ca="1" si="284"/>
        <v/>
      </c>
      <c r="AA587" s="316" t="str">
        <f t="shared" ca="1" si="285"/>
        <v/>
      </c>
      <c r="AC587" s="310" t="e">
        <f t="shared" ca="1" si="286"/>
        <v>#N/A</v>
      </c>
      <c r="AD587" s="323" t="e">
        <f t="shared" ca="1" si="287"/>
        <v>#N/A</v>
      </c>
      <c r="AE587" s="324">
        <f t="shared" ca="1" si="266"/>
        <v>2630.3013223163061</v>
      </c>
      <c r="AG587" s="306">
        <f t="shared" ca="1" si="288"/>
        <v>-13.69054903469393</v>
      </c>
      <c r="AH587" s="304">
        <f t="shared" ca="1" si="289"/>
        <v>-4.0478943077184821</v>
      </c>
    </row>
    <row r="588" spans="1:34" x14ac:dyDescent="0.2">
      <c r="A588" s="347">
        <f t="shared" ca="1" si="267"/>
        <v>0.1</v>
      </c>
      <c r="B588" s="304">
        <f t="shared" ca="1" si="268"/>
        <v>13.399999999999908</v>
      </c>
      <c r="D588" s="306">
        <f t="shared" ca="1" si="269"/>
        <v>-0.73072594935013435</v>
      </c>
      <c r="E588" s="307">
        <f t="shared" ca="1" si="270"/>
        <v>-13.676583227751911</v>
      </c>
      <c r="F588" s="304">
        <f t="shared" ca="1" si="271"/>
        <v>13.696090288789662</v>
      </c>
      <c r="G588" s="306">
        <f t="shared" ca="1" si="272"/>
        <v>18.439457447633174</v>
      </c>
      <c r="H588" s="307">
        <f t="shared" ca="1" si="273"/>
        <v>96.590048296932082</v>
      </c>
      <c r="I588" s="304">
        <f t="shared" ca="1" si="274"/>
        <v>98.334383716819758</v>
      </c>
      <c r="J588" s="306">
        <f t="shared" ca="1" si="275"/>
        <v>326.21698773613582</v>
      </c>
      <c r="K588" s="307">
        <f t="shared" ca="1" si="276"/>
        <v>2640.0287100621381</v>
      </c>
      <c r="L588" s="304">
        <f t="shared" ca="1" si="261"/>
        <v>2660.106973984316</v>
      </c>
      <c r="M588" s="306">
        <f t="shared" ca="1" si="277"/>
        <v>1.3821617141282776</v>
      </c>
      <c r="N588" s="304">
        <f t="shared" ca="1" si="278"/>
        <v>79.192032824117717</v>
      </c>
      <c r="P588" s="310">
        <f t="shared" ca="1" si="279"/>
        <v>23</v>
      </c>
      <c r="Q588" s="304">
        <f t="shared" ca="1" si="280"/>
        <v>0</v>
      </c>
      <c r="R588" s="306">
        <f t="shared" ca="1" si="281"/>
        <v>0</v>
      </c>
      <c r="S588" s="307">
        <f t="shared" ca="1" si="282"/>
        <v>6.4679999999999849</v>
      </c>
      <c r="T588" s="304">
        <f t="shared" ca="1" si="262"/>
        <v>63.451079999999855</v>
      </c>
      <c r="U588" s="311">
        <f t="shared" ca="1" si="263"/>
        <v>0</v>
      </c>
      <c r="V588" s="306">
        <f t="shared" ca="1" si="264"/>
        <v>0.93930820947777471</v>
      </c>
      <c r="W588" s="304">
        <f t="shared" ca="1" si="265"/>
        <v>24.73892601304204</v>
      </c>
      <c r="Y588" s="314" t="str">
        <f t="shared" ca="1" si="283"/>
        <v/>
      </c>
      <c r="Z588" s="315" t="str">
        <f t="shared" ca="1" si="284"/>
        <v/>
      </c>
      <c r="AA588" s="316" t="str">
        <f t="shared" ca="1" si="285"/>
        <v/>
      </c>
      <c r="AC588" s="310" t="e">
        <f t="shared" ca="1" si="286"/>
        <v>#N/A</v>
      </c>
      <c r="AD588" s="323" t="e">
        <f t="shared" ca="1" si="287"/>
        <v>#N/A</v>
      </c>
      <c r="AE588" s="324">
        <f t="shared" ca="1" si="266"/>
        <v>2640.0287100621381</v>
      </c>
      <c r="AG588" s="306">
        <f t="shared" ca="1" si="288"/>
        <v>-13.574399130632044</v>
      </c>
      <c r="AH588" s="304">
        <f t="shared" ca="1" si="289"/>
        <v>-3.935025574273443</v>
      </c>
    </row>
    <row r="589" spans="1:34" x14ac:dyDescent="0.2">
      <c r="A589" s="347">
        <f t="shared" ca="1" si="267"/>
        <v>0.1</v>
      </c>
      <c r="B589" s="304">
        <f t="shared" ca="1" si="268"/>
        <v>13.499999999999908</v>
      </c>
      <c r="D589" s="306">
        <f t="shared" ca="1" si="269"/>
        <v>-0.71722194396015038</v>
      </c>
      <c r="E589" s="307">
        <f t="shared" ca="1" si="270"/>
        <v>-13.566970746209375</v>
      </c>
      <c r="F589" s="304">
        <f t="shared" ca="1" si="271"/>
        <v>13.585915594666373</v>
      </c>
      <c r="G589" s="306">
        <f t="shared" ca="1" si="272"/>
        <v>18.367735253237161</v>
      </c>
      <c r="H589" s="307">
        <f t="shared" ca="1" si="273"/>
        <v>95.233351222311143</v>
      </c>
      <c r="I589" s="304">
        <f t="shared" ca="1" si="274"/>
        <v>96.98847809593201</v>
      </c>
      <c r="J589" s="306">
        <f t="shared" ca="1" si="275"/>
        <v>328.05734737117933</v>
      </c>
      <c r="K589" s="307">
        <f t="shared" ca="1" si="276"/>
        <v>2649.6198800381003</v>
      </c>
      <c r="L589" s="304">
        <f t="shared" ca="1" si="261"/>
        <v>2669.8515186911295</v>
      </c>
      <c r="M589" s="306">
        <f t="shared" ca="1" si="277"/>
        <v>1.3802650437510475</v>
      </c>
      <c r="N589" s="304">
        <f t="shared" ca="1" si="278"/>
        <v>79.083361616374944</v>
      </c>
      <c r="P589" s="310">
        <f t="shared" ca="1" si="279"/>
        <v>23</v>
      </c>
      <c r="Q589" s="304">
        <f t="shared" ca="1" si="280"/>
        <v>0</v>
      </c>
      <c r="R589" s="306">
        <f t="shared" ca="1" si="281"/>
        <v>0</v>
      </c>
      <c r="S589" s="307">
        <f t="shared" ca="1" si="282"/>
        <v>6.4679999999999849</v>
      </c>
      <c r="T589" s="304">
        <f t="shared" ca="1" si="262"/>
        <v>63.451079999999855</v>
      </c>
      <c r="U589" s="311">
        <f t="shared" ca="1" si="263"/>
        <v>0</v>
      </c>
      <c r="V589" s="306">
        <f t="shared" ca="1" si="264"/>
        <v>0.93839171516010345</v>
      </c>
      <c r="W589" s="304">
        <f t="shared" ca="1" si="265"/>
        <v>24.042873816263981</v>
      </c>
      <c r="Y589" s="314" t="str">
        <f t="shared" ca="1" si="283"/>
        <v/>
      </c>
      <c r="Z589" s="315" t="str">
        <f t="shared" ca="1" si="284"/>
        <v/>
      </c>
      <c r="AA589" s="316" t="str">
        <f t="shared" ca="1" si="285"/>
        <v/>
      </c>
      <c r="AC589" s="310" t="e">
        <f t="shared" ca="1" si="286"/>
        <v>#N/A</v>
      </c>
      <c r="AD589" s="323" t="e">
        <f t="shared" ca="1" si="287"/>
        <v>#N/A</v>
      </c>
      <c r="AE589" s="324">
        <f t="shared" ca="1" si="266"/>
        <v>2649.6198800381003</v>
      </c>
      <c r="AG589" s="306">
        <f t="shared" ca="1" si="288"/>
        <v>-13.460800719994575</v>
      </c>
      <c r="AH589" s="304">
        <f t="shared" ca="1" si="289"/>
        <v>-3.8248184930491802</v>
      </c>
    </row>
    <row r="590" spans="1:34" x14ac:dyDescent="0.2">
      <c r="A590" s="347">
        <f t="shared" ca="1" si="267"/>
        <v>0.1</v>
      </c>
      <c r="B590" s="304">
        <f t="shared" ca="1" si="268"/>
        <v>13.599999999999907</v>
      </c>
      <c r="D590" s="306">
        <f t="shared" ca="1" si="269"/>
        <v>-0.70396624003941599</v>
      </c>
      <c r="E590" s="307">
        <f t="shared" ca="1" si="270"/>
        <v>-13.459936329222085</v>
      </c>
      <c r="F590" s="304">
        <f t="shared" ca="1" si="271"/>
        <v>13.478332777232788</v>
      </c>
      <c r="G590" s="306">
        <f t="shared" ca="1" si="272"/>
        <v>18.29733862923322</v>
      </c>
      <c r="H590" s="307">
        <f t="shared" ca="1" si="273"/>
        <v>93.887357589388941</v>
      </c>
      <c r="I590" s="304">
        <f t="shared" ca="1" si="274"/>
        <v>95.653690551021697</v>
      </c>
      <c r="J590" s="306">
        <f t="shared" ca="1" si="275"/>
        <v>329.89060106530286</v>
      </c>
      <c r="K590" s="307">
        <f t="shared" ca="1" si="276"/>
        <v>2659.0759154786851</v>
      </c>
      <c r="L590" s="304">
        <f t="shared" ca="1" si="261"/>
        <v>2679.4612393072671</v>
      </c>
      <c r="M590" s="306">
        <f t="shared" ca="1" si="277"/>
        <v>1.3783228032058887</v>
      </c>
      <c r="N590" s="304">
        <f t="shared" ca="1" si="278"/>
        <v>78.972079430338155</v>
      </c>
      <c r="P590" s="310">
        <f t="shared" ca="1" si="279"/>
        <v>23</v>
      </c>
      <c r="Q590" s="304">
        <f t="shared" ca="1" si="280"/>
        <v>0</v>
      </c>
      <c r="R590" s="306">
        <f t="shared" ca="1" si="281"/>
        <v>0</v>
      </c>
      <c r="S590" s="307">
        <f t="shared" ca="1" si="282"/>
        <v>6.4679999999999849</v>
      </c>
      <c r="T590" s="304">
        <f t="shared" ca="1" si="262"/>
        <v>63.451079999999855</v>
      </c>
      <c r="U590" s="311">
        <f t="shared" ca="1" si="263"/>
        <v>0</v>
      </c>
      <c r="V590" s="306">
        <f t="shared" ca="1" si="264"/>
        <v>0.9374888933148201</v>
      </c>
      <c r="W590" s="304">
        <f t="shared" ca="1" si="265"/>
        <v>23.363156381394635</v>
      </c>
      <c r="Y590" s="314" t="str">
        <f t="shared" ca="1" si="283"/>
        <v/>
      </c>
      <c r="Z590" s="315" t="str">
        <f t="shared" ca="1" si="284"/>
        <v/>
      </c>
      <c r="AA590" s="316" t="str">
        <f t="shared" ca="1" si="285"/>
        <v/>
      </c>
      <c r="AC590" s="310" t="e">
        <f t="shared" ca="1" si="286"/>
        <v>#N/A</v>
      </c>
      <c r="AD590" s="323" t="e">
        <f t="shared" ca="1" si="287"/>
        <v>#N/A</v>
      </c>
      <c r="AE590" s="324">
        <f t="shared" ca="1" si="266"/>
        <v>2659.0759154786851</v>
      </c>
      <c r="AG590" s="306">
        <f t="shared" ca="1" si="288"/>
        <v>-13.34967961982403</v>
      </c>
      <c r="AH590" s="304">
        <f t="shared" ca="1" si="289"/>
        <v>-3.7172037440111376</v>
      </c>
    </row>
    <row r="591" spans="1:34" x14ac:dyDescent="0.2">
      <c r="A591" s="347">
        <f t="shared" ca="1" si="267"/>
        <v>0.1</v>
      </c>
      <c r="B591" s="304">
        <f t="shared" ca="1" si="268"/>
        <v>13.699999999999907</v>
      </c>
      <c r="D591" s="306">
        <f t="shared" ca="1" si="269"/>
        <v>-0.69095171565807478</v>
      </c>
      <c r="E591" s="307">
        <f t="shared" ca="1" si="270"/>
        <v>-13.355413468019204</v>
      </c>
      <c r="F591" s="304">
        <f t="shared" ca="1" si="271"/>
        <v>13.373274960723704</v>
      </c>
      <c r="G591" s="306">
        <f t="shared" ca="1" si="272"/>
        <v>18.228243457667414</v>
      </c>
      <c r="H591" s="307">
        <f t="shared" ca="1" si="273"/>
        <v>92.551816242587023</v>
      </c>
      <c r="I591" s="304">
        <f t="shared" ca="1" si="274"/>
        <v>94.329780818962945</v>
      </c>
      <c r="J591" s="306">
        <f t="shared" ca="1" si="275"/>
        <v>331.71688016964788</v>
      </c>
      <c r="K591" s="307">
        <f t="shared" ca="1" si="276"/>
        <v>2668.397874170284</v>
      </c>
      <c r="L591" s="304">
        <f t="shared" ca="1" si="261"/>
        <v>2688.9372070515101</v>
      </c>
      <c r="M591" s="306">
        <f t="shared" ca="1" si="277"/>
        <v>1.3763334739786874</v>
      </c>
      <c r="N591" s="304">
        <f t="shared" ca="1" si="278"/>
        <v>78.858099261557498</v>
      </c>
      <c r="P591" s="310">
        <f t="shared" ca="1" si="279"/>
        <v>23</v>
      </c>
      <c r="Q591" s="304">
        <f t="shared" ca="1" si="280"/>
        <v>0</v>
      </c>
      <c r="R591" s="306">
        <f t="shared" ca="1" si="281"/>
        <v>0</v>
      </c>
      <c r="S591" s="307">
        <f t="shared" ca="1" si="282"/>
        <v>6.4679999999999849</v>
      </c>
      <c r="T591" s="304">
        <f t="shared" ca="1" si="262"/>
        <v>63.451079999999855</v>
      </c>
      <c r="U591" s="311">
        <f t="shared" ca="1" si="263"/>
        <v>0</v>
      </c>
      <c r="V591" s="306">
        <f t="shared" ca="1" si="264"/>
        <v>0.93659960981774992</v>
      </c>
      <c r="W591" s="304">
        <f t="shared" ca="1" si="265"/>
        <v>22.699356532778967</v>
      </c>
      <c r="Y591" s="314" t="str">
        <f t="shared" ca="1" si="283"/>
        <v/>
      </c>
      <c r="Z591" s="315" t="str">
        <f t="shared" ca="1" si="284"/>
        <v/>
      </c>
      <c r="AA591" s="316" t="str">
        <f t="shared" ca="1" si="285"/>
        <v/>
      </c>
      <c r="AC591" s="310" t="e">
        <f t="shared" ca="1" si="286"/>
        <v>#N/A</v>
      </c>
      <c r="AD591" s="323" t="e">
        <f t="shared" ca="1" si="287"/>
        <v>#N/A</v>
      </c>
      <c r="AE591" s="324">
        <f t="shared" ca="1" si="266"/>
        <v>2668.397874170284</v>
      </c>
      <c r="AG591" s="306">
        <f t="shared" ca="1" si="288"/>
        <v>-13.240963837859752</v>
      </c>
      <c r="AH591" s="304">
        <f t="shared" ca="1" si="289"/>
        <v>-3.6121144683665261</v>
      </c>
    </row>
    <row r="592" spans="1:34" x14ac:dyDescent="0.2">
      <c r="A592" s="347">
        <f t="shared" ca="1" si="267"/>
        <v>0.1</v>
      </c>
      <c r="B592" s="304">
        <f t="shared" ca="1" si="268"/>
        <v>13.799999999999907</v>
      </c>
      <c r="D592" s="306">
        <f t="shared" ca="1" si="269"/>
        <v>-0.67817149283103795</v>
      </c>
      <c r="E592" s="307">
        <f t="shared" ca="1" si="270"/>
        <v>-13.253338000791166</v>
      </c>
      <c r="F592" s="304">
        <f t="shared" ca="1" si="271"/>
        <v>13.270677629153074</v>
      </c>
      <c r="G592" s="306">
        <f t="shared" ca="1" si="272"/>
        <v>18.160426308384309</v>
      </c>
      <c r="H592" s="307">
        <f t="shared" ca="1" si="273"/>
        <v>91.226482442507901</v>
      </c>
      <c r="I592" s="304">
        <f t="shared" ca="1" si="274"/>
        <v>93.016515643919163</v>
      </c>
      <c r="J592" s="306">
        <f t="shared" ca="1" si="275"/>
        <v>333.53631365795047</v>
      </c>
      <c r="K592" s="307">
        <f t="shared" ca="1" si="276"/>
        <v>2677.5867891045386</v>
      </c>
      <c r="L592" s="304">
        <f t="shared" ca="1" si="261"/>
        <v>2698.2804683197201</v>
      </c>
      <c r="M592" s="306">
        <f t="shared" ca="1" si="277"/>
        <v>1.3742954690212266</v>
      </c>
      <c r="N592" s="304">
        <f t="shared" ca="1" si="278"/>
        <v>78.741330178868253</v>
      </c>
      <c r="P592" s="310">
        <f t="shared" ca="1" si="279"/>
        <v>23</v>
      </c>
      <c r="Q592" s="304">
        <f t="shared" ca="1" si="280"/>
        <v>0</v>
      </c>
      <c r="R592" s="306">
        <f t="shared" ca="1" si="281"/>
        <v>0</v>
      </c>
      <c r="S592" s="307">
        <f t="shared" ca="1" si="282"/>
        <v>6.4679999999999849</v>
      </c>
      <c r="T592" s="304">
        <f t="shared" ca="1" si="262"/>
        <v>63.451079999999855</v>
      </c>
      <c r="U592" s="311">
        <f t="shared" ca="1" si="263"/>
        <v>0</v>
      </c>
      <c r="V592" s="306">
        <f t="shared" ca="1" si="264"/>
        <v>0.93572373377673868</v>
      </c>
      <c r="W592" s="304">
        <f t="shared" ca="1" si="265"/>
        <v>22.051071741111731</v>
      </c>
      <c r="Y592" s="314" t="str">
        <f t="shared" ca="1" si="283"/>
        <v/>
      </c>
      <c r="Z592" s="315" t="str">
        <f t="shared" ca="1" si="284"/>
        <v/>
      </c>
      <c r="AA592" s="316" t="str">
        <f t="shared" ca="1" si="285"/>
        <v/>
      </c>
      <c r="AC592" s="310" t="e">
        <f t="shared" ca="1" si="286"/>
        <v>#N/A</v>
      </c>
      <c r="AD592" s="323" t="e">
        <f t="shared" ca="1" si="287"/>
        <v>#N/A</v>
      </c>
      <c r="AE592" s="324">
        <f t="shared" ca="1" si="266"/>
        <v>2677.5867891045386</v>
      </c>
      <c r="AG592" s="306">
        <f t="shared" ca="1" si="288"/>
        <v>-13.134583453610901</v>
      </c>
      <c r="AH592" s="304">
        <f t="shared" ca="1" si="289"/>
        <v>-3.5094861677147526</v>
      </c>
    </row>
    <row r="593" spans="1:34" x14ac:dyDescent="0.2">
      <c r="A593" s="347">
        <f t="shared" ca="1" si="267"/>
        <v>0.1</v>
      </c>
      <c r="B593" s="304">
        <f t="shared" ca="1" si="268"/>
        <v>13.899999999999906</v>
      </c>
      <c r="D593" s="306">
        <f t="shared" ca="1" si="269"/>
        <v>-0.66561892765973496</v>
      </c>
      <c r="E593" s="307">
        <f t="shared" ca="1" si="270"/>
        <v>-13.153648017200872</v>
      </c>
      <c r="F593" s="304">
        <f t="shared" ca="1" si="271"/>
        <v>13.17047853030676</v>
      </c>
      <c r="G593" s="306">
        <f t="shared" ca="1" si="272"/>
        <v>18.093864415618334</v>
      </c>
      <c r="H593" s="307">
        <f t="shared" ca="1" si="273"/>
        <v>89.911117640787808</v>
      </c>
      <c r="I593" s="304">
        <f t="shared" ca="1" si="274"/>
        <v>91.713668582749236</v>
      </c>
      <c r="J593" s="306">
        <f t="shared" ca="1" si="275"/>
        <v>335.34902819415061</v>
      </c>
      <c r="K593" s="307">
        <f t="shared" ca="1" si="276"/>
        <v>2686.6436691087033</v>
      </c>
      <c r="L593" s="304">
        <f t="shared" ca="1" si="261"/>
        <v>2707.4920453202881</v>
      </c>
      <c r="M593" s="306">
        <f t="shared" ca="1" si="277"/>
        <v>1.3722071289132114</v>
      </c>
      <c r="N593" s="304">
        <f t="shared" ca="1" si="278"/>
        <v>78.621677104491084</v>
      </c>
      <c r="P593" s="310">
        <f t="shared" ca="1" si="279"/>
        <v>23</v>
      </c>
      <c r="Q593" s="304">
        <f t="shared" ca="1" si="280"/>
        <v>0</v>
      </c>
      <c r="R593" s="306">
        <f t="shared" ca="1" si="281"/>
        <v>0</v>
      </c>
      <c r="S593" s="307">
        <f t="shared" ca="1" si="282"/>
        <v>6.4679999999999849</v>
      </c>
      <c r="T593" s="304">
        <f t="shared" ca="1" si="262"/>
        <v>63.451079999999855</v>
      </c>
      <c r="U593" s="311">
        <f t="shared" ca="1" si="263"/>
        <v>0</v>
      </c>
      <c r="V593" s="306">
        <f t="shared" ca="1" si="264"/>
        <v>0.93486113744629895</v>
      </c>
      <c r="W593" s="304">
        <f t="shared" ca="1" si="265"/>
        <v>21.417913532666226</v>
      </c>
      <c r="Y593" s="314" t="str">
        <f t="shared" ca="1" si="283"/>
        <v/>
      </c>
      <c r="Z593" s="315" t="str">
        <f t="shared" ca="1" si="284"/>
        <v/>
      </c>
      <c r="AA593" s="316" t="str">
        <f t="shared" ca="1" si="285"/>
        <v/>
      </c>
      <c r="AC593" s="310" t="e">
        <f t="shared" ca="1" si="286"/>
        <v>#N/A</v>
      </c>
      <c r="AD593" s="323" t="e">
        <f t="shared" ca="1" si="287"/>
        <v>#N/A</v>
      </c>
      <c r="AE593" s="324">
        <f t="shared" ca="1" si="266"/>
        <v>2686.6436691087033</v>
      </c>
      <c r="AG593" s="306">
        <f t="shared" ca="1" si="288"/>
        <v>-13.030470502907628</v>
      </c>
      <c r="AH593" s="304">
        <f t="shared" ca="1" si="289"/>
        <v>-3.4092566080877833</v>
      </c>
    </row>
    <row r="594" spans="1:34" x14ac:dyDescent="0.2">
      <c r="A594" s="347">
        <f t="shared" ca="1" si="267"/>
        <v>0.1</v>
      </c>
      <c r="B594" s="304">
        <f t="shared" ca="1" si="268"/>
        <v>13.999999999999906</v>
      </c>
      <c r="D594" s="306">
        <f t="shared" ca="1" si="269"/>
        <v>-0.65328760096410843</v>
      </c>
      <c r="E594" s="307">
        <f t="shared" ca="1" si="270"/>
        <v>-13.056283767488079</v>
      </c>
      <c r="F594" s="304">
        <f t="shared" ca="1" si="271"/>
        <v>13.072617584353416</v>
      </c>
      <c r="G594" s="306">
        <f t="shared" ca="1" si="272"/>
        <v>18.028535655521924</v>
      </c>
      <c r="H594" s="307">
        <f t="shared" ca="1" si="273"/>
        <v>88.605489264038994</v>
      </c>
      <c r="I594" s="304">
        <f t="shared" ca="1" si="274"/>
        <v>90.421019821732571</v>
      </c>
      <c r="J594" s="306">
        <f t="shared" ca="1" si="275"/>
        <v>337.1551481977076</v>
      </c>
      <c r="K594" s="307">
        <f t="shared" ca="1" si="276"/>
        <v>2695.5694994539444</v>
      </c>
      <c r="L594" s="304">
        <f t="shared" ca="1" si="261"/>
        <v>2716.572936687437</v>
      </c>
      <c r="M594" s="306">
        <f t="shared" ca="1" si="277"/>
        <v>1.3700667177667771</v>
      </c>
      <c r="N594" s="304">
        <f t="shared" ca="1" si="278"/>
        <v>78.499040579377649</v>
      </c>
      <c r="P594" s="310">
        <f t="shared" ca="1" si="279"/>
        <v>23</v>
      </c>
      <c r="Q594" s="304">
        <f t="shared" ca="1" si="280"/>
        <v>0</v>
      </c>
      <c r="R594" s="306">
        <f t="shared" ca="1" si="281"/>
        <v>0</v>
      </c>
      <c r="S594" s="307">
        <f t="shared" ca="1" si="282"/>
        <v>6.4679999999999849</v>
      </c>
      <c r="T594" s="304">
        <f t="shared" ca="1" si="262"/>
        <v>63.451079999999855</v>
      </c>
      <c r="U594" s="311">
        <f t="shared" ca="1" si="263"/>
        <v>0</v>
      </c>
      <c r="V594" s="306">
        <f t="shared" ca="1" si="264"/>
        <v>0.93401169614531787</v>
      </c>
      <c r="W594" s="304">
        <f t="shared" ca="1" si="265"/>
        <v>20.799506926792247</v>
      </c>
      <c r="Y594" s="314" t="str">
        <f t="shared" ca="1" si="283"/>
        <v/>
      </c>
      <c r="Z594" s="315" t="str">
        <f t="shared" ca="1" si="284"/>
        <v/>
      </c>
      <c r="AA594" s="316" t="str">
        <f t="shared" ca="1" si="285"/>
        <v/>
      </c>
      <c r="AC594" s="310">
        <f t="shared" ca="1" si="286"/>
        <v>13.999999999999906</v>
      </c>
      <c r="AD594" s="323">
        <f t="shared" ca="1" si="287"/>
        <v>337.1551481977076</v>
      </c>
      <c r="AE594" s="324">
        <f t="shared" ca="1" si="266"/>
        <v>2695.5694994539444</v>
      </c>
      <c r="AG594" s="306">
        <f t="shared" ca="1" si="288"/>
        <v>-12.928558865536489</v>
      </c>
      <c r="AH594" s="304">
        <f t="shared" ca="1" si="289"/>
        <v>-3.3113657286125968</v>
      </c>
    </row>
    <row r="595" spans="1:34" x14ac:dyDescent="0.2">
      <c r="A595" s="347">
        <f t="shared" ca="1" si="267"/>
        <v>0.1</v>
      </c>
      <c r="B595" s="304">
        <f t="shared" ca="1" si="268"/>
        <v>14.099999999999905</v>
      </c>
      <c r="D595" s="306">
        <f t="shared" ca="1" si="269"/>
        <v>-0.64117130937965405</v>
      </c>
      <c r="E595" s="307">
        <f t="shared" ca="1" si="270"/>
        <v>-12.961187575916526</v>
      </c>
      <c r="F595" s="304">
        <f t="shared" ca="1" si="271"/>
        <v>12.977036796821704</v>
      </c>
      <c r="G595" s="306">
        <f t="shared" ca="1" si="272"/>
        <v>17.964418524583959</v>
      </c>
      <c r="H595" s="307">
        <f t="shared" ca="1" si="273"/>
        <v>87.309370506447337</v>
      </c>
      <c r="I595" s="304">
        <f t="shared" ca="1" si="274"/>
        <v>89.138356004351522</v>
      </c>
      <c r="J595" s="306">
        <f t="shared" ca="1" si="275"/>
        <v>338.95479590671289</v>
      </c>
      <c r="K595" s="307">
        <f t="shared" ca="1" si="276"/>
        <v>2704.3652424424686</v>
      </c>
      <c r="L595" s="304">
        <f t="shared" ca="1" si="261"/>
        <v>2725.5241180732696</v>
      </c>
      <c r="M595" s="306">
        <f t="shared" ca="1" si="277"/>
        <v>1.3678724188534268</v>
      </c>
      <c r="N595" s="304">
        <f t="shared" ca="1" si="278"/>
        <v>78.373316512652536</v>
      </c>
      <c r="P595" s="310">
        <f t="shared" ca="1" si="279"/>
        <v>23</v>
      </c>
      <c r="Q595" s="304">
        <f t="shared" ca="1" si="280"/>
        <v>0</v>
      </c>
      <c r="R595" s="306">
        <f t="shared" ca="1" si="281"/>
        <v>0</v>
      </c>
      <c r="S595" s="307">
        <f t="shared" ca="1" si="282"/>
        <v>6.4679999999999849</v>
      </c>
      <c r="T595" s="304">
        <f t="shared" ca="1" si="262"/>
        <v>63.451079999999855</v>
      </c>
      <c r="U595" s="311">
        <f t="shared" ca="1" si="263"/>
        <v>0</v>
      </c>
      <c r="V595" s="306">
        <f t="shared" ca="1" si="264"/>
        <v>0.93317528817769868</v>
      </c>
      <c r="W595" s="304">
        <f t="shared" ca="1" si="265"/>
        <v>20.195489900156769</v>
      </c>
      <c r="Y595" s="314" t="str">
        <f t="shared" ca="1" si="283"/>
        <v/>
      </c>
      <c r="Z595" s="315" t="str">
        <f t="shared" ca="1" si="284"/>
        <v/>
      </c>
      <c r="AA595" s="316" t="str">
        <f t="shared" ca="1" si="285"/>
        <v/>
      </c>
      <c r="AC595" s="310" t="e">
        <f t="shared" ca="1" si="286"/>
        <v>#N/A</v>
      </c>
      <c r="AD595" s="323" t="e">
        <f t="shared" ca="1" si="287"/>
        <v>#N/A</v>
      </c>
      <c r="AE595" s="324">
        <f t="shared" ca="1" si="266"/>
        <v>2704.3652424424686</v>
      </c>
      <c r="AG595" s="306">
        <f t="shared" ca="1" si="288"/>
        <v>-12.828784155569917</v>
      </c>
      <c r="AH595" s="304">
        <f t="shared" ca="1" si="289"/>
        <v>-3.2157555545442635</v>
      </c>
    </row>
    <row r="596" spans="1:34" x14ac:dyDescent="0.2">
      <c r="A596" s="347">
        <f t="shared" ca="1" si="267"/>
        <v>0.1</v>
      </c>
      <c r="B596" s="304">
        <f t="shared" ca="1" si="268"/>
        <v>14.199999999999905</v>
      </c>
      <c r="D596" s="306">
        <f t="shared" ca="1" si="269"/>
        <v>-0.62926405689601084</v>
      </c>
      <c r="E596" s="307">
        <f t="shared" ca="1" si="270"/>
        <v>-12.868303758328651</v>
      </c>
      <c r="F596" s="304">
        <f t="shared" ca="1" si="271"/>
        <v>12.883680175707426</v>
      </c>
      <c r="G596" s="306">
        <f t="shared" ca="1" si="272"/>
        <v>17.901492118894357</v>
      </c>
      <c r="H596" s="307">
        <f t="shared" ca="1" si="273"/>
        <v>86.022540130614473</v>
      </c>
      <c r="I596" s="304">
        <f t="shared" ca="1" si="274"/>
        <v>87.865470069908653</v>
      </c>
      <c r="J596" s="306">
        <f t="shared" ca="1" si="275"/>
        <v>340.74809143888683</v>
      </c>
      <c r="K596" s="307">
        <f t="shared" ca="1" si="276"/>
        <v>2713.0318379743217</v>
      </c>
      <c r="L596" s="304">
        <f t="shared" ca="1" si="261"/>
        <v>2734.3465427194064</v>
      </c>
      <c r="M596" s="306">
        <f t="shared" ca="1" si="277"/>
        <v>1.3656223299315797</v>
      </c>
      <c r="N596" s="304">
        <f t="shared" ca="1" si="278"/>
        <v>78.244395913901556</v>
      </c>
      <c r="P596" s="310">
        <f t="shared" ca="1" si="279"/>
        <v>23</v>
      </c>
      <c r="Q596" s="304">
        <f t="shared" ca="1" si="280"/>
        <v>0</v>
      </c>
      <c r="R596" s="306">
        <f t="shared" ca="1" si="281"/>
        <v>0</v>
      </c>
      <c r="S596" s="307">
        <f t="shared" ca="1" si="282"/>
        <v>6.4679999999999849</v>
      </c>
      <c r="T596" s="304">
        <f t="shared" ca="1" si="262"/>
        <v>63.451079999999855</v>
      </c>
      <c r="U596" s="311">
        <f t="shared" ca="1" si="263"/>
        <v>0</v>
      </c>
      <c r="V596" s="306">
        <f t="shared" ca="1" si="264"/>
        <v>0.93235179475582075</v>
      </c>
      <c r="W596" s="304">
        <f t="shared" ca="1" si="265"/>
        <v>19.605512876293311</v>
      </c>
      <c r="Y596" s="314" t="str">
        <f t="shared" ca="1" si="283"/>
        <v/>
      </c>
      <c r="Z596" s="315" t="str">
        <f t="shared" ca="1" si="284"/>
        <v/>
      </c>
      <c r="AA596" s="316" t="str">
        <f t="shared" ca="1" si="285"/>
        <v/>
      </c>
      <c r="AC596" s="310" t="e">
        <f t="shared" ca="1" si="286"/>
        <v>#N/A</v>
      </c>
      <c r="AD596" s="323" t="e">
        <f t="shared" ca="1" si="287"/>
        <v>#N/A</v>
      </c>
      <c r="AE596" s="324">
        <f t="shared" ca="1" si="266"/>
        <v>2713.0318379743217</v>
      </c>
      <c r="AG596" s="306">
        <f t="shared" ca="1" si="288"/>
        <v>-12.731083614000946</v>
      </c>
      <c r="AH596" s="304">
        <f t="shared" ca="1" si="289"/>
        <v>-3.1223701144336449</v>
      </c>
    </row>
    <row r="597" spans="1:34" x14ac:dyDescent="0.2">
      <c r="A597" s="347">
        <f t="shared" ca="1" si="267"/>
        <v>0.1</v>
      </c>
      <c r="B597" s="304">
        <f t="shared" ca="1" si="268"/>
        <v>14.299999999999905</v>
      </c>
      <c r="D597" s="306">
        <f t="shared" ca="1" si="269"/>
        <v>-0.61756004681516652</v>
      </c>
      <c r="E597" s="307">
        <f t="shared" ca="1" si="270"/>
        <v>-12.777578543586953</v>
      </c>
      <c r="F597" s="304">
        <f t="shared" ca="1" si="271"/>
        <v>12.792493652488401</v>
      </c>
      <c r="G597" s="306">
        <f t="shared" ca="1" si="272"/>
        <v>17.83973611421284</v>
      </c>
      <c r="H597" s="307">
        <f t="shared" ca="1" si="273"/>
        <v>84.744782276255776</v>
      </c>
      <c r="I597" s="304">
        <f t="shared" ca="1" si="274"/>
        <v>86.602161102796657</v>
      </c>
      <c r="J597" s="306">
        <f t="shared" ca="1" si="275"/>
        <v>342.5351528505422</v>
      </c>
      <c r="K597" s="307">
        <f t="shared" ca="1" si="276"/>
        <v>2721.5702040946653</v>
      </c>
      <c r="L597" s="304">
        <f t="shared" ca="1" si="261"/>
        <v>2743.0411420090336</v>
      </c>
      <c r="M597" s="306">
        <f t="shared" ca="1" si="277"/>
        <v>1.3633144582509573</v>
      </c>
      <c r="N597" s="304">
        <f t="shared" ca="1" si="278"/>
        <v>78.11216460694412</v>
      </c>
      <c r="P597" s="310">
        <f t="shared" ca="1" si="279"/>
        <v>23</v>
      </c>
      <c r="Q597" s="304">
        <f t="shared" ca="1" si="280"/>
        <v>0</v>
      </c>
      <c r="R597" s="306">
        <f t="shared" ca="1" si="281"/>
        <v>0</v>
      </c>
      <c r="S597" s="307">
        <f t="shared" ca="1" si="282"/>
        <v>6.4679999999999849</v>
      </c>
      <c r="T597" s="304">
        <f t="shared" ca="1" si="262"/>
        <v>63.451079999999855</v>
      </c>
      <c r="U597" s="311">
        <f t="shared" ca="1" si="263"/>
        <v>0</v>
      </c>
      <c r="V597" s="306">
        <f t="shared" ca="1" si="264"/>
        <v>0.93154109992669842</v>
      </c>
      <c r="W597" s="304">
        <f t="shared" ca="1" si="265"/>
        <v>19.029238239112473</v>
      </c>
      <c r="Y597" s="314" t="str">
        <f t="shared" ca="1" si="283"/>
        <v/>
      </c>
      <c r="Z597" s="315" t="str">
        <f t="shared" ca="1" si="284"/>
        <v/>
      </c>
      <c r="AA597" s="316" t="str">
        <f t="shared" ca="1" si="285"/>
        <v/>
      </c>
      <c r="AC597" s="310" t="e">
        <f t="shared" ca="1" si="286"/>
        <v>#N/A</v>
      </c>
      <c r="AD597" s="323" t="e">
        <f t="shared" ca="1" si="287"/>
        <v>#N/A</v>
      </c>
      <c r="AE597" s="324">
        <f t="shared" ca="1" si="266"/>
        <v>2721.5702040946653</v>
      </c>
      <c r="AG597" s="306">
        <f t="shared" ca="1" si="288"/>
        <v>-12.635396003293096</v>
      </c>
      <c r="AH597" s="304">
        <f t="shared" ca="1" si="289"/>
        <v>-3.0311553612080018</v>
      </c>
    </row>
    <row r="598" spans="1:34" x14ac:dyDescent="0.2">
      <c r="A598" s="347">
        <f t="shared" ca="1" si="267"/>
        <v>0.1</v>
      </c>
      <c r="B598" s="304">
        <f t="shared" ca="1" si="268"/>
        <v>14.399999999999904</v>
      </c>
      <c r="D598" s="306">
        <f t="shared" ca="1" si="269"/>
        <v>-0.60605367410886157</v>
      </c>
      <c r="E598" s="307">
        <f t="shared" ca="1" si="270"/>
        <v>-12.688959998694271</v>
      </c>
      <c r="F598" s="304">
        <f t="shared" ca="1" si="271"/>
        <v>12.70342500683828</v>
      </c>
      <c r="G598" s="306">
        <f t="shared" ca="1" si="272"/>
        <v>17.779130746801954</v>
      </c>
      <c r="H598" s="307">
        <f t="shared" ca="1" si="273"/>
        <v>83.475886276386348</v>
      </c>
      <c r="I598" s="304">
        <f t="shared" ca="1" si="274"/>
        <v>85.348234192278781</v>
      </c>
      <c r="J598" s="306">
        <f t="shared" ca="1" si="275"/>
        <v>344.31609619359295</v>
      </c>
      <c r="K598" s="307">
        <f t="shared" ca="1" si="276"/>
        <v>2729.9812375222973</v>
      </c>
      <c r="L598" s="304">
        <f t="shared" ca="1" si="261"/>
        <v>2751.608826000122</v>
      </c>
      <c r="M598" s="306">
        <f t="shared" ca="1" si="277"/>
        <v>1.360946715207906</v>
      </c>
      <c r="N598" s="304">
        <f t="shared" ca="1" si="278"/>
        <v>77.976502923605821</v>
      </c>
      <c r="P598" s="310">
        <f t="shared" ca="1" si="279"/>
        <v>23</v>
      </c>
      <c r="Q598" s="304">
        <f t="shared" ca="1" si="280"/>
        <v>0</v>
      </c>
      <c r="R598" s="306">
        <f t="shared" ca="1" si="281"/>
        <v>0</v>
      </c>
      <c r="S598" s="307">
        <f t="shared" ca="1" si="282"/>
        <v>6.4679999999999849</v>
      </c>
      <c r="T598" s="304">
        <f t="shared" ca="1" si="262"/>
        <v>63.451079999999855</v>
      </c>
      <c r="U598" s="311">
        <f t="shared" ca="1" si="263"/>
        <v>0</v>
      </c>
      <c r="V598" s="306">
        <f t="shared" ca="1" si="264"/>
        <v>0.93074309050073334</v>
      </c>
      <c r="W598" s="304">
        <f t="shared" ca="1" si="265"/>
        <v>18.466339869106886</v>
      </c>
      <c r="Y598" s="314" t="str">
        <f t="shared" ca="1" si="283"/>
        <v/>
      </c>
      <c r="Z598" s="315" t="str">
        <f t="shared" ca="1" si="284"/>
        <v/>
      </c>
      <c r="AA598" s="316" t="str">
        <f t="shared" ca="1" si="285"/>
        <v/>
      </c>
      <c r="AC598" s="310" t="e">
        <f t="shared" ca="1" si="286"/>
        <v>#N/A</v>
      </c>
      <c r="AD598" s="323" t="e">
        <f t="shared" ca="1" si="287"/>
        <v>#N/A</v>
      </c>
      <c r="AE598" s="324">
        <f t="shared" ca="1" si="266"/>
        <v>2729.9812375222973</v>
      </c>
      <c r="AG598" s="306">
        <f t="shared" ca="1" si="288"/>
        <v>-12.541661503451111</v>
      </c>
      <c r="AH598" s="304">
        <f t="shared" ca="1" si="289"/>
        <v>-2.9420590969561715</v>
      </c>
    </row>
    <row r="599" spans="1:34" x14ac:dyDescent="0.2">
      <c r="A599" s="347">
        <f t="shared" ca="1" si="267"/>
        <v>0.1</v>
      </c>
      <c r="B599" s="304">
        <f t="shared" ca="1" si="268"/>
        <v>14.499999999999904</v>
      </c>
      <c r="D599" s="306">
        <f t="shared" ca="1" si="269"/>
        <v>-0.59473951815614967</v>
      </c>
      <c r="E599" s="307">
        <f t="shared" ca="1" si="270"/>
        <v>-12.602397957397653</v>
      </c>
      <c r="F599" s="304">
        <f t="shared" ca="1" si="271"/>
        <v>12.616423794842861</v>
      </c>
      <c r="G599" s="306">
        <f t="shared" ca="1" si="272"/>
        <v>17.719656794986339</v>
      </c>
      <c r="H599" s="307">
        <f t="shared" ca="1" si="273"/>
        <v>82.215646480646583</v>
      </c>
      <c r="I599" s="304">
        <f t="shared" ca="1" si="274"/>
        <v>84.103500302679208</v>
      </c>
      <c r="J599" s="306">
        <f t="shared" ca="1" si="275"/>
        <v>346.09103557068238</v>
      </c>
      <c r="K599" s="307">
        <f t="shared" ca="1" si="276"/>
        <v>2738.2658141601491</v>
      </c>
      <c r="L599" s="304">
        <f t="shared" ca="1" si="261"/>
        <v>2760.0504839405621</v>
      </c>
      <c r="M599" s="306">
        <f t="shared" ca="1" si="277"/>
        <v>1.3585169106233894</v>
      </c>
      <c r="N599" s="304">
        <f t="shared" ca="1" si="278"/>
        <v>77.837285375871488</v>
      </c>
      <c r="P599" s="310">
        <f t="shared" ca="1" si="279"/>
        <v>23</v>
      </c>
      <c r="Q599" s="304">
        <f t="shared" ca="1" si="280"/>
        <v>0</v>
      </c>
      <c r="R599" s="306">
        <f t="shared" ca="1" si="281"/>
        <v>0</v>
      </c>
      <c r="S599" s="307">
        <f t="shared" ca="1" si="282"/>
        <v>6.4679999999999849</v>
      </c>
      <c r="T599" s="304">
        <f t="shared" ca="1" si="262"/>
        <v>63.451079999999855</v>
      </c>
      <c r="U599" s="311">
        <f t="shared" ca="1" si="263"/>
        <v>0</v>
      </c>
      <c r="V599" s="306">
        <f t="shared" ca="1" si="264"/>
        <v>0.92995765598295888</v>
      </c>
      <c r="W599" s="304">
        <f t="shared" ca="1" si="265"/>
        <v>17.916502701059468</v>
      </c>
      <c r="Y599" s="314" t="str">
        <f t="shared" ca="1" si="283"/>
        <v/>
      </c>
      <c r="Z599" s="315" t="str">
        <f t="shared" ca="1" si="284"/>
        <v/>
      </c>
      <c r="AA599" s="316" t="str">
        <f t="shared" ca="1" si="285"/>
        <v/>
      </c>
      <c r="AC599" s="310" t="e">
        <f t="shared" ca="1" si="286"/>
        <v>#N/A</v>
      </c>
      <c r="AD599" s="323" t="e">
        <f t="shared" ca="1" si="287"/>
        <v>#N/A</v>
      </c>
      <c r="AE599" s="324">
        <f t="shared" ca="1" si="266"/>
        <v>2738.2658141601491</v>
      </c>
      <c r="AG599" s="306">
        <f t="shared" ca="1" si="288"/>
        <v>-12.449821609211524</v>
      </c>
      <c r="AH599" s="304">
        <f t="shared" ca="1" si="289"/>
        <v>-2.8550309012224688</v>
      </c>
    </row>
    <row r="600" spans="1:34" x14ac:dyDescent="0.2">
      <c r="A600" s="347">
        <f t="shared" ca="1" si="267"/>
        <v>0.1</v>
      </c>
      <c r="B600" s="304">
        <f t="shared" ca="1" si="268"/>
        <v>14.599999999999904</v>
      </c>
      <c r="D600" s="306">
        <f t="shared" ca="1" si="269"/>
        <v>-0.58361233584346206</v>
      </c>
      <c r="E600" s="307">
        <f t="shared" ca="1" si="270"/>
        <v>-12.517843952092045</v>
      </c>
      <c r="F600" s="304">
        <f t="shared" ca="1" si="271"/>
        <v>12.531441280534176</v>
      </c>
      <c r="G600" s="306">
        <f t="shared" ca="1" si="272"/>
        <v>17.661295561401992</v>
      </c>
      <c r="H600" s="307">
        <f t="shared" ca="1" si="273"/>
        <v>80.963862085437384</v>
      </c>
      <c r="I600" s="304">
        <f t="shared" ca="1" si="274"/>
        <v>82.86777615392441</v>
      </c>
      <c r="J600" s="306">
        <f t="shared" ca="1" si="275"/>
        <v>347.86008318850179</v>
      </c>
      <c r="K600" s="307">
        <f t="shared" ca="1" si="276"/>
        <v>2746.4247895884532</v>
      </c>
      <c r="L600" s="304">
        <f t="shared" ca="1" si="261"/>
        <v>2768.3669847659094</v>
      </c>
      <c r="M600" s="306">
        <f t="shared" ca="1" si="277"/>
        <v>1.356022746612807</v>
      </c>
      <c r="N600" s="304">
        <f t="shared" ca="1" si="278"/>
        <v>77.694380304651688</v>
      </c>
      <c r="P600" s="310">
        <f t="shared" ca="1" si="279"/>
        <v>23</v>
      </c>
      <c r="Q600" s="304">
        <f t="shared" ca="1" si="280"/>
        <v>0</v>
      </c>
      <c r="R600" s="306">
        <f t="shared" ca="1" si="281"/>
        <v>0</v>
      </c>
      <c r="S600" s="307">
        <f t="shared" ca="1" si="282"/>
        <v>6.4679999999999849</v>
      </c>
      <c r="T600" s="304">
        <f t="shared" ca="1" si="262"/>
        <v>63.451079999999855</v>
      </c>
      <c r="U600" s="311">
        <f t="shared" ca="1" si="263"/>
        <v>0</v>
      </c>
      <c r="V600" s="306">
        <f t="shared" ca="1" si="264"/>
        <v>0.92918468850667002</v>
      </c>
      <c r="W600" s="304">
        <f t="shared" ca="1" si="265"/>
        <v>17.379422302133637</v>
      </c>
      <c r="Y600" s="314" t="str">
        <f t="shared" ca="1" si="283"/>
        <v/>
      </c>
      <c r="Z600" s="315" t="str">
        <f t="shared" ca="1" si="284"/>
        <v/>
      </c>
      <c r="AA600" s="316" t="str">
        <f t="shared" ca="1" si="285"/>
        <v/>
      </c>
      <c r="AC600" s="310" t="e">
        <f t="shared" ca="1" si="286"/>
        <v>#N/A</v>
      </c>
      <c r="AD600" s="323" t="e">
        <f t="shared" ca="1" si="287"/>
        <v>#N/A</v>
      </c>
      <c r="AE600" s="324">
        <f t="shared" ca="1" si="266"/>
        <v>2746.4247895884532</v>
      </c>
      <c r="AG600" s="306">
        <f t="shared" ca="1" si="288"/>
        <v>-12.35981902794183</v>
      </c>
      <c r="AH600" s="304">
        <f t="shared" ca="1" si="289"/>
        <v>-2.7700220626251562</v>
      </c>
    </row>
    <row r="601" spans="1:34" x14ac:dyDescent="0.2">
      <c r="A601" s="347">
        <f t="shared" ca="1" si="267"/>
        <v>0.1</v>
      </c>
      <c r="B601" s="304">
        <f t="shared" ca="1" si="268"/>
        <v>14.699999999999903</v>
      </c>
      <c r="D601" s="306">
        <f t="shared" ca="1" si="269"/>
        <v>-0.57266705501072979</v>
      </c>
      <c r="E601" s="307">
        <f t="shared" ca="1" si="270"/>
        <v>-12.435251148850698</v>
      </c>
      <c r="F601" s="304">
        <f t="shared" ca="1" si="271"/>
        <v>12.448430370568301</v>
      </c>
      <c r="G601" s="306">
        <f t="shared" ca="1" si="272"/>
        <v>17.604028855900918</v>
      </c>
      <c r="H601" s="307">
        <f t="shared" ca="1" si="273"/>
        <v>79.72033697055231</v>
      </c>
      <c r="I601" s="304">
        <f t="shared" ca="1" si="274"/>
        <v>81.64088411242129</v>
      </c>
      <c r="J601" s="306">
        <f t="shared" ca="1" si="275"/>
        <v>349.62334940936694</v>
      </c>
      <c r="K601" s="307">
        <f t="shared" ca="1" si="276"/>
        <v>2754.4589995412525</v>
      </c>
      <c r="L601" s="304">
        <f t="shared" ca="1" si="261"/>
        <v>2776.5591775804137</v>
      </c>
      <c r="M601" s="306">
        <f t="shared" ca="1" si="277"/>
        <v>1.3534618110139323</v>
      </c>
      <c r="N601" s="304">
        <f t="shared" ca="1" si="278"/>
        <v>77.547649503231355</v>
      </c>
      <c r="P601" s="310">
        <f t="shared" ca="1" si="279"/>
        <v>23</v>
      </c>
      <c r="Q601" s="304">
        <f t="shared" ca="1" si="280"/>
        <v>0</v>
      </c>
      <c r="R601" s="306">
        <f t="shared" ca="1" si="281"/>
        <v>0</v>
      </c>
      <c r="S601" s="307">
        <f t="shared" ca="1" si="282"/>
        <v>6.4679999999999849</v>
      </c>
      <c r="T601" s="304">
        <f t="shared" ca="1" si="262"/>
        <v>63.451079999999855</v>
      </c>
      <c r="U601" s="311">
        <f t="shared" ca="1" si="263"/>
        <v>0</v>
      </c>
      <c r="V601" s="306">
        <f t="shared" ca="1" si="264"/>
        <v>0.92842408276935429</v>
      </c>
      <c r="W601" s="304">
        <f t="shared" ca="1" si="265"/>
        <v>16.854804469290933</v>
      </c>
      <c r="Y601" s="314" t="str">
        <f t="shared" ca="1" si="283"/>
        <v/>
      </c>
      <c r="Z601" s="315" t="str">
        <f t="shared" ca="1" si="284"/>
        <v/>
      </c>
      <c r="AA601" s="316" t="str">
        <f t="shared" ca="1" si="285"/>
        <v/>
      </c>
      <c r="AC601" s="310" t="e">
        <f t="shared" ca="1" si="286"/>
        <v>#N/A</v>
      </c>
      <c r="AD601" s="323" t="e">
        <f t="shared" ca="1" si="287"/>
        <v>#N/A</v>
      </c>
      <c r="AE601" s="324">
        <f t="shared" ca="1" si="266"/>
        <v>2754.4589995412525</v>
      </c>
      <c r="AG601" s="306">
        <f t="shared" ca="1" si="288"/>
        <v>-12.27159757782384</v>
      </c>
      <c r="AH601" s="304">
        <f t="shared" ca="1" si="289"/>
        <v>-2.6869855136261096</v>
      </c>
    </row>
    <row r="602" spans="1:34" x14ac:dyDescent="0.2">
      <c r="A602" s="347">
        <f t="shared" ca="1" si="267"/>
        <v>0.1</v>
      </c>
      <c r="B602" s="304">
        <f t="shared" ca="1" si="268"/>
        <v>14.799999999999903</v>
      </c>
      <c r="D602" s="306">
        <f t="shared" ca="1" si="269"/>
        <v>-0.56189876822839069</v>
      </c>
      <c r="E602" s="307">
        <f t="shared" ca="1" si="270"/>
        <v>-12.354574285419345</v>
      </c>
      <c r="F602" s="304">
        <f t="shared" ca="1" si="271"/>
        <v>12.367345551883052</v>
      </c>
      <c r="G602" s="306">
        <f t="shared" ca="1" si="272"/>
        <v>17.54783897907808</v>
      </c>
      <c r="H602" s="307">
        <f t="shared" ca="1" si="273"/>
        <v>78.484879542010376</v>
      </c>
      <c r="I602" s="304">
        <f t="shared" ca="1" si="274"/>
        <v>80.422652092302513</v>
      </c>
      <c r="J602" s="306">
        <f t="shared" ca="1" si="275"/>
        <v>351.38094280111591</v>
      </c>
      <c r="K602" s="307">
        <f t="shared" ca="1" si="276"/>
        <v>2762.3692603668806</v>
      </c>
      <c r="L602" s="304">
        <f t="shared" ca="1" si="261"/>
        <v>2784.6278921219741</v>
      </c>
      <c r="M602" s="306">
        <f t="shared" ca="1" si="277"/>
        <v>1.350831570336122</v>
      </c>
      <c r="N602" s="304">
        <f t="shared" ca="1" si="278"/>
        <v>77.396947813289202</v>
      </c>
      <c r="P602" s="310">
        <f t="shared" ca="1" si="279"/>
        <v>23</v>
      </c>
      <c r="Q602" s="304">
        <f t="shared" ca="1" si="280"/>
        <v>0</v>
      </c>
      <c r="R602" s="306">
        <f t="shared" ca="1" si="281"/>
        <v>0</v>
      </c>
      <c r="S602" s="307">
        <f t="shared" ca="1" si="282"/>
        <v>6.4679999999999849</v>
      </c>
      <c r="T602" s="304">
        <f t="shared" ca="1" si="262"/>
        <v>63.451079999999855</v>
      </c>
      <c r="U602" s="311">
        <f t="shared" ca="1" si="263"/>
        <v>0</v>
      </c>
      <c r="V602" s="306">
        <f t="shared" ca="1" si="264"/>
        <v>0.92767573597082664</v>
      </c>
      <c r="W602" s="304">
        <f t="shared" ca="1" si="265"/>
        <v>16.342364845042226</v>
      </c>
      <c r="Y602" s="314" t="str">
        <f t="shared" ca="1" si="283"/>
        <v/>
      </c>
      <c r="Z602" s="315" t="str">
        <f t="shared" ca="1" si="284"/>
        <v/>
      </c>
      <c r="AA602" s="316" t="str">
        <f t="shared" ca="1" si="285"/>
        <v/>
      </c>
      <c r="AC602" s="310" t="e">
        <f t="shared" ca="1" si="286"/>
        <v>#N/A</v>
      </c>
      <c r="AD602" s="323" t="e">
        <f t="shared" ca="1" si="287"/>
        <v>#N/A</v>
      </c>
      <c r="AE602" s="324">
        <f t="shared" ca="1" si="266"/>
        <v>2762.3692603668806</v>
      </c>
      <c r="AG602" s="306">
        <f t="shared" ca="1" si="288"/>
        <v>-12.185102085879835</v>
      </c>
      <c r="AH602" s="304">
        <f t="shared" ca="1" si="289"/>
        <v>-2.6058757682886475</v>
      </c>
    </row>
    <row r="603" spans="1:34" x14ac:dyDescent="0.2">
      <c r="A603" s="347">
        <f t="shared" ca="1" si="267"/>
        <v>0.1</v>
      </c>
      <c r="B603" s="304">
        <f t="shared" ca="1" si="268"/>
        <v>14.899999999999903</v>
      </c>
      <c r="D603" s="306">
        <f t="shared" ca="1" si="269"/>
        <v>-0.55130272689122994</v>
      </c>
      <c r="E603" s="307">
        <f t="shared" ca="1" si="270"/>
        <v>-12.275769612020527</v>
      </c>
      <c r="F603" s="304">
        <f t="shared" ca="1" si="271"/>
        <v>12.288142832181125</v>
      </c>
      <c r="G603" s="306">
        <f t="shared" ca="1" si="272"/>
        <v>17.492708706388957</v>
      </c>
      <c r="H603" s="307">
        <f t="shared" ca="1" si="273"/>
        <v>77.257302580808329</v>
      </c>
      <c r="I603" s="304">
        <f t="shared" ca="1" si="274"/>
        <v>79.212913467118156</v>
      </c>
      <c r="J603" s="306">
        <f t="shared" ca="1" si="275"/>
        <v>353.13297018538924</v>
      </c>
      <c r="K603" s="307">
        <f t="shared" ca="1" si="276"/>
        <v>2770.1563694730216</v>
      </c>
      <c r="L603" s="304">
        <f t="shared" ca="1" si="261"/>
        <v>2792.5739392116202</v>
      </c>
      <c r="M603" s="306">
        <f t="shared" ca="1" si="277"/>
        <v>1.3481293621904797</v>
      </c>
      <c r="N603" s="304">
        <f t="shared" ca="1" si="278"/>
        <v>77.242122691178025</v>
      </c>
      <c r="P603" s="310">
        <f t="shared" ca="1" si="279"/>
        <v>23</v>
      </c>
      <c r="Q603" s="304">
        <f t="shared" ca="1" si="280"/>
        <v>0</v>
      </c>
      <c r="R603" s="306">
        <f t="shared" ca="1" si="281"/>
        <v>0</v>
      </c>
      <c r="S603" s="307">
        <f t="shared" ca="1" si="282"/>
        <v>6.4679999999999849</v>
      </c>
      <c r="T603" s="304">
        <f t="shared" ca="1" si="262"/>
        <v>63.451079999999855</v>
      </c>
      <c r="U603" s="311">
        <f t="shared" ca="1" si="263"/>
        <v>0</v>
      </c>
      <c r="V603" s="306">
        <f t="shared" ca="1" si="264"/>
        <v>0.92693954775348897</v>
      </c>
      <c r="W603" s="304">
        <f t="shared" ca="1" si="265"/>
        <v>15.841828550596906</v>
      </c>
      <c r="Y603" s="314" t="str">
        <f t="shared" ca="1" si="283"/>
        <v/>
      </c>
      <c r="Z603" s="315" t="str">
        <f t="shared" ca="1" si="284"/>
        <v/>
      </c>
      <c r="AA603" s="316" t="str">
        <f t="shared" ca="1" si="285"/>
        <v/>
      </c>
      <c r="AC603" s="310" t="e">
        <f t="shared" ca="1" si="286"/>
        <v>#N/A</v>
      </c>
      <c r="AD603" s="323" t="e">
        <f t="shared" ca="1" si="287"/>
        <v>#N/A</v>
      </c>
      <c r="AE603" s="324">
        <f t="shared" ca="1" si="266"/>
        <v>2770.1563694730216</v>
      </c>
      <c r="AG603" s="306">
        <f t="shared" ca="1" si="288"/>
        <v>-12.100278285379478</v>
      </c>
      <c r="AH603" s="304">
        <f t="shared" ca="1" si="289"/>
        <v>-2.5266488628698616</v>
      </c>
    </row>
    <row r="604" spans="1:34" x14ac:dyDescent="0.2">
      <c r="A604" s="347">
        <f t="shared" ca="1" si="267"/>
        <v>0.1</v>
      </c>
      <c r="B604" s="304">
        <f t="shared" ca="1" si="268"/>
        <v>14.999999999999902</v>
      </c>
      <c r="D604" s="306">
        <f t="shared" ca="1" si="269"/>
        <v>-0.54087433561613429</v>
      </c>
      <c r="E604" s="307">
        <f t="shared" ca="1" si="270"/>
        <v>-12.198794834823236</v>
      </c>
      <c r="F604" s="304">
        <f t="shared" ca="1" si="271"/>
        <v>12.21077968309306</v>
      </c>
      <c r="G604" s="306">
        <f t="shared" ca="1" si="272"/>
        <v>17.438621272827344</v>
      </c>
      <c r="H604" s="307">
        <f t="shared" ca="1" si="273"/>
        <v>76.037423097325998</v>
      </c>
      <c r="I604" s="304">
        <f t="shared" ca="1" si="274"/>
        <v>78.011506992102596</v>
      </c>
      <c r="J604" s="306">
        <f t="shared" ca="1" si="275"/>
        <v>354.87953668435006</v>
      </c>
      <c r="K604" s="307">
        <f t="shared" ca="1" si="276"/>
        <v>2777.8211057569283</v>
      </c>
      <c r="L604" s="304">
        <f t="shared" ca="1" si="261"/>
        <v>2800.3981111881117</v>
      </c>
      <c r="M604" s="306">
        <f t="shared" ca="1" si="277"/>
        <v>1.3453523871568183</v>
      </c>
      <c r="N604" s="304">
        <f t="shared" ca="1" si="278"/>
        <v>77.083013741936028</v>
      </c>
      <c r="P604" s="310">
        <f t="shared" ca="1" si="279"/>
        <v>23</v>
      </c>
      <c r="Q604" s="304">
        <f t="shared" ca="1" si="280"/>
        <v>0</v>
      </c>
      <c r="R604" s="306">
        <f t="shared" ca="1" si="281"/>
        <v>0</v>
      </c>
      <c r="S604" s="307">
        <f t="shared" ca="1" si="282"/>
        <v>6.4679999999999849</v>
      </c>
      <c r="T604" s="304">
        <f t="shared" ca="1" si="262"/>
        <v>63.451079999999855</v>
      </c>
      <c r="U604" s="311">
        <f t="shared" ca="1" si="263"/>
        <v>0</v>
      </c>
      <c r="V604" s="306">
        <f t="shared" ca="1" si="264"/>
        <v>0.92621542014462532</v>
      </c>
      <c r="W604" s="304">
        <f t="shared" ca="1" si="265"/>
        <v>15.35292983552784</v>
      </c>
      <c r="Y604" s="314" t="str">
        <f t="shared" ca="1" si="283"/>
        <v/>
      </c>
      <c r="Z604" s="315" t="str">
        <f t="shared" ca="1" si="284"/>
        <v/>
      </c>
      <c r="AA604" s="316" t="str">
        <f t="shared" ca="1" si="285"/>
        <v/>
      </c>
      <c r="AC604" s="310">
        <f t="shared" ca="1" si="286"/>
        <v>14.999999999999902</v>
      </c>
      <c r="AD604" s="323">
        <f t="shared" ca="1" si="287"/>
        <v>354.87953668435006</v>
      </c>
      <c r="AE604" s="324">
        <f t="shared" ca="1" si="266"/>
        <v>2777.8211057569283</v>
      </c>
      <c r="AG604" s="306">
        <f t="shared" ca="1" si="288"/>
        <v>-12.017072712140283</v>
      </c>
      <c r="AH604" s="304">
        <f t="shared" ca="1" si="289"/>
        <v>-2.4492622991028052</v>
      </c>
    </row>
    <row r="605" spans="1:34" x14ac:dyDescent="0.2">
      <c r="A605" s="347">
        <f t="shared" ca="1" si="267"/>
        <v>0.1</v>
      </c>
      <c r="B605" s="304">
        <f t="shared" ca="1" si="268"/>
        <v>15.099999999999902</v>
      </c>
      <c r="D605" s="306">
        <f t="shared" ca="1" si="269"/>
        <v>-0.53060914693191519</v>
      </c>
      <c r="E605" s="307">
        <f t="shared" ca="1" si="270"/>
        <v>-12.123609061941162</v>
      </c>
      <c r="F605" s="304">
        <f t="shared" ca="1" si="271"/>
        <v>12.135214985882602</v>
      </c>
      <c r="G605" s="306">
        <f t="shared" ca="1" si="272"/>
        <v>17.385560358134153</v>
      </c>
      <c r="H605" s="307">
        <f t="shared" ca="1" si="273"/>
        <v>74.825062191131877</v>
      </c>
      <c r="I605" s="304">
        <f t="shared" ca="1" si="274"/>
        <v>76.818276737200236</v>
      </c>
      <c r="J605" s="306">
        <f t="shared" ca="1" si="275"/>
        <v>356.62074576589811</v>
      </c>
      <c r="K605" s="307">
        <f t="shared" ca="1" si="276"/>
        <v>2785.3642300213514</v>
      </c>
      <c r="L605" s="304">
        <f t="shared" ca="1" si="261"/>
        <v>2808.1011823282047</v>
      </c>
      <c r="M605" s="306">
        <f t="shared" ca="1" si="277"/>
        <v>1.3424977000390388</v>
      </c>
      <c r="N605" s="304">
        <f t="shared" ca="1" si="278"/>
        <v>76.919452218256893</v>
      </c>
      <c r="P605" s="310">
        <f t="shared" ca="1" si="279"/>
        <v>23</v>
      </c>
      <c r="Q605" s="304">
        <f t="shared" ca="1" si="280"/>
        <v>0</v>
      </c>
      <c r="R605" s="306">
        <f t="shared" ca="1" si="281"/>
        <v>0</v>
      </c>
      <c r="S605" s="307">
        <f t="shared" ca="1" si="282"/>
        <v>6.4679999999999849</v>
      </c>
      <c r="T605" s="304">
        <f t="shared" ca="1" si="262"/>
        <v>63.451079999999855</v>
      </c>
      <c r="U605" s="311">
        <f t="shared" ca="1" si="263"/>
        <v>0</v>
      </c>
      <c r="V605" s="306">
        <f t="shared" ca="1" si="264"/>
        <v>0.92550325750066309</v>
      </c>
      <c r="W605" s="304">
        <f t="shared" ca="1" si="265"/>
        <v>14.875411743121076</v>
      </c>
      <c r="Y605" s="314" t="str">
        <f t="shared" ca="1" si="283"/>
        <v/>
      </c>
      <c r="Z605" s="315" t="str">
        <f t="shared" ca="1" si="284"/>
        <v/>
      </c>
      <c r="AA605" s="316" t="str">
        <f t="shared" ca="1" si="285"/>
        <v/>
      </c>
      <c r="AC605" s="310" t="e">
        <f t="shared" ca="1" si="286"/>
        <v>#N/A</v>
      </c>
      <c r="AD605" s="323" t="e">
        <f t="shared" ca="1" si="287"/>
        <v>#N/A</v>
      </c>
      <c r="AE605" s="324">
        <f t="shared" ca="1" si="266"/>
        <v>2785.3642300213514</v>
      </c>
      <c r="AG605" s="306">
        <f t="shared" ca="1" si="288"/>
        <v>-11.935432599204862</v>
      </c>
      <c r="AH605" s="304">
        <f t="shared" ca="1" si="289"/>
        <v>-2.3736749900321392</v>
      </c>
    </row>
    <row r="606" spans="1:34" x14ac:dyDescent="0.2">
      <c r="A606" s="347">
        <f t="shared" ca="1" si="267"/>
        <v>0.1</v>
      </c>
      <c r="B606" s="304">
        <f t="shared" ca="1" si="268"/>
        <v>15.199999999999902</v>
      </c>
      <c r="D606" s="306">
        <f t="shared" ca="1" si="269"/>
        <v>-0.52050285625040893</v>
      </c>
      <c r="E606" s="307">
        <f t="shared" ca="1" si="270"/>
        <v>-12.050172751830615</v>
      </c>
      <c r="F606" s="304">
        <f t="shared" ca="1" si="271"/>
        <v>12.061408979564778</v>
      </c>
      <c r="G606" s="306">
        <f t="shared" ca="1" si="272"/>
        <v>17.333510072509114</v>
      </c>
      <c r="H606" s="307">
        <f t="shared" ca="1" si="273"/>
        <v>73.62004491594881</v>
      </c>
      <c r="I606" s="304">
        <f t="shared" ca="1" si="274"/>
        <v>75.633072031090308</v>
      </c>
      <c r="J606" s="306">
        <f t="shared" ca="1" si="275"/>
        <v>358.35669928743027</v>
      </c>
      <c r="K606" s="307">
        <f t="shared" ca="1" si="276"/>
        <v>2792.7864853767055</v>
      </c>
      <c r="L606" s="304">
        <f t="shared" ca="1" si="261"/>
        <v>2815.6839092531236</v>
      </c>
      <c r="M606" s="306">
        <f t="shared" ca="1" si="277"/>
        <v>1.3395622004558576</v>
      </c>
      <c r="N606" s="304">
        <f t="shared" ca="1" si="278"/>
        <v>76.751260481378196</v>
      </c>
      <c r="P606" s="310">
        <f t="shared" ca="1" si="279"/>
        <v>23</v>
      </c>
      <c r="Q606" s="304">
        <f t="shared" ca="1" si="280"/>
        <v>0</v>
      </c>
      <c r="R606" s="306">
        <f t="shared" ca="1" si="281"/>
        <v>0</v>
      </c>
      <c r="S606" s="307">
        <f t="shared" ca="1" si="282"/>
        <v>6.4679999999999849</v>
      </c>
      <c r="T606" s="304">
        <f t="shared" ca="1" si="262"/>
        <v>63.451079999999855</v>
      </c>
      <c r="U606" s="311">
        <f t="shared" ca="1" si="263"/>
        <v>0</v>
      </c>
      <c r="V606" s="306">
        <f t="shared" ca="1" si="264"/>
        <v>0.92480296645332083</v>
      </c>
      <c r="W606" s="304">
        <f t="shared" ca="1" si="265"/>
        <v>14.409025790625801</v>
      </c>
      <c r="Y606" s="314" t="str">
        <f t="shared" ca="1" si="283"/>
        <v/>
      </c>
      <c r="Z606" s="315" t="str">
        <f t="shared" ca="1" si="284"/>
        <v/>
      </c>
      <c r="AA606" s="316" t="str">
        <f t="shared" ca="1" si="285"/>
        <v/>
      </c>
      <c r="AC606" s="310" t="e">
        <f t="shared" ca="1" si="286"/>
        <v>#N/A</v>
      </c>
      <c r="AD606" s="323" t="e">
        <f t="shared" ca="1" si="287"/>
        <v>#N/A</v>
      </c>
      <c r="AE606" s="324">
        <f t="shared" ca="1" si="266"/>
        <v>2792.7864853767055</v>
      </c>
      <c r="AG606" s="306">
        <f t="shared" ca="1" si="288"/>
        <v>-11.855305769343182</v>
      </c>
      <c r="AH606" s="304">
        <f t="shared" ca="1" si="289"/>
        <v>-2.2998472082747541</v>
      </c>
    </row>
    <row r="607" spans="1:34" x14ac:dyDescent="0.2">
      <c r="A607" s="347">
        <f t="shared" ca="1" si="267"/>
        <v>0.1</v>
      </c>
      <c r="B607" s="304">
        <f t="shared" ca="1" si="268"/>
        <v>15.299999999999901</v>
      </c>
      <c r="D607" s="306">
        <f t="shared" ca="1" si="269"/>
        <v>-0.51055129710907177</v>
      </c>
      <c r="E607" s="307">
        <f t="shared" ca="1" si="270"/>
        <v>-11.978447663966133</v>
      </c>
      <c r="F607" s="304">
        <f t="shared" ca="1" si="271"/>
        <v>11.989323211314117</v>
      </c>
      <c r="G607" s="306">
        <f t="shared" ca="1" si="272"/>
        <v>17.282454942798207</v>
      </c>
      <c r="H607" s="307">
        <f t="shared" ca="1" si="273"/>
        <v>72.422200149552197</v>
      </c>
      <c r="I607" s="304">
        <f t="shared" ca="1" si="274"/>
        <v>74.455747416513447</v>
      </c>
      <c r="J607" s="306">
        <f t="shared" ca="1" si="275"/>
        <v>360.08749753819563</v>
      </c>
      <c r="K607" s="307">
        <f t="shared" ca="1" si="276"/>
        <v>2800.0885976299805</v>
      </c>
      <c r="L607" s="304">
        <f t="shared" ca="1" si="261"/>
        <v>2823.1470313217396</v>
      </c>
      <c r="M607" s="306">
        <f t="shared" ca="1" si="277"/>
        <v>1.3365426227086317</v>
      </c>
      <c r="N607" s="304">
        <f t="shared" ca="1" si="278"/>
        <v>76.578251420550529</v>
      </c>
      <c r="P607" s="310">
        <f t="shared" ca="1" si="279"/>
        <v>23</v>
      </c>
      <c r="Q607" s="304">
        <f t="shared" ca="1" si="280"/>
        <v>0</v>
      </c>
      <c r="R607" s="306">
        <f t="shared" ca="1" si="281"/>
        <v>0</v>
      </c>
      <c r="S607" s="307">
        <f t="shared" ca="1" si="282"/>
        <v>6.4679999999999849</v>
      </c>
      <c r="T607" s="304">
        <f t="shared" ca="1" si="262"/>
        <v>63.451079999999855</v>
      </c>
      <c r="U607" s="311">
        <f t="shared" ca="1" si="263"/>
        <v>0</v>
      </c>
      <c r="V607" s="306">
        <f t="shared" ca="1" si="264"/>
        <v>0.92411445585757268</v>
      </c>
      <c r="W607" s="304">
        <f t="shared" ca="1" si="265"/>
        <v>13.953531663665025</v>
      </c>
      <c r="Y607" s="314" t="str">
        <f t="shared" ca="1" si="283"/>
        <v/>
      </c>
      <c r="Z607" s="315" t="str">
        <f t="shared" ca="1" si="284"/>
        <v/>
      </c>
      <c r="AA607" s="316" t="str">
        <f t="shared" ca="1" si="285"/>
        <v/>
      </c>
      <c r="AC607" s="310" t="e">
        <f t="shared" ca="1" si="286"/>
        <v>#N/A</v>
      </c>
      <c r="AD607" s="323" t="e">
        <f t="shared" ca="1" si="287"/>
        <v>#N/A</v>
      </c>
      <c r="AE607" s="324">
        <f t="shared" ca="1" si="266"/>
        <v>2800.0885976299805</v>
      </c>
      <c r="AG607" s="306">
        <f t="shared" ca="1" si="288"/>
        <v>-11.776640524787386</v>
      </c>
      <c r="AH607" s="304">
        <f t="shared" ca="1" si="289"/>
        <v>-2.227740536584081</v>
      </c>
    </row>
    <row r="608" spans="1:34" x14ac:dyDescent="0.2">
      <c r="A608" s="347">
        <f t="shared" ca="1" si="267"/>
        <v>0.1</v>
      </c>
      <c r="B608" s="304">
        <f t="shared" ca="1" si="268"/>
        <v>15.399999999999901</v>
      </c>
      <c r="D608" s="306">
        <f t="shared" ca="1" si="269"/>
        <v>-0.50075043667630736</v>
      </c>
      <c r="E608" s="307">
        <f t="shared" ca="1" si="270"/>
        <v>-11.908396811678621</v>
      </c>
      <c r="F608" s="304">
        <f t="shared" ca="1" si="271"/>
        <v>11.918920489047197</v>
      </c>
      <c r="G608" s="306">
        <f t="shared" ca="1" si="272"/>
        <v>17.232379899130578</v>
      </c>
      <c r="H608" s="307">
        <f t="shared" ca="1" si="273"/>
        <v>71.231360468384338</v>
      </c>
      <c r="I608" s="304">
        <f t="shared" ca="1" si="274"/>
        <v>73.286162617269483</v>
      </c>
      <c r="J608" s="306">
        <f t="shared" ca="1" si="275"/>
        <v>361.81323928029207</v>
      </c>
      <c r="K608" s="307">
        <f t="shared" ca="1" si="276"/>
        <v>2807.2712756608776</v>
      </c>
      <c r="L608" s="304">
        <f t="shared" ca="1" si="261"/>
        <v>2830.4912710109438</v>
      </c>
      <c r="M608" s="306">
        <f t="shared" ca="1" si="277"/>
        <v>1.3334355248622998</v>
      </c>
      <c r="N608" s="304">
        <f t="shared" ca="1" si="278"/>
        <v>76.400227827421531</v>
      </c>
      <c r="P608" s="310">
        <f t="shared" ca="1" si="279"/>
        <v>23</v>
      </c>
      <c r="Q608" s="304">
        <f t="shared" ca="1" si="280"/>
        <v>0</v>
      </c>
      <c r="R608" s="306">
        <f t="shared" ca="1" si="281"/>
        <v>0</v>
      </c>
      <c r="S608" s="307">
        <f t="shared" ca="1" si="282"/>
        <v>6.4679999999999849</v>
      </c>
      <c r="T608" s="304">
        <f t="shared" ca="1" si="262"/>
        <v>63.451079999999855</v>
      </c>
      <c r="U608" s="311">
        <f t="shared" ca="1" si="263"/>
        <v>0</v>
      </c>
      <c r="V608" s="306">
        <f t="shared" ca="1" si="264"/>
        <v>0.92343763674136192</v>
      </c>
      <c r="W608" s="304">
        <f t="shared" ca="1" si="265"/>
        <v>13.508696924108662</v>
      </c>
      <c r="Y608" s="314" t="str">
        <f t="shared" ca="1" si="283"/>
        <v/>
      </c>
      <c r="Z608" s="315" t="str">
        <f t="shared" ca="1" si="284"/>
        <v/>
      </c>
      <c r="AA608" s="316" t="str">
        <f t="shared" ca="1" si="285"/>
        <v/>
      </c>
      <c r="AC608" s="310" t="e">
        <f t="shared" ca="1" si="286"/>
        <v>#N/A</v>
      </c>
      <c r="AD608" s="323" t="e">
        <f t="shared" ca="1" si="287"/>
        <v>#N/A</v>
      </c>
      <c r="AE608" s="324">
        <f t="shared" ca="1" si="266"/>
        <v>2807.2712756608776</v>
      </c>
      <c r="AG608" s="306">
        <f t="shared" ca="1" si="288"/>
        <v>-11.699385533559578</v>
      </c>
      <c r="AH608" s="304">
        <f t="shared" ca="1" si="289"/>
        <v>-2.1573178206037502</v>
      </c>
    </row>
    <row r="609" spans="1:34" x14ac:dyDescent="0.2">
      <c r="A609" s="347">
        <f t="shared" ca="1" si="267"/>
        <v>0.1</v>
      </c>
      <c r="B609" s="304">
        <f t="shared" ca="1" si="268"/>
        <v>15.499999999999901</v>
      </c>
      <c r="D609" s="306">
        <f t="shared" ca="1" si="269"/>
        <v>-0.49109637151174612</v>
      </c>
      <c r="E609" s="307">
        <f t="shared" ca="1" si="270"/>
        <v>-11.839984417046987</v>
      </c>
      <c r="F609" s="304">
        <f t="shared" ca="1" si="271"/>
        <v>11.850164836069895</v>
      </c>
      <c r="G609" s="306">
        <f t="shared" ca="1" si="272"/>
        <v>17.183270261979402</v>
      </c>
      <c r="H609" s="307">
        <f t="shared" ca="1" si="273"/>
        <v>70.047362026679636</v>
      </c>
      <c r="I609" s="304">
        <f t="shared" ca="1" si="274"/>
        <v>72.12418251732872</v>
      </c>
      <c r="J609" s="306">
        <f t="shared" ca="1" si="275"/>
        <v>363.53402178834756</v>
      </c>
      <c r="K609" s="307">
        <f t="shared" ca="1" si="276"/>
        <v>2814.3352117856307</v>
      </c>
      <c r="L609" s="304">
        <f t="shared" ca="1" si="261"/>
        <v>2837.7173342836813</v>
      </c>
      <c r="M609" s="306">
        <f t="shared" ca="1" si="277"/>
        <v>1.3302372769690951</v>
      </c>
      <c r="N609" s="304">
        <f t="shared" ca="1" si="278"/>
        <v>76.216981721304293</v>
      </c>
      <c r="P609" s="310">
        <f t="shared" ca="1" si="279"/>
        <v>23</v>
      </c>
      <c r="Q609" s="304">
        <f t="shared" ca="1" si="280"/>
        <v>0</v>
      </c>
      <c r="R609" s="306">
        <f t="shared" ca="1" si="281"/>
        <v>0</v>
      </c>
      <c r="S609" s="307">
        <f t="shared" ca="1" si="282"/>
        <v>6.4679999999999849</v>
      </c>
      <c r="T609" s="304">
        <f t="shared" ca="1" si="262"/>
        <v>63.451079999999855</v>
      </c>
      <c r="U609" s="311">
        <f t="shared" ca="1" si="263"/>
        <v>0</v>
      </c>
      <c r="V609" s="306">
        <f t="shared" ca="1" si="264"/>
        <v>0.92277242225700051</v>
      </c>
      <c r="W609" s="304">
        <f t="shared" ca="1" si="265"/>
        <v>13.074296730749937</v>
      </c>
      <c r="Y609" s="314" t="str">
        <f t="shared" ca="1" si="283"/>
        <v/>
      </c>
      <c r="Z609" s="315" t="str">
        <f t="shared" ca="1" si="284"/>
        <v/>
      </c>
      <c r="AA609" s="316" t="str">
        <f t="shared" ca="1" si="285"/>
        <v/>
      </c>
      <c r="AC609" s="310" t="e">
        <f t="shared" ca="1" si="286"/>
        <v>#N/A</v>
      </c>
      <c r="AD609" s="323" t="e">
        <f t="shared" ca="1" si="287"/>
        <v>#N/A</v>
      </c>
      <c r="AE609" s="324">
        <f t="shared" ca="1" si="266"/>
        <v>2814.3352117856307</v>
      </c>
      <c r="AG609" s="306">
        <f t="shared" ca="1" si="288"/>
        <v>-11.623489711698598</v>
      </c>
      <c r="AH609" s="304">
        <f t="shared" ca="1" si="289"/>
        <v>-2.0885431237026428</v>
      </c>
    </row>
    <row r="610" spans="1:34" x14ac:dyDescent="0.2">
      <c r="A610" s="347">
        <f t="shared" ca="1" si="267"/>
        <v>0.1</v>
      </c>
      <c r="B610" s="304">
        <f t="shared" ca="1" si="268"/>
        <v>15.5999999999999</v>
      </c>
      <c r="D610" s="306">
        <f t="shared" ca="1" si="269"/>
        <v>-0.48158532357470152</v>
      </c>
      <c r="E610" s="307">
        <f t="shared" ca="1" si="270"/>
        <v>-11.773175867740026</v>
      </c>
      <c r="F610" s="304">
        <f t="shared" ca="1" si="271"/>
        <v>11.783021447685593</v>
      </c>
      <c r="G610" s="306">
        <f t="shared" ca="1" si="272"/>
        <v>17.135111729621933</v>
      </c>
      <c r="H610" s="307">
        <f t="shared" ca="1" si="273"/>
        <v>68.870044439905627</v>
      </c>
      <c r="I610" s="304">
        <f t="shared" ca="1" si="274"/>
        <v>70.969677152578356</v>
      </c>
      <c r="J610" s="306">
        <f t="shared" ca="1" si="275"/>
        <v>365.24994088792761</v>
      </c>
      <c r="K610" s="307">
        <f t="shared" ca="1" si="276"/>
        <v>2821.2810821089602</v>
      </c>
      <c r="L610" s="304">
        <f t="shared" ca="1" si="261"/>
        <v>2844.825910945086</v>
      </c>
      <c r="M610" s="306">
        <f t="shared" ca="1" si="277"/>
        <v>1.3269440483576422</v>
      </c>
      <c r="N610" s="304">
        <f t="shared" ca="1" si="278"/>
        <v>76.028293620896321</v>
      </c>
      <c r="P610" s="310">
        <f t="shared" ca="1" si="279"/>
        <v>23</v>
      </c>
      <c r="Q610" s="304">
        <f t="shared" ca="1" si="280"/>
        <v>0</v>
      </c>
      <c r="R610" s="306">
        <f t="shared" ca="1" si="281"/>
        <v>0</v>
      </c>
      <c r="S610" s="307">
        <f t="shared" ca="1" si="282"/>
        <v>6.4679999999999849</v>
      </c>
      <c r="T610" s="304">
        <f t="shared" ca="1" si="262"/>
        <v>63.451079999999855</v>
      </c>
      <c r="U610" s="311">
        <f t="shared" ca="1" si="263"/>
        <v>0</v>
      </c>
      <c r="V610" s="306">
        <f t="shared" ca="1" si="264"/>
        <v>0.92211872763419012</v>
      </c>
      <c r="W610" s="304">
        <f t="shared" ca="1" si="265"/>
        <v>12.650113572162404</v>
      </c>
      <c r="Y610" s="314" t="str">
        <f t="shared" ca="1" si="283"/>
        <v/>
      </c>
      <c r="Z610" s="315" t="str">
        <f t="shared" ca="1" si="284"/>
        <v/>
      </c>
      <c r="AA610" s="316" t="str">
        <f t="shared" ca="1" si="285"/>
        <v/>
      </c>
      <c r="AC610" s="310" t="e">
        <f t="shared" ca="1" si="286"/>
        <v>#N/A</v>
      </c>
      <c r="AD610" s="323" t="e">
        <f t="shared" ca="1" si="287"/>
        <v>#N/A</v>
      </c>
      <c r="AE610" s="324">
        <f t="shared" ca="1" si="266"/>
        <v>2821.2810821089602</v>
      </c>
      <c r="AG610" s="306">
        <f t="shared" ca="1" si="288"/>
        <v>-11.548902100629189</v>
      </c>
      <c r="AH610" s="304">
        <f t="shared" ca="1" si="289"/>
        <v>-2.0213816837894201</v>
      </c>
    </row>
    <row r="611" spans="1:34" x14ac:dyDescent="0.2">
      <c r="A611" s="347">
        <f t="shared" ca="1" si="267"/>
        <v>0.1</v>
      </c>
      <c r="B611" s="304">
        <f t="shared" ca="1" si="268"/>
        <v>15.6999999999999</v>
      </c>
      <c r="D611" s="306">
        <f t="shared" ca="1" si="269"/>
        <v>-0.47221363647500741</v>
      </c>
      <c r="E611" s="307">
        <f t="shared" ca="1" si="270"/>
        <v>-11.707937675710781</v>
      </c>
      <c r="F611" s="304">
        <f t="shared" ca="1" si="271"/>
        <v>11.717456649665955</v>
      </c>
      <c r="G611" s="306">
        <f t="shared" ca="1" si="272"/>
        <v>17.087890365974431</v>
      </c>
      <c r="H611" s="307">
        <f t="shared" ca="1" si="273"/>
        <v>67.699250672334543</v>
      </c>
      <c r="I611" s="304">
        <f t="shared" ca="1" si="274"/>
        <v>69.822521715812812</v>
      </c>
      <c r="J611" s="306">
        <f t="shared" ca="1" si="275"/>
        <v>366.9610909927074</v>
      </c>
      <c r="K611" s="307">
        <f t="shared" ca="1" si="276"/>
        <v>2828.1095468645722</v>
      </c>
      <c r="L611" s="304">
        <f t="shared" ca="1" si="261"/>
        <v>2851.8176749871463</v>
      </c>
      <c r="M611" s="306">
        <f t="shared" ca="1" si="277"/>
        <v>1.3235517939022292</v>
      </c>
      <c r="N611" s="304">
        <f t="shared" ca="1" si="278"/>
        <v>75.833931757566702</v>
      </c>
      <c r="P611" s="310">
        <f t="shared" ca="1" si="279"/>
        <v>23</v>
      </c>
      <c r="Q611" s="304">
        <f t="shared" ca="1" si="280"/>
        <v>0</v>
      </c>
      <c r="R611" s="306">
        <f t="shared" ca="1" si="281"/>
        <v>0</v>
      </c>
      <c r="S611" s="307">
        <f t="shared" ca="1" si="282"/>
        <v>6.4679999999999849</v>
      </c>
      <c r="T611" s="304">
        <f t="shared" ca="1" si="262"/>
        <v>63.451079999999855</v>
      </c>
      <c r="U611" s="311">
        <f t="shared" ca="1" si="263"/>
        <v>0</v>
      </c>
      <c r="V611" s="306">
        <f t="shared" ca="1" si="264"/>
        <v>0.92147647013460754</v>
      </c>
      <c r="W611" s="304">
        <f t="shared" ca="1" si="265"/>
        <v>12.235937011149424</v>
      </c>
      <c r="Y611" s="314" t="str">
        <f t="shared" ca="1" si="283"/>
        <v/>
      </c>
      <c r="Z611" s="315" t="str">
        <f t="shared" ca="1" si="284"/>
        <v/>
      </c>
      <c r="AA611" s="316" t="str">
        <f t="shared" ca="1" si="285"/>
        <v/>
      </c>
      <c r="AC611" s="310" t="e">
        <f t="shared" ca="1" si="286"/>
        <v>#N/A</v>
      </c>
      <c r="AD611" s="323" t="e">
        <f t="shared" ca="1" si="287"/>
        <v>#N/A</v>
      </c>
      <c r="AE611" s="324">
        <f t="shared" ca="1" si="266"/>
        <v>2828.1095468645722</v>
      </c>
      <c r="AG611" s="306">
        <f t="shared" ca="1" si="288"/>
        <v>-11.475571738845215</v>
      </c>
      <c r="AH611" s="304">
        <f t="shared" ca="1" si="289"/>
        <v>-1.9557998720102712</v>
      </c>
    </row>
    <row r="612" spans="1:34" x14ac:dyDescent="0.2">
      <c r="A612" s="347">
        <f t="shared" ca="1" si="267"/>
        <v>0.1</v>
      </c>
      <c r="B612" s="304">
        <f t="shared" ca="1" si="268"/>
        <v>15.799999999999899</v>
      </c>
      <c r="D612" s="306">
        <f t="shared" ca="1" si="269"/>
        <v>-0.46297777196146173</v>
      </c>
      <c r="E612" s="307">
        <f t="shared" ca="1" si="270"/>
        <v>-11.644237437650521</v>
      </c>
      <c r="F612" s="304">
        <f t="shared" ca="1" si="271"/>
        <v>11.653437858491046</v>
      </c>
      <c r="G612" s="306">
        <f t="shared" ca="1" si="272"/>
        <v>17.041592588778286</v>
      </c>
      <c r="H612" s="307">
        <f t="shared" ca="1" si="273"/>
        <v>66.534826928569487</v>
      </c>
      <c r="I612" s="304">
        <f t="shared" ca="1" si="274"/>
        <v>68.682596575672633</v>
      </c>
      <c r="J612" s="306">
        <f t="shared" ca="1" si="275"/>
        <v>368.66756514044505</v>
      </c>
      <c r="K612" s="307">
        <f t="shared" ca="1" si="276"/>
        <v>2834.8212507446174</v>
      </c>
      <c r="L612" s="304">
        <f t="shared" ca="1" si="261"/>
        <v>2858.6932849223017</v>
      </c>
      <c r="M612" s="306">
        <f t="shared" ca="1" si="277"/>
        <v>1.3200562391783621</v>
      </c>
      <c r="N612" s="304">
        <f t="shared" ca="1" si="278"/>
        <v>75.633651224832093</v>
      </c>
      <c r="P612" s="310">
        <f t="shared" ca="1" si="279"/>
        <v>23</v>
      </c>
      <c r="Q612" s="304">
        <f t="shared" ca="1" si="280"/>
        <v>0</v>
      </c>
      <c r="R612" s="306">
        <f t="shared" ca="1" si="281"/>
        <v>0</v>
      </c>
      <c r="S612" s="307">
        <f t="shared" ca="1" si="282"/>
        <v>6.4679999999999849</v>
      </c>
      <c r="T612" s="304">
        <f t="shared" ca="1" si="262"/>
        <v>63.451079999999855</v>
      </c>
      <c r="U612" s="311">
        <f t="shared" ca="1" si="263"/>
        <v>0</v>
      </c>
      <c r="V612" s="306">
        <f t="shared" ca="1" si="264"/>
        <v>0.92084556900799752</v>
      </c>
      <c r="W612" s="304">
        <f t="shared" ca="1" si="265"/>
        <v>11.831563440230063</v>
      </c>
      <c r="Y612" s="314" t="str">
        <f t="shared" ca="1" si="283"/>
        <v/>
      </c>
      <c r="Z612" s="315" t="str">
        <f t="shared" ca="1" si="284"/>
        <v/>
      </c>
      <c r="AA612" s="316" t="str">
        <f t="shared" ca="1" si="285"/>
        <v/>
      </c>
      <c r="AC612" s="310" t="e">
        <f t="shared" ca="1" si="286"/>
        <v>#N/A</v>
      </c>
      <c r="AD612" s="323" t="e">
        <f t="shared" ca="1" si="287"/>
        <v>#N/A</v>
      </c>
      <c r="AE612" s="324">
        <f t="shared" ca="1" si="266"/>
        <v>2834.8212507446174</v>
      </c>
      <c r="AG612" s="306">
        <f t="shared" ca="1" si="288"/>
        <v>-11.403447526996509</v>
      </c>
      <c r="AH612" s="304">
        <f t="shared" ca="1" si="289"/>
        <v>-1.8917651532389383</v>
      </c>
    </row>
    <row r="613" spans="1:34" x14ac:dyDescent="0.2">
      <c r="A613" s="347">
        <f t="shared" ca="1" si="267"/>
        <v>0.1</v>
      </c>
      <c r="B613" s="304">
        <f t="shared" ca="1" si="268"/>
        <v>15.899999999999899</v>
      </c>
      <c r="D613" s="306">
        <f t="shared" ca="1" si="269"/>
        <v>-0.45387430664413098</v>
      </c>
      <c r="E613" s="307">
        <f t="shared" ca="1" si="270"/>
        <v>-11.582043797114192</v>
      </c>
      <c r="F613" s="304">
        <f t="shared" ca="1" si="271"/>
        <v>11.59093354327006</v>
      </c>
      <c r="G613" s="306">
        <f t="shared" ca="1" si="272"/>
        <v>16.996205158113874</v>
      </c>
      <c r="H613" s="307">
        <f t="shared" ca="1" si="273"/>
        <v>65.376622548858066</v>
      </c>
      <c r="I613" s="304">
        <f t="shared" ca="1" si="274"/>
        <v>67.549787310342836</v>
      </c>
      <c r="J613" s="306">
        <f t="shared" ca="1" si="275"/>
        <v>370.36945502778968</v>
      </c>
      <c r="K613" s="307">
        <f t="shared" ca="1" si="276"/>
        <v>2841.4168232184888</v>
      </c>
      <c r="L613" s="304">
        <f t="shared" ca="1" si="261"/>
        <v>2865.4533841063671</v>
      </c>
      <c r="M613" s="306">
        <f t="shared" ca="1" si="277"/>
        <v>1.3164528644010751</v>
      </c>
      <c r="N613" s="304">
        <f t="shared" ca="1" si="278"/>
        <v>75.427193058089657</v>
      </c>
      <c r="P613" s="310">
        <f t="shared" ca="1" si="279"/>
        <v>23</v>
      </c>
      <c r="Q613" s="304">
        <f t="shared" ca="1" si="280"/>
        <v>0</v>
      </c>
      <c r="R613" s="306">
        <f t="shared" ca="1" si="281"/>
        <v>0</v>
      </c>
      <c r="S613" s="307">
        <f t="shared" ca="1" si="282"/>
        <v>6.4679999999999849</v>
      </c>
      <c r="T613" s="304">
        <f t="shared" ca="1" si="262"/>
        <v>63.451079999999855</v>
      </c>
      <c r="U613" s="311">
        <f t="shared" ca="1" si="263"/>
        <v>0</v>
      </c>
      <c r="V613" s="306">
        <f t="shared" ca="1" si="264"/>
        <v>0.92022594544971914</v>
      </c>
      <c r="W613" s="304">
        <f t="shared" ca="1" si="265"/>
        <v>11.436795847635853</v>
      </c>
      <c r="Y613" s="314" t="str">
        <f t="shared" ca="1" si="283"/>
        <v/>
      </c>
      <c r="Z613" s="315" t="str">
        <f t="shared" ca="1" si="284"/>
        <v/>
      </c>
      <c r="AA613" s="316" t="str">
        <f t="shared" ca="1" si="285"/>
        <v/>
      </c>
      <c r="AC613" s="310" t="e">
        <f t="shared" ca="1" si="286"/>
        <v>#N/A</v>
      </c>
      <c r="AD613" s="323" t="e">
        <f t="shared" ca="1" si="287"/>
        <v>#N/A</v>
      </c>
      <c r="AE613" s="324">
        <f t="shared" ca="1" si="266"/>
        <v>2841.4168232184888</v>
      </c>
      <c r="AG613" s="306">
        <f t="shared" ca="1" si="288"/>
        <v>-11.332478085374794</v>
      </c>
      <c r="AH613" s="304">
        <f t="shared" ca="1" si="289"/>
        <v>-1.8292460482730506</v>
      </c>
    </row>
    <row r="614" spans="1:34" x14ac:dyDescent="0.2">
      <c r="A614" s="347">
        <f t="shared" ca="1" si="267"/>
        <v>0.1</v>
      </c>
      <c r="B614" s="304">
        <f t="shared" ca="1" si="268"/>
        <v>15.999999999999899</v>
      </c>
      <c r="D614" s="306">
        <f t="shared" ca="1" si="269"/>
        <v>-0.44489992894782249</v>
      </c>
      <c r="E614" s="307">
        <f t="shared" ca="1" si="270"/>
        <v>-11.52132640823355</v>
      </c>
      <c r="F614" s="304">
        <f t="shared" ca="1" si="271"/>
        <v>11.52991318925852</v>
      </c>
      <c r="G614" s="306">
        <f t="shared" ca="1" si="272"/>
        <v>16.951715165219092</v>
      </c>
      <c r="H614" s="307">
        <f t="shared" ca="1" si="273"/>
        <v>64.224489908034712</v>
      </c>
      <c r="I614" s="304">
        <f t="shared" ca="1" si="274"/>
        <v>66.423984756938296</v>
      </c>
      <c r="J614" s="306">
        <f t="shared" ca="1" si="275"/>
        <v>372.06685104395632</v>
      </c>
      <c r="K614" s="307">
        <f t="shared" ca="1" si="276"/>
        <v>2847.8968788413335</v>
      </c>
      <c r="L614" s="304">
        <f t="shared" ca="1" si="261"/>
        <v>2872.0986010511506</v>
      </c>
      <c r="M614" s="306">
        <f t="shared" ca="1" si="277"/>
        <v>1.3127368870317451</v>
      </c>
      <c r="N614" s="304">
        <f t="shared" ca="1" si="278"/>
        <v>75.214283238060929</v>
      </c>
      <c r="P614" s="310">
        <f t="shared" ca="1" si="279"/>
        <v>23</v>
      </c>
      <c r="Q614" s="304">
        <f t="shared" ca="1" si="280"/>
        <v>0</v>
      </c>
      <c r="R614" s="306">
        <f t="shared" ca="1" si="281"/>
        <v>0</v>
      </c>
      <c r="S614" s="307">
        <f t="shared" ca="1" si="282"/>
        <v>6.4679999999999849</v>
      </c>
      <c r="T614" s="304">
        <f t="shared" ca="1" si="262"/>
        <v>63.451079999999855</v>
      </c>
      <c r="U614" s="311">
        <f t="shared" ca="1" si="263"/>
        <v>0</v>
      </c>
      <c r="V614" s="306">
        <f t="shared" ca="1" si="264"/>
        <v>0.91961752255969131</v>
      </c>
      <c r="W614" s="304">
        <f t="shared" ca="1" si="265"/>
        <v>11.051443593321055</v>
      </c>
      <c r="Y614" s="314" t="str">
        <f t="shared" ca="1" si="283"/>
        <v/>
      </c>
      <c r="Z614" s="315" t="str">
        <f t="shared" ca="1" si="284"/>
        <v/>
      </c>
      <c r="AA614" s="316" t="str">
        <f t="shared" ca="1" si="285"/>
        <v/>
      </c>
      <c r="AC614" s="310">
        <f t="shared" ca="1" si="286"/>
        <v>15.999999999999899</v>
      </c>
      <c r="AD614" s="323">
        <f t="shared" ca="1" si="287"/>
        <v>372.06685104395632</v>
      </c>
      <c r="AE614" s="324">
        <f t="shared" ca="1" si="266"/>
        <v>2847.8968788413335</v>
      </c>
      <c r="AG614" s="306">
        <f t="shared" ca="1" si="288"/>
        <v>-11.262611602686951</v>
      </c>
      <c r="AH614" s="304">
        <f t="shared" ca="1" si="289"/>
        <v>-1.7682120976555165</v>
      </c>
    </row>
    <row r="615" spans="1:34" x14ac:dyDescent="0.2">
      <c r="A615" s="347">
        <f t="shared" ca="1" si="267"/>
        <v>0.1</v>
      </c>
      <c r="B615" s="304">
        <f t="shared" ca="1" si="268"/>
        <v>16.099999999999898</v>
      </c>
      <c r="D615" s="306">
        <f t="shared" ca="1" si="269"/>
        <v>-0.43605143629513926</v>
      </c>
      <c r="E615" s="307">
        <f t="shared" ca="1" si="270"/>
        <v>-11.462055900938051</v>
      </c>
      <c r="F615" s="304">
        <f t="shared" ca="1" si="271"/>
        <v>11.470347262891558</v>
      </c>
      <c r="G615" s="306">
        <f t="shared" ca="1" si="272"/>
        <v>16.908110021589579</v>
      </c>
      <c r="H615" s="307">
        <f t="shared" ca="1" si="273"/>
        <v>63.078284317940906</v>
      </c>
      <c r="I615" s="304">
        <f t="shared" ca="1" si="274"/>
        <v>65.305085077635169</v>
      </c>
      <c r="J615" s="306">
        <f t="shared" ca="1" si="275"/>
        <v>373.75984230329675</v>
      </c>
      <c r="K615" s="307">
        <f t="shared" ca="1" si="276"/>
        <v>2854.2620175526322</v>
      </c>
      <c r="L615" s="304">
        <f t="shared" ca="1" si="261"/>
        <v>2878.6295497271281</v>
      </c>
      <c r="M615" s="306">
        <f t="shared" ca="1" si="277"/>
        <v>1.3089032429272514</v>
      </c>
      <c r="N615" s="304">
        <f t="shared" ca="1" si="278"/>
        <v>74.99463161071823</v>
      </c>
      <c r="P615" s="310">
        <f t="shared" ca="1" si="279"/>
        <v>23</v>
      </c>
      <c r="Q615" s="304">
        <f t="shared" ca="1" si="280"/>
        <v>0</v>
      </c>
      <c r="R615" s="306">
        <f t="shared" ca="1" si="281"/>
        <v>0</v>
      </c>
      <c r="S615" s="307">
        <f t="shared" ca="1" si="282"/>
        <v>6.4679999999999849</v>
      </c>
      <c r="T615" s="304">
        <f t="shared" ca="1" si="262"/>
        <v>63.451079999999855</v>
      </c>
      <c r="U615" s="311">
        <f t="shared" ca="1" si="263"/>
        <v>0</v>
      </c>
      <c r="V615" s="306">
        <f t="shared" ca="1" si="264"/>
        <v>0.91902022530269434</v>
      </c>
      <c r="W615" s="304">
        <f t="shared" ca="1" si="265"/>
        <v>10.675322194516301</v>
      </c>
      <c r="Y615" s="314" t="str">
        <f t="shared" ca="1" si="283"/>
        <v/>
      </c>
      <c r="Z615" s="315" t="str">
        <f t="shared" ca="1" si="284"/>
        <v/>
      </c>
      <c r="AA615" s="316" t="str">
        <f t="shared" ca="1" si="285"/>
        <v/>
      </c>
      <c r="AC615" s="310" t="e">
        <f t="shared" ca="1" si="286"/>
        <v>#N/A</v>
      </c>
      <c r="AD615" s="323" t="e">
        <f t="shared" ca="1" si="287"/>
        <v>#N/A</v>
      </c>
      <c r="AE615" s="324">
        <f t="shared" ca="1" si="266"/>
        <v>2854.2620175526322</v>
      </c>
      <c r="AG615" s="306">
        <f t="shared" ca="1" si="288"/>
        <v>-11.19379567488112</v>
      </c>
      <c r="AH615" s="304">
        <f t="shared" ca="1" si="289"/>
        <v>-1.7086338270440757</v>
      </c>
    </row>
    <row r="616" spans="1:34" x14ac:dyDescent="0.2">
      <c r="A616" s="347">
        <f t="shared" ca="1" si="267"/>
        <v>0.1</v>
      </c>
      <c r="B616" s="304">
        <f t="shared" ca="1" si="268"/>
        <v>16.1999999999999</v>
      </c>
      <c r="D616" s="306">
        <f t="shared" ca="1" si="269"/>
        <v>-0.42732573251869493</v>
      </c>
      <c r="E616" s="307">
        <f t="shared" ca="1" si="270"/>
        <v>-11.404203847607358</v>
      </c>
      <c r="F616" s="304">
        <f t="shared" ca="1" si="271"/>
        <v>11.412207178256759</v>
      </c>
      <c r="G616" s="306">
        <f t="shared" ca="1" si="272"/>
        <v>16.865377448337711</v>
      </c>
      <c r="H616" s="307">
        <f t="shared" ca="1" si="273"/>
        <v>61.937863933180168</v>
      </c>
      <c r="I616" s="304">
        <f t="shared" ca="1" si="274"/>
        <v>64.192989843751931</v>
      </c>
      <c r="J616" s="306">
        <f t="shared" ca="1" si="275"/>
        <v>375.44851667679313</v>
      </c>
      <c r="K616" s="307">
        <f t="shared" ca="1" si="276"/>
        <v>2860.5128249651884</v>
      </c>
      <c r="L616" s="304">
        <f t="shared" ca="1" si="261"/>
        <v>2885.0468298565152</v>
      </c>
      <c r="M616" s="306">
        <f t="shared" ca="1" si="277"/>
        <v>1.3049465658920716</v>
      </c>
      <c r="N616" s="304">
        <f t="shared" ca="1" si="278"/>
        <v>74.767930715706086</v>
      </c>
      <c r="P616" s="310">
        <f t="shared" ca="1" si="279"/>
        <v>23</v>
      </c>
      <c r="Q616" s="304">
        <f t="shared" ca="1" si="280"/>
        <v>0</v>
      </c>
      <c r="R616" s="306">
        <f t="shared" ca="1" si="281"/>
        <v>0</v>
      </c>
      <c r="S616" s="307">
        <f t="shared" ca="1" si="282"/>
        <v>6.4679999999999849</v>
      </c>
      <c r="T616" s="304">
        <f t="shared" ca="1" si="262"/>
        <v>63.451079999999855</v>
      </c>
      <c r="U616" s="311">
        <f t="shared" ca="1" si="263"/>
        <v>0</v>
      </c>
      <c r="V616" s="306">
        <f t="shared" ca="1" si="264"/>
        <v>0.91843398046997293</v>
      </c>
      <c r="W616" s="304">
        <f t="shared" ca="1" si="265"/>
        <v>10.308253120380172</v>
      </c>
      <c r="Y616" s="314" t="str">
        <f t="shared" ca="1" si="283"/>
        <v/>
      </c>
      <c r="Z616" s="315" t="str">
        <f t="shared" ca="1" si="284"/>
        <v/>
      </c>
      <c r="AA616" s="316" t="str">
        <f t="shared" ca="1" si="285"/>
        <v/>
      </c>
      <c r="AC616" s="310" t="e">
        <f t="shared" ca="1" si="286"/>
        <v>#N/A</v>
      </c>
      <c r="AD616" s="323" t="e">
        <f t="shared" ca="1" si="287"/>
        <v>#N/A</v>
      </c>
      <c r="AE616" s="324">
        <f t="shared" ca="1" si="266"/>
        <v>2860.5128249651884</v>
      </c>
      <c r="AG616" s="306">
        <f t="shared" ca="1" si="288"/>
        <v>-11.125977132651277</v>
      </c>
      <c r="AH616" s="304">
        <f t="shared" ca="1" si="289"/>
        <v>-1.6504827140563274</v>
      </c>
    </row>
    <row r="617" spans="1:34" x14ac:dyDescent="0.2">
      <c r="A617" s="347">
        <f t="shared" ca="1" si="267"/>
        <v>0.1</v>
      </c>
      <c r="B617" s="304">
        <f t="shared" ca="1" si="268"/>
        <v>16.299999999999901</v>
      </c>
      <c r="D617" s="306">
        <f t="shared" ca="1" si="269"/>
        <v>-0.41871982550326431</v>
      </c>
      <c r="E617" s="307">
        <f t="shared" ca="1" si="270"/>
        <v>-11.347742731082624</v>
      </c>
      <c r="F617" s="304">
        <f t="shared" ca="1" si="271"/>
        <v>11.355465264933358</v>
      </c>
      <c r="G617" s="306">
        <f t="shared" ca="1" si="272"/>
        <v>16.823505465787385</v>
      </c>
      <c r="H617" s="307">
        <f t="shared" ca="1" si="273"/>
        <v>60.803089660071905</v>
      </c>
      <c r="I617" s="304">
        <f t="shared" ca="1" si="274"/>
        <v>63.087606139146864</v>
      </c>
      <c r="J617" s="306">
        <f t="shared" ca="1" si="275"/>
        <v>377.1329608224994</v>
      </c>
      <c r="K617" s="307">
        <f t="shared" ca="1" si="276"/>
        <v>2866.6498726448513</v>
      </c>
      <c r="L617" s="304">
        <f t="shared" ca="1" si="261"/>
        <v>2891.351027197059</v>
      </c>
      <c r="M617" s="306">
        <f t="shared" ca="1" si="277"/>
        <v>1.3008611654791584</v>
      </c>
      <c r="N617" s="304">
        <f t="shared" ca="1" si="278"/>
        <v>74.533854514425158</v>
      </c>
      <c r="P617" s="310">
        <f t="shared" ca="1" si="279"/>
        <v>23</v>
      </c>
      <c r="Q617" s="304">
        <f t="shared" ca="1" si="280"/>
        <v>0</v>
      </c>
      <c r="R617" s="306">
        <f t="shared" ca="1" si="281"/>
        <v>0</v>
      </c>
      <c r="S617" s="307">
        <f t="shared" ca="1" si="282"/>
        <v>6.4679999999999849</v>
      </c>
      <c r="T617" s="304">
        <f t="shared" ca="1" si="262"/>
        <v>63.451079999999855</v>
      </c>
      <c r="U617" s="311">
        <f t="shared" ca="1" si="263"/>
        <v>0</v>
      </c>
      <c r="V617" s="306">
        <f t="shared" ca="1" si="264"/>
        <v>0.91785871664210072</v>
      </c>
      <c r="W617" s="304">
        <f t="shared" ca="1" si="265"/>
        <v>9.9500635953274124</v>
      </c>
      <c r="Y617" s="314" t="str">
        <f t="shared" ca="1" si="283"/>
        <v/>
      </c>
      <c r="Z617" s="315" t="str">
        <f t="shared" ca="1" si="284"/>
        <v/>
      </c>
      <c r="AA617" s="316" t="str">
        <f t="shared" ca="1" si="285"/>
        <v/>
      </c>
      <c r="AC617" s="310" t="e">
        <f t="shared" ca="1" si="286"/>
        <v>#N/A</v>
      </c>
      <c r="AD617" s="323" t="e">
        <f t="shared" ca="1" si="287"/>
        <v>#N/A</v>
      </c>
      <c r="AE617" s="324">
        <f t="shared" ca="1" si="266"/>
        <v>2866.6498726448513</v>
      </c>
      <c r="AG617" s="306">
        <f t="shared" ca="1" si="288"/>
        <v>-11.059101856085967</v>
      </c>
      <c r="AH617" s="304">
        <f t="shared" ca="1" si="289"/>
        <v>-1.5937311565213661</v>
      </c>
    </row>
    <row r="618" spans="1:34" x14ac:dyDescent="0.2">
      <c r="A618" s="347">
        <f t="shared" ca="1" si="267"/>
        <v>0.1</v>
      </c>
      <c r="B618" s="304">
        <f t="shared" ca="1" si="268"/>
        <v>16.399999999999903</v>
      </c>
      <c r="D618" s="306">
        <f t="shared" ca="1" si="269"/>
        <v>-0.41023082505996922</v>
      </c>
      <c r="E618" s="307">
        <f t="shared" ca="1" si="270"/>
        <v>-11.292645913966728</v>
      </c>
      <c r="F618" s="304">
        <f t="shared" ca="1" si="271"/>
        <v>11.300094737127598</v>
      </c>
      <c r="G618" s="306">
        <f t="shared" ca="1" si="272"/>
        <v>16.782482383281387</v>
      </c>
      <c r="H618" s="307">
        <f t="shared" ca="1" si="273"/>
        <v>59.673825068675235</v>
      </c>
      <c r="I618" s="304">
        <f t="shared" ca="1" si="274"/>
        <v>61.988846684480293</v>
      </c>
      <c r="J618" s="306">
        <f t="shared" ca="1" si="275"/>
        <v>378.81326021495283</v>
      </c>
      <c r="K618" s="307">
        <f t="shared" ca="1" si="276"/>
        <v>2872.6737183812888</v>
      </c>
      <c r="L618" s="304">
        <f t="shared" ca="1" si="261"/>
        <v>2897.5427138168752</v>
      </c>
      <c r="M618" s="306">
        <f t="shared" ca="1" si="277"/>
        <v>1.2966410028690378</v>
      </c>
      <c r="N618" s="304">
        <f t="shared" ca="1" si="278"/>
        <v>74.292057008006338</v>
      </c>
      <c r="P618" s="310">
        <f t="shared" ca="1" si="279"/>
        <v>23</v>
      </c>
      <c r="Q618" s="304">
        <f t="shared" ca="1" si="280"/>
        <v>0</v>
      </c>
      <c r="R618" s="306">
        <f t="shared" ca="1" si="281"/>
        <v>0</v>
      </c>
      <c r="S618" s="307">
        <f t="shared" ca="1" si="282"/>
        <v>6.4679999999999849</v>
      </c>
      <c r="T618" s="304">
        <f t="shared" ca="1" si="262"/>
        <v>63.451079999999855</v>
      </c>
      <c r="U618" s="311">
        <f t="shared" ca="1" si="263"/>
        <v>0</v>
      </c>
      <c r="V618" s="306">
        <f t="shared" ca="1" si="264"/>
        <v>0.91729436415305798</v>
      </c>
      <c r="W618" s="304">
        <f t="shared" ca="1" si="265"/>
        <v>9.600586410634417</v>
      </c>
      <c r="Y618" s="314" t="str">
        <f t="shared" ca="1" si="283"/>
        <v/>
      </c>
      <c r="Z618" s="315" t="str">
        <f t="shared" ca="1" si="284"/>
        <v/>
      </c>
      <c r="AA618" s="316" t="str">
        <f t="shared" ca="1" si="285"/>
        <v/>
      </c>
      <c r="AC618" s="310" t="e">
        <f t="shared" ca="1" si="286"/>
        <v>#N/A</v>
      </c>
      <c r="AD618" s="323" t="e">
        <f t="shared" ca="1" si="287"/>
        <v>#N/A</v>
      </c>
      <c r="AE618" s="324">
        <f t="shared" ca="1" si="266"/>
        <v>2872.6737183812888</v>
      </c>
      <c r="AG618" s="306">
        <f t="shared" ca="1" si="288"/>
        <v>-10.993114574744475</v>
      </c>
      <c r="AH618" s="304">
        <f t="shared" ca="1" si="289"/>
        <v>-1.5383524420728873</v>
      </c>
    </row>
    <row r="619" spans="1:34" x14ac:dyDescent="0.2">
      <c r="A619" s="347">
        <f t="shared" ca="1" si="267"/>
        <v>0.1</v>
      </c>
      <c r="B619" s="304">
        <f t="shared" ca="1" si="268"/>
        <v>16.499999999999904</v>
      </c>
      <c r="D619" s="306">
        <f t="shared" ca="1" si="269"/>
        <v>-0.40185594103597583</v>
      </c>
      <c r="E619" s="307">
        <f t="shared" ca="1" si="270"/>
        <v>-11.23888760914641</v>
      </c>
      <c r="F619" s="304">
        <f t="shared" ca="1" si="271"/>
        <v>11.246069664036881</v>
      </c>
      <c r="G619" s="306">
        <f t="shared" ca="1" si="272"/>
        <v>16.742296789177789</v>
      </c>
      <c r="H619" s="307">
        <f t="shared" ca="1" si="273"/>
        <v>58.549936307760596</v>
      </c>
      <c r="I619" s="304">
        <f t="shared" ca="1" si="274"/>
        <v>60.896629984094652</v>
      </c>
      <c r="J619" s="306">
        <f t="shared" ca="1" si="275"/>
        <v>380.48949917357578</v>
      </c>
      <c r="K619" s="307">
        <f t="shared" ca="1" si="276"/>
        <v>2878.5849064501108</v>
      </c>
      <c r="L619" s="304">
        <f t="shared" ca="1" si="261"/>
        <v>2903.6224483606252</v>
      </c>
      <c r="M619" s="306">
        <f t="shared" ca="1" si="277"/>
        <v>1.292279664638313</v>
      </c>
      <c r="N619" s="304">
        <f t="shared" ca="1" si="278"/>
        <v>74.042170734356745</v>
      </c>
      <c r="P619" s="310">
        <f t="shared" ca="1" si="279"/>
        <v>23</v>
      </c>
      <c r="Q619" s="304">
        <f t="shared" ca="1" si="280"/>
        <v>0</v>
      </c>
      <c r="R619" s="306">
        <f t="shared" ca="1" si="281"/>
        <v>0</v>
      </c>
      <c r="S619" s="307">
        <f t="shared" ca="1" si="282"/>
        <v>6.4679999999999849</v>
      </c>
      <c r="T619" s="304">
        <f t="shared" ca="1" si="262"/>
        <v>63.451079999999855</v>
      </c>
      <c r="U619" s="311">
        <f t="shared" ca="1" si="263"/>
        <v>0</v>
      </c>
      <c r="V619" s="306">
        <f t="shared" ca="1" si="264"/>
        <v>0.9167408550554863</v>
      </c>
      <c r="W619" s="304">
        <f t="shared" ca="1" si="265"/>
        <v>9.259659743943951</v>
      </c>
      <c r="Y619" s="314" t="str">
        <f t="shared" ca="1" si="283"/>
        <v/>
      </c>
      <c r="Z619" s="315" t="str">
        <f t="shared" ca="1" si="284"/>
        <v/>
      </c>
      <c r="AA619" s="316" t="str">
        <f t="shared" ca="1" si="285"/>
        <v/>
      </c>
      <c r="AC619" s="310" t="e">
        <f t="shared" ca="1" si="286"/>
        <v>#N/A</v>
      </c>
      <c r="AD619" s="323" t="e">
        <f t="shared" ca="1" si="287"/>
        <v>#N/A</v>
      </c>
      <c r="AE619" s="324">
        <f t="shared" ca="1" si="266"/>
        <v>2878.5849064501108</v>
      </c>
      <c r="AG619" s="306">
        <f t="shared" ca="1" si="288"/>
        <v>-10.927958651235183</v>
      </c>
      <c r="AH619" s="304">
        <f t="shared" ca="1" si="289"/>
        <v>-1.4843207190220222</v>
      </c>
    </row>
    <row r="620" spans="1:34" x14ac:dyDescent="0.2">
      <c r="A620" s="347">
        <f t="shared" ca="1" si="267"/>
        <v>0.1</v>
      </c>
      <c r="B620" s="304">
        <f t="shared" ca="1" si="268"/>
        <v>16.599999999999905</v>
      </c>
      <c r="D620" s="306">
        <f t="shared" ca="1" si="269"/>
        <v>-0.39359248166469368</v>
      </c>
      <c r="E620" s="307">
        <f t="shared" ca="1" si="270"/>
        <v>-11.186442851471693</v>
      </c>
      <c r="F620" s="304">
        <f t="shared" ca="1" si="271"/>
        <v>11.193364941377776</v>
      </c>
      <c r="G620" s="306">
        <f t="shared" ca="1" si="272"/>
        <v>16.70293754101132</v>
      </c>
      <c r="H620" s="307">
        <f t="shared" ca="1" si="273"/>
        <v>57.431292022613427</v>
      </c>
      <c r="I620" s="304">
        <f t="shared" ca="1" si="274"/>
        <v>59.810880497494985</v>
      </c>
      <c r="J620" s="306">
        <f t="shared" ca="1" si="275"/>
        <v>382.16176089008525</v>
      </c>
      <c r="K620" s="307">
        <f t="shared" ca="1" si="276"/>
        <v>2884.3839678666295</v>
      </c>
      <c r="L620" s="304">
        <f t="shared" ca="1" si="261"/>
        <v>2909.5907763073233</v>
      </c>
      <c r="M620" s="306">
        <f t="shared" ca="1" si="277"/>
        <v>1.2877703342084339</v>
      </c>
      <c r="N620" s="304">
        <f t="shared" ca="1" si="278"/>
        <v>73.783805132294759</v>
      </c>
      <c r="P620" s="310">
        <f t="shared" ca="1" si="279"/>
        <v>23</v>
      </c>
      <c r="Q620" s="304">
        <f t="shared" ca="1" si="280"/>
        <v>0</v>
      </c>
      <c r="R620" s="306">
        <f t="shared" ca="1" si="281"/>
        <v>0</v>
      </c>
      <c r="S620" s="307">
        <f t="shared" ca="1" si="282"/>
        <v>6.4679999999999849</v>
      </c>
      <c r="T620" s="304">
        <f t="shared" ca="1" si="262"/>
        <v>63.451079999999855</v>
      </c>
      <c r="U620" s="311">
        <f t="shared" ca="1" si="263"/>
        <v>0</v>
      </c>
      <c r="V620" s="306">
        <f t="shared" ca="1" si="264"/>
        <v>0.91619812308707593</v>
      </c>
      <c r="W620" s="304">
        <f t="shared" ca="1" si="265"/>
        <v>8.9271269863105687</v>
      </c>
      <c r="Y620" s="314" t="str">
        <f t="shared" ca="1" si="283"/>
        <v/>
      </c>
      <c r="Z620" s="315" t="str">
        <f t="shared" ca="1" si="284"/>
        <v/>
      </c>
      <c r="AA620" s="316" t="str">
        <f t="shared" ca="1" si="285"/>
        <v/>
      </c>
      <c r="AC620" s="310" t="e">
        <f t="shared" ca="1" si="286"/>
        <v>#N/A</v>
      </c>
      <c r="AD620" s="323" t="e">
        <f t="shared" ca="1" si="287"/>
        <v>#N/A</v>
      </c>
      <c r="AE620" s="324">
        <f t="shared" ca="1" si="266"/>
        <v>2884.3839678666295</v>
      </c>
      <c r="AG620" s="306">
        <f t="shared" ca="1" si="288"/>
        <v>-10.863575846132697</v>
      </c>
      <c r="AH620" s="304">
        <f t="shared" ca="1" si="289"/>
        <v>-1.4316109684514491</v>
      </c>
    </row>
    <row r="621" spans="1:34" x14ac:dyDescent="0.2">
      <c r="A621" s="347">
        <f t="shared" ca="1" si="267"/>
        <v>0.1</v>
      </c>
      <c r="B621" s="304">
        <f t="shared" ca="1" si="268"/>
        <v>16.699999999999907</v>
      </c>
      <c r="D621" s="306">
        <f t="shared" ca="1" si="269"/>
        <v>-0.38543785216310367</v>
      </c>
      <c r="E621" s="307">
        <f t="shared" ca="1" si="270"/>
        <v>-11.135287470530038</v>
      </c>
      <c r="F621" s="304">
        <f t="shared" ca="1" si="271"/>
        <v>11.141956264015013</v>
      </c>
      <c r="G621" s="306">
        <f t="shared" ca="1" si="272"/>
        <v>16.664393755795011</v>
      </c>
      <c r="H621" s="307">
        <f t="shared" ca="1" si="273"/>
        <v>56.317763275560424</v>
      </c>
      <c r="I621" s="304">
        <f t="shared" ca="1" si="274"/>
        <v>58.731528837671526</v>
      </c>
      <c r="J621" s="306">
        <f t="shared" ca="1" si="275"/>
        <v>383.83012745492556</v>
      </c>
      <c r="K621" s="307">
        <f t="shared" ca="1" si="276"/>
        <v>2890.0714206315383</v>
      </c>
      <c r="L621" s="304">
        <f t="shared" ca="1" si="261"/>
        <v>2915.4482302200568</v>
      </c>
      <c r="M621" s="306">
        <f t="shared" ca="1" si="277"/>
        <v>1.2831057607429799</v>
      </c>
      <c r="N621" s="304">
        <f t="shared" ca="1" si="278"/>
        <v>73.516544759495531</v>
      </c>
      <c r="P621" s="310">
        <f t="shared" ca="1" si="279"/>
        <v>23</v>
      </c>
      <c r="Q621" s="304">
        <f t="shared" ca="1" si="280"/>
        <v>0</v>
      </c>
      <c r="R621" s="306">
        <f t="shared" ca="1" si="281"/>
        <v>0</v>
      </c>
      <c r="S621" s="307">
        <f t="shared" ca="1" si="282"/>
        <v>6.4679999999999849</v>
      </c>
      <c r="T621" s="304">
        <f t="shared" ca="1" si="262"/>
        <v>63.451079999999855</v>
      </c>
      <c r="U621" s="311">
        <f t="shared" ca="1" si="263"/>
        <v>0</v>
      </c>
      <c r="V621" s="306">
        <f t="shared" ca="1" si="264"/>
        <v>0.91566610363805012</v>
      </c>
      <c r="W621" s="304">
        <f t="shared" ca="1" si="265"/>
        <v>8.602836576446979</v>
      </c>
      <c r="Y621" s="314" t="str">
        <f t="shared" ca="1" si="283"/>
        <v/>
      </c>
      <c r="Z621" s="315" t="str">
        <f t="shared" ca="1" si="284"/>
        <v/>
      </c>
      <c r="AA621" s="316" t="str">
        <f t="shared" ca="1" si="285"/>
        <v/>
      </c>
      <c r="AC621" s="310" t="e">
        <f t="shared" ca="1" si="286"/>
        <v>#N/A</v>
      </c>
      <c r="AD621" s="323" t="e">
        <f t="shared" ca="1" si="287"/>
        <v>#N/A</v>
      </c>
      <c r="AE621" s="324">
        <f t="shared" ca="1" si="266"/>
        <v>2890.0714206315383</v>
      </c>
      <c r="AG621" s="306">
        <f t="shared" ca="1" si="288"/>
        <v>-10.799906061798151</v>
      </c>
      <c r="AH621" s="304">
        <f t="shared" ca="1" si="289"/>
        <v>-1.380198977475354</v>
      </c>
    </row>
    <row r="622" spans="1:34" x14ac:dyDescent="0.2">
      <c r="A622" s="347">
        <f t="shared" ca="1" si="267"/>
        <v>0.1</v>
      </c>
      <c r="B622" s="304">
        <f t="shared" ca="1" si="268"/>
        <v>16.799999999999908</v>
      </c>
      <c r="D622" s="306">
        <f t="shared" ca="1" si="269"/>
        <v>-0.3773895535846376</v>
      </c>
      <c r="E622" s="307">
        <f t="shared" ca="1" si="270"/>
        <v>-11.085398064454527</v>
      </c>
      <c r="F622" s="304">
        <f t="shared" ca="1" si="271"/>
        <v>11.091820099630493</v>
      </c>
      <c r="G622" s="306">
        <f t="shared" ca="1" si="272"/>
        <v>16.626654800436548</v>
      </c>
      <c r="H622" s="307">
        <f t="shared" ca="1" si="273"/>
        <v>55.209223469114974</v>
      </c>
      <c r="I622" s="304">
        <f t="shared" ca="1" si="274"/>
        <v>57.658511998798197</v>
      </c>
      <c r="J622" s="306">
        <f t="shared" ca="1" si="275"/>
        <v>385.49467988273716</v>
      </c>
      <c r="K622" s="307">
        <f t="shared" ca="1" si="276"/>
        <v>2895.6477699687721</v>
      </c>
      <c r="L622" s="304">
        <f t="shared" ca="1" si="261"/>
        <v>2921.1953299878828</v>
      </c>
      <c r="M622" s="306">
        <f t="shared" ca="1" si="277"/>
        <v>1.2782782252365492</v>
      </c>
      <c r="N622" s="304">
        <f t="shared" ca="1" si="278"/>
        <v>73.239947349527512</v>
      </c>
      <c r="P622" s="310">
        <f t="shared" ca="1" si="279"/>
        <v>23</v>
      </c>
      <c r="Q622" s="304">
        <f t="shared" ca="1" si="280"/>
        <v>0</v>
      </c>
      <c r="R622" s="306">
        <f t="shared" ca="1" si="281"/>
        <v>0</v>
      </c>
      <c r="S622" s="307">
        <f t="shared" ca="1" si="282"/>
        <v>6.4679999999999849</v>
      </c>
      <c r="T622" s="304">
        <f t="shared" ca="1" si="262"/>
        <v>63.451079999999855</v>
      </c>
      <c r="U622" s="311">
        <f t="shared" ca="1" si="263"/>
        <v>0</v>
      </c>
      <c r="V622" s="306">
        <f t="shared" ca="1" si="264"/>
        <v>0.91514473371970617</v>
      </c>
      <c r="W622" s="304">
        <f t="shared" ca="1" si="265"/>
        <v>8.2866418418489953</v>
      </c>
      <c r="Y622" s="314" t="str">
        <f t="shared" ca="1" si="283"/>
        <v/>
      </c>
      <c r="Z622" s="315" t="str">
        <f t="shared" ca="1" si="284"/>
        <v/>
      </c>
      <c r="AA622" s="316" t="str">
        <f t="shared" ca="1" si="285"/>
        <v/>
      </c>
      <c r="AC622" s="310" t="e">
        <f t="shared" ca="1" si="286"/>
        <v>#N/A</v>
      </c>
      <c r="AD622" s="323" t="e">
        <f t="shared" ca="1" si="287"/>
        <v>#N/A</v>
      </c>
      <c r="AE622" s="324">
        <f t="shared" ca="1" si="266"/>
        <v>2895.6477699687721</v>
      </c>
      <c r="AG622" s="306">
        <f t="shared" ca="1" si="288"/>
        <v>-10.736887062355661</v>
      </c>
      <c r="AH622" s="304">
        <f t="shared" ca="1" si="289"/>
        <v>-1.3300613136127086</v>
      </c>
    </row>
    <row r="623" spans="1:34" x14ac:dyDescent="0.2">
      <c r="A623" s="347">
        <f t="shared" ca="1" si="267"/>
        <v>0.1</v>
      </c>
      <c r="B623" s="304">
        <f t="shared" ca="1" si="268"/>
        <v>16.89999999999991</v>
      </c>
      <c r="D623" s="306">
        <f t="shared" ca="1" si="269"/>
        <v>-0.36944518193800385</v>
      </c>
      <c r="E623" s="307">
        <f t="shared" ca="1" si="270"/>
        <v>-11.036751974706757</v>
      </c>
      <c r="F623" s="304">
        <f t="shared" ca="1" si="271"/>
        <v>11.042933663372731</v>
      </c>
      <c r="G623" s="306">
        <f t="shared" ca="1" si="272"/>
        <v>16.589710282242748</v>
      </c>
      <c r="H623" s="307">
        <f t="shared" ca="1" si="273"/>
        <v>54.105548271644295</v>
      </c>
      <c r="I623" s="304">
        <f t="shared" ca="1" si="274"/>
        <v>56.591773616171295</v>
      </c>
      <c r="J623" s="306">
        <f t="shared" ca="1" si="275"/>
        <v>387.15549813687113</v>
      </c>
      <c r="K623" s="307">
        <f t="shared" ca="1" si="276"/>
        <v>2901.1135085558099</v>
      </c>
      <c r="L623" s="304">
        <f t="shared" ca="1" si="261"/>
        <v>2926.8325830601602</v>
      </c>
      <c r="M623" s="306">
        <f t="shared" ca="1" si="277"/>
        <v>1.2732795035103839</v>
      </c>
      <c r="N623" s="304">
        <f t="shared" ca="1" si="278"/>
        <v>72.95354169165789</v>
      </c>
      <c r="P623" s="310">
        <f t="shared" ca="1" si="279"/>
        <v>23</v>
      </c>
      <c r="Q623" s="304">
        <f t="shared" ca="1" si="280"/>
        <v>0</v>
      </c>
      <c r="R623" s="306">
        <f t="shared" ca="1" si="281"/>
        <v>0</v>
      </c>
      <c r="S623" s="307">
        <f t="shared" ca="1" si="282"/>
        <v>6.4679999999999849</v>
      </c>
      <c r="T623" s="304">
        <f t="shared" ca="1" si="262"/>
        <v>63.451079999999855</v>
      </c>
      <c r="U623" s="311">
        <f t="shared" ca="1" si="263"/>
        <v>0</v>
      </c>
      <c r="V623" s="306">
        <f t="shared" ca="1" si="264"/>
        <v>0.91463395193398356</v>
      </c>
      <c r="W623" s="304">
        <f t="shared" ca="1" si="265"/>
        <v>7.9784008464934164</v>
      </c>
      <c r="Y623" s="314" t="str">
        <f t="shared" ca="1" si="283"/>
        <v/>
      </c>
      <c r="Z623" s="315" t="str">
        <f t="shared" ca="1" si="284"/>
        <v/>
      </c>
      <c r="AA623" s="316" t="str">
        <f t="shared" ca="1" si="285"/>
        <v/>
      </c>
      <c r="AC623" s="310" t="e">
        <f t="shared" ca="1" si="286"/>
        <v>#N/A</v>
      </c>
      <c r="AD623" s="323" t="e">
        <f t="shared" ca="1" si="287"/>
        <v>#N/A</v>
      </c>
      <c r="AE623" s="324">
        <f t="shared" ca="1" si="266"/>
        <v>2901.1135085558099</v>
      </c>
      <c r="AG623" s="306">
        <f t="shared" ca="1" si="288"/>
        <v>-10.674454166721777</v>
      </c>
      <c r="AH623" s="304">
        <f t="shared" ca="1" si="289"/>
        <v>-1.2811753002240283</v>
      </c>
    </row>
    <row r="624" spans="1:34" x14ac:dyDescent="0.2">
      <c r="A624" s="347">
        <f t="shared" ca="1" si="267"/>
        <v>0.1</v>
      </c>
      <c r="B624" s="304">
        <f t="shared" ca="1" si="268"/>
        <v>16.999999999999911</v>
      </c>
      <c r="D624" s="306">
        <f t="shared" ca="1" si="269"/>
        <v>-0.36160242758454342</v>
      </c>
      <c r="E624" s="307">
        <f t="shared" ca="1" si="270"/>
        <v>-10.989327261776289</v>
      </c>
      <c r="F624" s="304">
        <f t="shared" ca="1" si="271"/>
        <v>10.995274893428293</v>
      </c>
      <c r="G624" s="306">
        <f t="shared" ca="1" si="272"/>
        <v>16.553550039484293</v>
      </c>
      <c r="H624" s="307">
        <f t="shared" ca="1" si="273"/>
        <v>53.006615545466666</v>
      </c>
      <c r="I624" s="304">
        <f t="shared" ca="1" si="274"/>
        <v>55.531264261626696</v>
      </c>
      <c r="J624" s="306">
        <f t="shared" ca="1" si="275"/>
        <v>388.8126611529575</v>
      </c>
      <c r="K624" s="307">
        <f t="shared" ca="1" si="276"/>
        <v>2906.4691167466653</v>
      </c>
      <c r="L624" s="304">
        <f t="shared" ca="1" si="261"/>
        <v>2932.3604846735648</v>
      </c>
      <c r="M624" s="306">
        <f t="shared" ca="1" si="277"/>
        <v>1.2681008257987842</v>
      </c>
      <c r="N624" s="304">
        <f t="shared" ca="1" si="278"/>
        <v>72.656825315324753</v>
      </c>
      <c r="P624" s="310">
        <f t="shared" ca="1" si="279"/>
        <v>23</v>
      </c>
      <c r="Q624" s="304">
        <f t="shared" ca="1" si="280"/>
        <v>0</v>
      </c>
      <c r="R624" s="306">
        <f t="shared" ca="1" si="281"/>
        <v>0</v>
      </c>
      <c r="S624" s="307">
        <f t="shared" ca="1" si="282"/>
        <v>6.4679999999999849</v>
      </c>
      <c r="T624" s="304">
        <f t="shared" ca="1" si="262"/>
        <v>63.451079999999855</v>
      </c>
      <c r="U624" s="311">
        <f t="shared" ca="1" si="263"/>
        <v>0</v>
      </c>
      <c r="V624" s="306">
        <f t="shared" ca="1" si="264"/>
        <v>0.91413369844401915</v>
      </c>
      <c r="W624" s="304">
        <f t="shared" ca="1" si="265"/>
        <v>7.6779762448185824</v>
      </c>
      <c r="Y624" s="314" t="str">
        <f t="shared" ca="1" si="283"/>
        <v/>
      </c>
      <c r="Z624" s="315" t="str">
        <f t="shared" ca="1" si="284"/>
        <v/>
      </c>
      <c r="AA624" s="316" t="str">
        <f t="shared" ca="1" si="285"/>
        <v/>
      </c>
      <c r="AC624" s="310">
        <f t="shared" ca="1" si="286"/>
        <v>16.999999999999911</v>
      </c>
      <c r="AD624" s="323">
        <f t="shared" ca="1" si="287"/>
        <v>388.8126611529575</v>
      </c>
      <c r="AE624" s="324">
        <f t="shared" ca="1" si="266"/>
        <v>2906.4691167466653</v>
      </c>
      <c r="AG624" s="306">
        <f t="shared" ca="1" si="288"/>
        <v>-10.612539911177095</v>
      </c>
      <c r="AH624" s="304">
        <f t="shared" ca="1" si="289"/>
        <v>-1.2335189929643531</v>
      </c>
    </row>
    <row r="625" spans="1:34" x14ac:dyDescent="0.2">
      <c r="A625" s="347">
        <f t="shared" ca="1" si="267"/>
        <v>0.1</v>
      </c>
      <c r="B625" s="304">
        <f t="shared" ca="1" si="268"/>
        <v>17.099999999999913</v>
      </c>
      <c r="D625" s="306">
        <f t="shared" ca="1" si="269"/>
        <v>-0.35385907492912738</v>
      </c>
      <c r="E625" s="307">
        <f t="shared" ca="1" si="270"/>
        <v>-10.943102681739143</v>
      </c>
      <c r="F625" s="304">
        <f t="shared" ca="1" si="271"/>
        <v>10.94882242745749</v>
      </c>
      <c r="G625" s="306">
        <f t="shared" ca="1" si="272"/>
        <v>16.51816413199138</v>
      </c>
      <c r="H625" s="307">
        <f t="shared" ca="1" si="273"/>
        <v>51.912305277292752</v>
      </c>
      <c r="I625" s="304">
        <f t="shared" ca="1" si="274"/>
        <v>54.476941778097668</v>
      </c>
      <c r="J625" s="306">
        <f t="shared" ca="1" si="275"/>
        <v>390.46624686153126</v>
      </c>
      <c r="K625" s="307">
        <f t="shared" ca="1" si="276"/>
        <v>2911.7150627878032</v>
      </c>
      <c r="L625" s="304">
        <f t="shared" ca="1" si="261"/>
        <v>2937.7795180720268</v>
      </c>
      <c r="M625" s="306">
        <f t="shared" ca="1" si="277"/>
        <v>1.2627328325758964</v>
      </c>
      <c r="N625" s="304">
        <f t="shared" ca="1" si="278"/>
        <v>72.349261959198458</v>
      </c>
      <c r="P625" s="310">
        <f t="shared" ca="1" si="279"/>
        <v>23</v>
      </c>
      <c r="Q625" s="304">
        <f t="shared" ca="1" si="280"/>
        <v>0</v>
      </c>
      <c r="R625" s="306">
        <f t="shared" ca="1" si="281"/>
        <v>0</v>
      </c>
      <c r="S625" s="307">
        <f t="shared" ca="1" si="282"/>
        <v>6.4679999999999849</v>
      </c>
      <c r="T625" s="304">
        <f t="shared" ca="1" si="262"/>
        <v>63.451079999999855</v>
      </c>
      <c r="U625" s="311">
        <f t="shared" ca="1" si="263"/>
        <v>0</v>
      </c>
      <c r="V625" s="306">
        <f t="shared" ca="1" si="264"/>
        <v>0.91364391494566199</v>
      </c>
      <c r="W625" s="304">
        <f t="shared" ca="1" si="265"/>
        <v>7.3852351417120552</v>
      </c>
      <c r="Y625" s="314" t="str">
        <f t="shared" ca="1" si="283"/>
        <v/>
      </c>
      <c r="Z625" s="315" t="str">
        <f t="shared" ca="1" si="284"/>
        <v/>
      </c>
      <c r="AA625" s="316" t="str">
        <f t="shared" ca="1" si="285"/>
        <v/>
      </c>
      <c r="AC625" s="310" t="e">
        <f t="shared" ca="1" si="286"/>
        <v>#N/A</v>
      </c>
      <c r="AD625" s="323" t="e">
        <f t="shared" ca="1" si="287"/>
        <v>#N/A</v>
      </c>
      <c r="AE625" s="324">
        <f t="shared" ca="1" si="266"/>
        <v>2911.7150627878032</v>
      </c>
      <c r="AG625" s="306">
        <f t="shared" ca="1" si="288"/>
        <v>-10.551073677502359</v>
      </c>
      <c r="AH625" s="304">
        <f t="shared" ca="1" si="289"/>
        <v>-1.1870711572075758</v>
      </c>
    </row>
    <row r="626" spans="1:34" x14ac:dyDescent="0.2">
      <c r="A626" s="347">
        <f t="shared" ca="1" si="267"/>
        <v>0.1</v>
      </c>
      <c r="B626" s="304">
        <f t="shared" ca="1" si="268"/>
        <v>17.199999999999914</v>
      </c>
      <c r="D626" s="306">
        <f t="shared" ca="1" si="269"/>
        <v>-0.3462130024223154</v>
      </c>
      <c r="E626" s="307">
        <f t="shared" ca="1" si="270"/>
        <v>-10.898057663618131</v>
      </c>
      <c r="F626" s="304">
        <f t="shared" ca="1" si="271"/>
        <v>10.903555579836889</v>
      </c>
      <c r="G626" s="306">
        <f t="shared" ca="1" si="272"/>
        <v>16.483542831749148</v>
      </c>
      <c r="H626" s="307">
        <f t="shared" ca="1" si="273"/>
        <v>50.822499510930939</v>
      </c>
      <c r="I626" s="304">
        <f t="shared" ca="1" si="274"/>
        <v>53.428771657457034</v>
      </c>
      <c r="J626" s="306">
        <f t="shared" ca="1" si="275"/>
        <v>392.11633220971828</v>
      </c>
      <c r="K626" s="307">
        <f t="shared" ca="1" si="276"/>
        <v>2916.8518030272144</v>
      </c>
      <c r="L626" s="304">
        <f t="shared" ca="1" si="261"/>
        <v>2943.0901547198164</v>
      </c>
      <c r="M626" s="306">
        <f t="shared" ca="1" si="277"/>
        <v>1.2571655262342487</v>
      </c>
      <c r="N626" s="304">
        <f t="shared" ca="1" si="278"/>
        <v>72.030278802565618</v>
      </c>
      <c r="P626" s="310">
        <f t="shared" ca="1" si="279"/>
        <v>23</v>
      </c>
      <c r="Q626" s="304">
        <f t="shared" ca="1" si="280"/>
        <v>0</v>
      </c>
      <c r="R626" s="306">
        <f t="shared" ca="1" si="281"/>
        <v>0</v>
      </c>
      <c r="S626" s="307">
        <f t="shared" ca="1" si="282"/>
        <v>6.4679999999999849</v>
      </c>
      <c r="T626" s="304">
        <f t="shared" ca="1" si="262"/>
        <v>63.451079999999855</v>
      </c>
      <c r="U626" s="311">
        <f t="shared" ca="1" si="263"/>
        <v>0</v>
      </c>
      <c r="V626" s="306">
        <f t="shared" ca="1" si="264"/>
        <v>0.91316454463991081</v>
      </c>
      <c r="W626" s="304">
        <f t="shared" ca="1" si="265"/>
        <v>7.1000489582437289</v>
      </c>
      <c r="Y626" s="314" t="str">
        <f t="shared" ca="1" si="283"/>
        <v/>
      </c>
      <c r="Z626" s="315" t="str">
        <f t="shared" ca="1" si="284"/>
        <v/>
      </c>
      <c r="AA626" s="316" t="str">
        <f t="shared" ca="1" si="285"/>
        <v/>
      </c>
      <c r="AC626" s="310" t="e">
        <f t="shared" ca="1" si="286"/>
        <v>#N/A</v>
      </c>
      <c r="AD626" s="323" t="e">
        <f t="shared" ca="1" si="287"/>
        <v>#N/A</v>
      </c>
      <c r="AE626" s="324">
        <f t="shared" ca="1" si="266"/>
        <v>2916.8518030272144</v>
      </c>
      <c r="AG626" s="306">
        <f t="shared" ca="1" si="288"/>
        <v>-10.489981282166625</v>
      </c>
      <c r="AH626" s="304">
        <f t="shared" ca="1" si="289"/>
        <v>-1.1418112463995165</v>
      </c>
    </row>
    <row r="627" spans="1:34" x14ac:dyDescent="0.2">
      <c r="A627" s="347">
        <f t="shared" ca="1" si="267"/>
        <v>0.1</v>
      </c>
      <c r="B627" s="304">
        <f t="shared" ca="1" si="268"/>
        <v>17.299999999999915</v>
      </c>
      <c r="D627" s="306">
        <f t="shared" ca="1" si="269"/>
        <v>-0.33866218289453126</v>
      </c>
      <c r="E627" s="307">
        <f t="shared" ca="1" si="270"/>
        <v>-10.854172287487648</v>
      </c>
      <c r="F627" s="304">
        <f t="shared" ca="1" si="271"/>
        <v>10.859454319651045</v>
      </c>
      <c r="G627" s="306">
        <f t="shared" ca="1" si="272"/>
        <v>16.449676613459694</v>
      </c>
      <c r="H627" s="307">
        <f t="shared" ca="1" si="273"/>
        <v>49.737082282182172</v>
      </c>
      <c r="I627" s="304">
        <f t="shared" ca="1" si="274"/>
        <v>52.386727466334094</v>
      </c>
      <c r="J627" s="306">
        <f t="shared" ca="1" si="275"/>
        <v>393.76299318197874</v>
      </c>
      <c r="K627" s="307">
        <f t="shared" ca="1" si="276"/>
        <v>2921.87978211687</v>
      </c>
      <c r="L627" s="304">
        <f t="shared" ca="1" si="261"/>
        <v>2948.2928545080049</v>
      </c>
      <c r="M627" s="306">
        <f t="shared" ca="1" si="277"/>
        <v>1.2513882181841602</v>
      </c>
      <c r="N627" s="304">
        <f t="shared" ca="1" si="278"/>
        <v>71.699263434348595</v>
      </c>
      <c r="P627" s="310">
        <f t="shared" ca="1" si="279"/>
        <v>23</v>
      </c>
      <c r="Q627" s="304">
        <f t="shared" ca="1" si="280"/>
        <v>0</v>
      </c>
      <c r="R627" s="306">
        <f t="shared" ca="1" si="281"/>
        <v>0</v>
      </c>
      <c r="S627" s="307">
        <f t="shared" ca="1" si="282"/>
        <v>6.4679999999999849</v>
      </c>
      <c r="T627" s="304">
        <f t="shared" ca="1" si="262"/>
        <v>63.451079999999855</v>
      </c>
      <c r="U627" s="311">
        <f t="shared" ca="1" si="263"/>
        <v>0</v>
      </c>
      <c r="V627" s="306">
        <f t="shared" ca="1" si="264"/>
        <v>0.91269553220624988</v>
      </c>
      <c r="W627" s="304">
        <f t="shared" ca="1" si="265"/>
        <v>6.8222933028956616</v>
      </c>
      <c r="Y627" s="314" t="str">
        <f t="shared" ca="1" si="283"/>
        <v/>
      </c>
      <c r="Z627" s="315" t="str">
        <f t="shared" ca="1" si="284"/>
        <v/>
      </c>
      <c r="AA627" s="316" t="str">
        <f t="shared" ca="1" si="285"/>
        <v/>
      </c>
      <c r="AC627" s="310" t="e">
        <f t="shared" ca="1" si="286"/>
        <v>#N/A</v>
      </c>
      <c r="AD627" s="323" t="e">
        <f t="shared" ca="1" si="287"/>
        <v>#N/A</v>
      </c>
      <c r="AE627" s="324">
        <f t="shared" ca="1" si="266"/>
        <v>2921.87978211687</v>
      </c>
      <c r="AG627" s="306">
        <f t="shared" ca="1" si="288"/>
        <v>-10.429184521442503</v>
      </c>
      <c r="AH627" s="304">
        <f t="shared" ca="1" si="289"/>
        <v>-1.0977193812992805</v>
      </c>
    </row>
    <row r="628" spans="1:34" x14ac:dyDescent="0.2">
      <c r="A628" s="347">
        <f t="shared" ca="1" si="267"/>
        <v>0.1</v>
      </c>
      <c r="B628" s="304">
        <f t="shared" ca="1" si="268"/>
        <v>17.399999999999917</v>
      </c>
      <c r="D628" s="306">
        <f t="shared" ca="1" si="269"/>
        <v>-0.33120468424642574</v>
      </c>
      <c r="E628" s="307">
        <f t="shared" ca="1" si="270"/>
        <v>-10.811427263264845</v>
      </c>
      <c r="F628" s="304">
        <f t="shared" ca="1" si="271"/>
        <v>10.816499249375148</v>
      </c>
      <c r="G628" s="306">
        <f t="shared" ca="1" si="272"/>
        <v>16.416556145035052</v>
      </c>
      <c r="H628" s="307">
        <f t="shared" ca="1" si="273"/>
        <v>48.655939555855689</v>
      </c>
      <c r="I628" s="304">
        <f t="shared" ca="1" si="274"/>
        <v>51.350791325218836</v>
      </c>
      <c r="J628" s="306">
        <f t="shared" ca="1" si="275"/>
        <v>395.40630481990348</v>
      </c>
      <c r="K628" s="307">
        <f t="shared" ca="1" si="276"/>
        <v>2926.7994332087719</v>
      </c>
      <c r="L628" s="304">
        <f t="shared" ca="1" si="261"/>
        <v>2953.3880659545098</v>
      </c>
      <c r="M628" s="306">
        <f t="shared" ca="1" si="277"/>
        <v>1.2453894708965281</v>
      </c>
      <c r="N628" s="304">
        <f t="shared" ca="1" si="278"/>
        <v>71.355560532401725</v>
      </c>
      <c r="P628" s="310">
        <f t="shared" ca="1" si="279"/>
        <v>23</v>
      </c>
      <c r="Q628" s="304">
        <f t="shared" ca="1" si="280"/>
        <v>0</v>
      </c>
      <c r="R628" s="306">
        <f t="shared" ca="1" si="281"/>
        <v>0</v>
      </c>
      <c r="S628" s="307">
        <f t="shared" ca="1" si="282"/>
        <v>6.4679999999999849</v>
      </c>
      <c r="T628" s="304">
        <f t="shared" ca="1" si="262"/>
        <v>63.451079999999855</v>
      </c>
      <c r="U628" s="311">
        <f t="shared" ca="1" si="263"/>
        <v>0</v>
      </c>
      <c r="V628" s="306">
        <f t="shared" ca="1" si="264"/>
        <v>0.91223682377685</v>
      </c>
      <c r="W628" s="304">
        <f t="shared" ca="1" si="265"/>
        <v>6.5518478480521241</v>
      </c>
      <c r="Y628" s="314" t="str">
        <f t="shared" ca="1" si="283"/>
        <v/>
      </c>
      <c r="Z628" s="315" t="str">
        <f t="shared" ca="1" si="284"/>
        <v/>
      </c>
      <c r="AA628" s="316" t="str">
        <f t="shared" ca="1" si="285"/>
        <v/>
      </c>
      <c r="AC628" s="310" t="e">
        <f t="shared" ca="1" si="286"/>
        <v>#N/A</v>
      </c>
      <c r="AD628" s="323" t="e">
        <f t="shared" ca="1" si="287"/>
        <v>#N/A</v>
      </c>
      <c r="AE628" s="324">
        <f t="shared" ca="1" si="266"/>
        <v>2926.7994332087719</v>
      </c>
      <c r="AG628" s="306">
        <f t="shared" ca="1" si="288"/>
        <v>-10.36860066662145</v>
      </c>
      <c r="AH628" s="304">
        <f t="shared" ca="1" si="289"/>
        <v>-1.0547763300704511</v>
      </c>
    </row>
    <row r="629" spans="1:34" x14ac:dyDescent="0.2">
      <c r="A629" s="347">
        <f t="shared" ca="1" si="267"/>
        <v>0.1</v>
      </c>
      <c r="B629" s="304">
        <f t="shared" ca="1" si="268"/>
        <v>17.499999999999918</v>
      </c>
      <c r="D629" s="306">
        <f t="shared" ca="1" si="269"/>
        <v>-0.32383867052343474</v>
      </c>
      <c r="E629" s="307">
        <f t="shared" ca="1" si="270"/>
        <v>-10.769803910127782</v>
      </c>
      <c r="F629" s="304">
        <f t="shared" ca="1" si="271"/>
        <v>10.774671584189008</v>
      </c>
      <c r="G629" s="306">
        <f t="shared" ca="1" si="272"/>
        <v>16.38417227798271</v>
      </c>
      <c r="H629" s="307">
        <f t="shared" ca="1" si="273"/>
        <v>47.578959164842914</v>
      </c>
      <c r="I629" s="304">
        <f t="shared" ca="1" si="274"/>
        <v>50.320954446874381</v>
      </c>
      <c r="J629" s="306">
        <f t="shared" ca="1" si="275"/>
        <v>397.04634124105439</v>
      </c>
      <c r="K629" s="307">
        <f t="shared" ca="1" si="276"/>
        <v>2931.6111781448067</v>
      </c>
      <c r="L629" s="304">
        <f t="shared" ca="1" si="261"/>
        <v>2958.3762263979352</v>
      </c>
      <c r="M629" s="306">
        <f t="shared" ca="1" si="277"/>
        <v>1.2391570343602278</v>
      </c>
      <c r="N629" s="304">
        <f t="shared" ca="1" si="278"/>
        <v>70.998468222788588</v>
      </c>
      <c r="P629" s="310">
        <f t="shared" ca="1" si="279"/>
        <v>23</v>
      </c>
      <c r="Q629" s="304">
        <f t="shared" ca="1" si="280"/>
        <v>0</v>
      </c>
      <c r="R629" s="306">
        <f t="shared" ca="1" si="281"/>
        <v>0</v>
      </c>
      <c r="S629" s="307">
        <f t="shared" ca="1" si="282"/>
        <v>6.4679999999999849</v>
      </c>
      <c r="T629" s="304">
        <f t="shared" ca="1" si="262"/>
        <v>63.451079999999855</v>
      </c>
      <c r="U629" s="311">
        <f t="shared" ca="1" si="263"/>
        <v>0</v>
      </c>
      <c r="V629" s="306">
        <f t="shared" ca="1" si="264"/>
        <v>0.91178836691160747</v>
      </c>
      <c r="W629" s="304">
        <f t="shared" ca="1" si="265"/>
        <v>6.2885962115249567</v>
      </c>
      <c r="Y629" s="314" t="str">
        <f t="shared" ca="1" si="283"/>
        <v/>
      </c>
      <c r="Z629" s="315" t="str">
        <f t="shared" ca="1" si="284"/>
        <v/>
      </c>
      <c r="AA629" s="316" t="str">
        <f t="shared" ca="1" si="285"/>
        <v/>
      </c>
      <c r="AC629" s="310" t="e">
        <f t="shared" ca="1" si="286"/>
        <v>#N/A</v>
      </c>
      <c r="AD629" s="323" t="e">
        <f t="shared" ca="1" si="287"/>
        <v>#N/A</v>
      </c>
      <c r="AE629" s="324">
        <f t="shared" ca="1" si="266"/>
        <v>2931.6111781448067</v>
      </c>
      <c r="AG629" s="306">
        <f t="shared" ca="1" si="288"/>
        <v>-10.308141902697763</v>
      </c>
      <c r="AH629" s="304">
        <f t="shared" ca="1" si="289"/>
        <v>-1.0129634891855503</v>
      </c>
    </row>
    <row r="630" spans="1:34" x14ac:dyDescent="0.2">
      <c r="A630" s="347">
        <f t="shared" ca="1" si="267"/>
        <v>0.1</v>
      </c>
      <c r="B630" s="304">
        <f t="shared" ca="1" si="268"/>
        <v>17.59999999999992</v>
      </c>
      <c r="D630" s="306">
        <f t="shared" ca="1" si="269"/>
        <v>-0.31656240340688274</v>
      </c>
      <c r="E630" s="307">
        <f t="shared" ca="1" si="270"/>
        <v>-10.72928413649927</v>
      </c>
      <c r="F630" s="304">
        <f t="shared" ca="1" si="271"/>
        <v>10.733953131860863</v>
      </c>
      <c r="G630" s="306">
        <f t="shared" ca="1" si="272"/>
        <v>16.352516037642022</v>
      </c>
      <c r="H630" s="307">
        <f t="shared" ca="1" si="273"/>
        <v>46.506030751192988</v>
      </c>
      <c r="I630" s="304">
        <f t="shared" ca="1" si="274"/>
        <v>49.297217740885209</v>
      </c>
      <c r="J630" s="306">
        <f t="shared" ca="1" si="275"/>
        <v>398.6831756568356</v>
      </c>
      <c r="K630" s="307">
        <f t="shared" ca="1" si="276"/>
        <v>2936.3154276406085</v>
      </c>
      <c r="L630" s="304">
        <f t="shared" ca="1" si="261"/>
        <v>2963.2577621854075</v>
      </c>
      <c r="M630" s="306">
        <f t="shared" ca="1" si="277"/>
        <v>1.2326777763691987</v>
      </c>
      <c r="N630" s="304">
        <f t="shared" ca="1" si="278"/>
        <v>70.627234085526212</v>
      </c>
      <c r="P630" s="310">
        <f t="shared" ca="1" si="279"/>
        <v>23</v>
      </c>
      <c r="Q630" s="304">
        <f t="shared" ca="1" si="280"/>
        <v>0</v>
      </c>
      <c r="R630" s="306">
        <f t="shared" ca="1" si="281"/>
        <v>0</v>
      </c>
      <c r="S630" s="307">
        <f t="shared" ca="1" si="282"/>
        <v>6.4679999999999849</v>
      </c>
      <c r="T630" s="304">
        <f t="shared" ca="1" si="262"/>
        <v>63.451079999999855</v>
      </c>
      <c r="U630" s="311">
        <f t="shared" ca="1" si="263"/>
        <v>0</v>
      </c>
      <c r="V630" s="306">
        <f t="shared" ca="1" si="264"/>
        <v>0.91135011057399318</v>
      </c>
      <c r="W630" s="304">
        <f t="shared" ca="1" si="265"/>
        <v>6.0324258429000768</v>
      </c>
      <c r="Y630" s="314" t="str">
        <f t="shared" ca="1" si="283"/>
        <v/>
      </c>
      <c r="Z630" s="315" t="str">
        <f t="shared" ca="1" si="284"/>
        <v/>
      </c>
      <c r="AA630" s="316" t="str">
        <f t="shared" ca="1" si="285"/>
        <v/>
      </c>
      <c r="AC630" s="310" t="e">
        <f t="shared" ca="1" si="286"/>
        <v>#N/A</v>
      </c>
      <c r="AD630" s="323" t="e">
        <f t="shared" ca="1" si="287"/>
        <v>#N/A</v>
      </c>
      <c r="AE630" s="324">
        <f t="shared" ca="1" si="266"/>
        <v>2936.3154276406085</v>
      </c>
      <c r="AG630" s="306">
        <f t="shared" ca="1" si="288"/>
        <v>-10.247714702968569</v>
      </c>
      <c r="AH630" s="304">
        <f t="shared" ca="1" si="289"/>
        <v>-0.97226286510899373</v>
      </c>
    </row>
    <row r="631" spans="1:34" x14ac:dyDescent="0.2">
      <c r="A631" s="347">
        <f t="shared" ca="1" si="267"/>
        <v>0.1</v>
      </c>
      <c r="B631" s="304">
        <f t="shared" ca="1" si="268"/>
        <v>17.699999999999921</v>
      </c>
      <c r="D631" s="306">
        <f t="shared" ca="1" si="269"/>
        <v>-0.30937424415889081</v>
      </c>
      <c r="E631" s="307">
        <f t="shared" ca="1" si="270"/>
        <v>-10.689850420532297</v>
      </c>
      <c r="F631" s="304">
        <f t="shared" ca="1" si="271"/>
        <v>10.69432627313677</v>
      </c>
      <c r="G631" s="306">
        <f t="shared" ca="1" si="272"/>
        <v>16.321578613226134</v>
      </c>
      <c r="H631" s="307">
        <f t="shared" ca="1" si="273"/>
        <v>45.43704570913976</v>
      </c>
      <c r="I631" s="304">
        <f t="shared" ca="1" si="274"/>
        <v>48.279592492089002</v>
      </c>
      <c r="J631" s="306">
        <f t="shared" ca="1" si="275"/>
        <v>400.31688038937904</v>
      </c>
      <c r="K631" s="307">
        <f t="shared" ca="1" si="276"/>
        <v>2940.912581463625</v>
      </c>
      <c r="L631" s="304">
        <f t="shared" ca="1" si="261"/>
        <v>2968.0330888545914</v>
      </c>
      <c r="M631" s="306">
        <f t="shared" ca="1" si="277"/>
        <v>1.2259376059930656</v>
      </c>
      <c r="N631" s="304">
        <f t="shared" ca="1" si="278"/>
        <v>70.241050769774674</v>
      </c>
      <c r="P631" s="310">
        <f t="shared" ca="1" si="279"/>
        <v>23</v>
      </c>
      <c r="Q631" s="304">
        <f t="shared" ca="1" si="280"/>
        <v>0</v>
      </c>
      <c r="R631" s="306">
        <f t="shared" ca="1" si="281"/>
        <v>0</v>
      </c>
      <c r="S631" s="307">
        <f t="shared" ca="1" si="282"/>
        <v>6.4679999999999849</v>
      </c>
      <c r="T631" s="304">
        <f t="shared" ca="1" si="262"/>
        <v>63.451079999999855</v>
      </c>
      <c r="U631" s="311">
        <f t="shared" ca="1" si="263"/>
        <v>0</v>
      </c>
      <c r="V631" s="306">
        <f t="shared" ca="1" si="264"/>
        <v>0.91092200510768928</v>
      </c>
      <c r="W631" s="304">
        <f t="shared" ca="1" si="265"/>
        <v>5.7832279145012615</v>
      </c>
      <c r="Y631" s="314" t="str">
        <f t="shared" ca="1" si="283"/>
        <v/>
      </c>
      <c r="Z631" s="315" t="str">
        <f t="shared" ca="1" si="284"/>
        <v/>
      </c>
      <c r="AA631" s="316" t="str">
        <f t="shared" ca="1" si="285"/>
        <v/>
      </c>
      <c r="AC631" s="310" t="e">
        <f t="shared" ca="1" si="286"/>
        <v>#N/A</v>
      </c>
      <c r="AD631" s="323" t="e">
        <f t="shared" ca="1" si="287"/>
        <v>#N/A</v>
      </c>
      <c r="AE631" s="324">
        <f t="shared" ca="1" si="266"/>
        <v>2940.912581463625</v>
      </c>
      <c r="AG631" s="306">
        <f t="shared" ca="1" si="288"/>
        <v>-10.18721913094222</v>
      </c>
      <c r="AH631" s="304">
        <f t="shared" ca="1" si="289"/>
        <v>-0.93265705672543153</v>
      </c>
    </row>
    <row r="632" spans="1:34" x14ac:dyDescent="0.2">
      <c r="A632" s="347">
        <f t="shared" ca="1" si="267"/>
        <v>0.1</v>
      </c>
      <c r="B632" s="304">
        <f t="shared" ca="1" si="268"/>
        <v>17.799999999999923</v>
      </c>
      <c r="D632" s="306">
        <f t="shared" ca="1" si="269"/>
        <v>-0.30227265606391557</v>
      </c>
      <c r="E632" s="307">
        <f t="shared" ca="1" si="270"/>
        <v>-10.651485791029405</v>
      </c>
      <c r="F632" s="304">
        <f t="shared" ca="1" si="271"/>
        <v>10.655773942567722</v>
      </c>
      <c r="G632" s="306">
        <f t="shared" ca="1" si="272"/>
        <v>16.291351347619742</v>
      </c>
      <c r="H632" s="307">
        <f t="shared" ca="1" si="273"/>
        <v>44.371897130036821</v>
      </c>
      <c r="I632" s="304">
        <f t="shared" ca="1" si="274"/>
        <v>47.268101121688417</v>
      </c>
      <c r="J632" s="306">
        <f t="shared" ca="1" si="275"/>
        <v>401.9475268874213</v>
      </c>
      <c r="K632" s="307">
        <f t="shared" ca="1" si="276"/>
        <v>2945.4030286055836</v>
      </c>
      <c r="L632" s="304">
        <f t="shared" ca="1" si="261"/>
        <v>2972.7026113100947</v>
      </c>
      <c r="M632" s="306">
        <f t="shared" ca="1" si="277"/>
        <v>1.2189213895188717</v>
      </c>
      <c r="N632" s="304">
        <f t="shared" ca="1" si="278"/>
        <v>69.839051177653204</v>
      </c>
      <c r="P632" s="310">
        <f t="shared" ca="1" si="279"/>
        <v>23</v>
      </c>
      <c r="Q632" s="304">
        <f t="shared" ca="1" si="280"/>
        <v>0</v>
      </c>
      <c r="R632" s="306">
        <f t="shared" ca="1" si="281"/>
        <v>0</v>
      </c>
      <c r="S632" s="307">
        <f t="shared" ca="1" si="282"/>
        <v>6.4679999999999849</v>
      </c>
      <c r="T632" s="304">
        <f t="shared" ca="1" si="262"/>
        <v>63.451079999999855</v>
      </c>
      <c r="U632" s="311">
        <f t="shared" ca="1" si="263"/>
        <v>0</v>
      </c>
      <c r="V632" s="306">
        <f t="shared" ca="1" si="264"/>
        <v>0.9105040022139802</v>
      </c>
      <c r="W632" s="304">
        <f t="shared" ca="1" si="265"/>
        <v>5.5408972167767692</v>
      </c>
      <c r="Y632" s="314" t="str">
        <f t="shared" ca="1" si="283"/>
        <v/>
      </c>
      <c r="Z632" s="315" t="str">
        <f t="shared" ca="1" si="284"/>
        <v/>
      </c>
      <c r="AA632" s="316" t="str">
        <f t="shared" ca="1" si="285"/>
        <v/>
      </c>
      <c r="AC632" s="310" t="e">
        <f t="shared" ca="1" si="286"/>
        <v>#N/A</v>
      </c>
      <c r="AD632" s="323" t="e">
        <f t="shared" ca="1" si="287"/>
        <v>#N/A</v>
      </c>
      <c r="AE632" s="324">
        <f t="shared" ca="1" si="266"/>
        <v>2945.4030286055836</v>
      </c>
      <c r="AG632" s="306">
        <f t="shared" ca="1" si="288"/>
        <v>-10.126548059740619</v>
      </c>
      <c r="AH632" s="304">
        <f t="shared" ca="1" si="289"/>
        <v>-0.89412923848195347</v>
      </c>
    </row>
    <row r="633" spans="1:34" x14ac:dyDescent="0.2">
      <c r="A633" s="347">
        <f t="shared" ca="1" si="267"/>
        <v>0.1</v>
      </c>
      <c r="B633" s="304">
        <f t="shared" ca="1" si="268"/>
        <v>17.899999999999924</v>
      </c>
      <c r="D633" s="306">
        <f t="shared" ca="1" si="269"/>
        <v>-0.29525620741605935</v>
      </c>
      <c r="E633" s="307">
        <f t="shared" ca="1" si="270"/>
        <v>-10.614173808723629</v>
      </c>
      <c r="F633" s="304">
        <f t="shared" ca="1" si="271"/>
        <v>10.618279609701959</v>
      </c>
      <c r="G633" s="306">
        <f t="shared" ca="1" si="272"/>
        <v>16.261825726878136</v>
      </c>
      <c r="H633" s="307">
        <f t="shared" ca="1" si="273"/>
        <v>43.310479749164458</v>
      </c>
      <c r="I633" s="304">
        <f t="shared" ca="1" si="274"/>
        <v>46.262778041035759</v>
      </c>
      <c r="J633" s="306">
        <f t="shared" ca="1" si="275"/>
        <v>403.57518574114619</v>
      </c>
      <c r="K633" s="307">
        <f t="shared" ca="1" si="276"/>
        <v>2949.7871474495437</v>
      </c>
      <c r="L633" s="304">
        <f t="shared" ca="1" si="261"/>
        <v>2977.2667239944285</v>
      </c>
      <c r="M633" s="306">
        <f t="shared" ca="1" si="277"/>
        <v>1.2116128580803269</v>
      </c>
      <c r="N633" s="304">
        <f t="shared" ca="1" si="278"/>
        <v>69.420303171785918</v>
      </c>
      <c r="P633" s="310">
        <f t="shared" ca="1" si="279"/>
        <v>23</v>
      </c>
      <c r="Q633" s="304">
        <f t="shared" ca="1" si="280"/>
        <v>0</v>
      </c>
      <c r="R633" s="306">
        <f t="shared" ca="1" si="281"/>
        <v>0</v>
      </c>
      <c r="S633" s="307">
        <f t="shared" ca="1" si="282"/>
        <v>6.4679999999999849</v>
      </c>
      <c r="T633" s="304">
        <f t="shared" ca="1" si="262"/>
        <v>63.451079999999855</v>
      </c>
      <c r="U633" s="311">
        <f t="shared" ca="1" si="263"/>
        <v>0</v>
      </c>
      <c r="V633" s="306">
        <f t="shared" ca="1" si="264"/>
        <v>0.91009605492988077</v>
      </c>
      <c r="W633" s="304">
        <f t="shared" ca="1" si="265"/>
        <v>5.3053320579233691</v>
      </c>
      <c r="Y633" s="314" t="str">
        <f t="shared" ca="1" si="283"/>
        <v/>
      </c>
      <c r="Z633" s="315" t="str">
        <f t="shared" ca="1" si="284"/>
        <v/>
      </c>
      <c r="AA633" s="316" t="str">
        <f t="shared" ca="1" si="285"/>
        <v/>
      </c>
      <c r="AC633" s="310" t="e">
        <f t="shared" ca="1" si="286"/>
        <v>#N/A</v>
      </c>
      <c r="AD633" s="323" t="e">
        <f t="shared" ca="1" si="287"/>
        <v>#N/A</v>
      </c>
      <c r="AE633" s="324">
        <f t="shared" ca="1" si="266"/>
        <v>2949.7871474495437</v>
      </c>
      <c r="AG633" s="306">
        <f t="shared" ca="1" si="288"/>
        <v>-10.065586297802223</v>
      </c>
      <c r="AH633" s="304">
        <f t="shared" ca="1" si="289"/>
        <v>-0.85666314421409739</v>
      </c>
    </row>
    <row r="634" spans="1:34" x14ac:dyDescent="0.2">
      <c r="A634" s="347">
        <f t="shared" ca="1" si="267"/>
        <v>0.1</v>
      </c>
      <c r="B634" s="304">
        <f t="shared" ca="1" si="268"/>
        <v>17.999999999999925</v>
      </c>
      <c r="D634" s="306">
        <f t="shared" ca="1" si="269"/>
        <v>-0.28832357510846562</v>
      </c>
      <c r="E634" s="307">
        <f t="shared" ca="1" si="270"/>
        <v>-10.57789854784277</v>
      </c>
      <c r="F634" s="304">
        <f t="shared" ca="1" si="271"/>
        <v>10.581827260564099</v>
      </c>
      <c r="G634" s="306">
        <f t="shared" ca="1" si="272"/>
        <v>16.232993369367289</v>
      </c>
      <c r="H634" s="307">
        <f t="shared" ca="1" si="273"/>
        <v>42.252689894380183</v>
      </c>
      <c r="I634" s="304">
        <f t="shared" ca="1" si="274"/>
        <v>45.263670609447701</v>
      </c>
      <c r="J634" s="306">
        <f t="shared" ca="1" si="275"/>
        <v>405.19992669595848</v>
      </c>
      <c r="K634" s="307">
        <f t="shared" ca="1" si="276"/>
        <v>2954.065305931721</v>
      </c>
      <c r="L634" s="304">
        <f t="shared" ca="1" si="261"/>
        <v>2981.7258110537064</v>
      </c>
      <c r="M634" s="306">
        <f t="shared" ca="1" si="277"/>
        <v>1.2039945061154058</v>
      </c>
      <c r="N634" s="304">
        <f t="shared" ca="1" si="278"/>
        <v>68.983803757350742</v>
      </c>
      <c r="P634" s="310">
        <f t="shared" ca="1" si="279"/>
        <v>23</v>
      </c>
      <c r="Q634" s="304">
        <f t="shared" ca="1" si="280"/>
        <v>0</v>
      </c>
      <c r="R634" s="306">
        <f t="shared" ca="1" si="281"/>
        <v>0</v>
      </c>
      <c r="S634" s="307">
        <f t="shared" ca="1" si="282"/>
        <v>6.4679999999999849</v>
      </c>
      <c r="T634" s="304">
        <f t="shared" ca="1" si="262"/>
        <v>63.451079999999855</v>
      </c>
      <c r="U634" s="311">
        <f t="shared" ca="1" si="263"/>
        <v>0</v>
      </c>
      <c r="V634" s="306">
        <f t="shared" ca="1" si="264"/>
        <v>0.9096981176069745</v>
      </c>
      <c r="W634" s="304">
        <f t="shared" ca="1" si="265"/>
        <v>5.0764341675707119</v>
      </c>
      <c r="Y634" s="314" t="str">
        <f t="shared" ca="1" si="283"/>
        <v/>
      </c>
      <c r="Z634" s="315" t="str">
        <f t="shared" ca="1" si="284"/>
        <v/>
      </c>
      <c r="AA634" s="316" t="str">
        <f t="shared" ca="1" si="285"/>
        <v/>
      </c>
      <c r="AC634" s="310">
        <f t="shared" ca="1" si="286"/>
        <v>17.999999999999925</v>
      </c>
      <c r="AD634" s="323">
        <f t="shared" ca="1" si="287"/>
        <v>405.19992669595848</v>
      </c>
      <c r="AE634" s="324">
        <f t="shared" ca="1" si="266"/>
        <v>2954.065305931721</v>
      </c>
      <c r="AG634" s="306">
        <f t="shared" ca="1" si="288"/>
        <v>-10.004209608119393</v>
      </c>
      <c r="AH634" s="304">
        <f t="shared" ca="1" si="289"/>
        <v>-0.82024305162699163</v>
      </c>
    </row>
    <row r="635" spans="1:34" x14ac:dyDescent="0.2">
      <c r="A635" s="347">
        <f t="shared" ca="1" si="267"/>
        <v>0.1</v>
      </c>
      <c r="B635" s="304">
        <f t="shared" ca="1" si="268"/>
        <v>18.099999999999927</v>
      </c>
      <c r="D635" s="306">
        <f t="shared" ca="1" si="269"/>
        <v>-0.28147354888927051</v>
      </c>
      <c r="E635" s="307">
        <f t="shared" ca="1" si="270"/>
        <v>-10.54264457787138</v>
      </c>
      <c r="F635" s="304">
        <f t="shared" ca="1" si="271"/>
        <v>10.546401379335283</v>
      </c>
      <c r="G635" s="306">
        <f t="shared" ca="1" si="272"/>
        <v>16.204846014478363</v>
      </c>
      <c r="H635" s="307">
        <f t="shared" ca="1" si="273"/>
        <v>41.198425436593041</v>
      </c>
      <c r="I635" s="304">
        <f t="shared" ca="1" si="274"/>
        <v>44.270840208962284</v>
      </c>
      <c r="J635" s="306">
        <f t="shared" ca="1" si="275"/>
        <v>406.82181866515077</v>
      </c>
      <c r="K635" s="307">
        <f t="shared" ca="1" si="276"/>
        <v>2958.2378616982696</v>
      </c>
      <c r="L635" s="304">
        <f t="shared" ca="1" si="261"/>
        <v>2986.0802464982708</v>
      </c>
      <c r="M635" s="306">
        <f t="shared" ca="1" si="277"/>
        <v>1.1960474797140821</v>
      </c>
      <c r="N635" s="304">
        <f t="shared" ca="1" si="278"/>
        <v>68.528472684875851</v>
      </c>
      <c r="P635" s="310">
        <f t="shared" ca="1" si="279"/>
        <v>23</v>
      </c>
      <c r="Q635" s="304">
        <f t="shared" ca="1" si="280"/>
        <v>0</v>
      </c>
      <c r="R635" s="306">
        <f t="shared" ca="1" si="281"/>
        <v>0</v>
      </c>
      <c r="S635" s="307">
        <f t="shared" ca="1" si="282"/>
        <v>6.4679999999999849</v>
      </c>
      <c r="T635" s="304">
        <f t="shared" ca="1" si="262"/>
        <v>63.451079999999855</v>
      </c>
      <c r="U635" s="311">
        <f t="shared" ca="1" si="263"/>
        <v>0</v>
      </c>
      <c r="V635" s="306">
        <f t="shared" ca="1" si="264"/>
        <v>0.90931014589093428</v>
      </c>
      <c r="W635" s="304">
        <f t="shared" ca="1" si="265"/>
        <v>4.854108604356635</v>
      </c>
      <c r="Y635" s="314" t="str">
        <f t="shared" ca="1" si="283"/>
        <v/>
      </c>
      <c r="Z635" s="315" t="str">
        <f t="shared" ca="1" si="284"/>
        <v/>
      </c>
      <c r="AA635" s="316" t="str">
        <f t="shared" ca="1" si="285"/>
        <v/>
      </c>
      <c r="AC635" s="310" t="e">
        <f t="shared" ca="1" si="286"/>
        <v>#N/A</v>
      </c>
      <c r="AD635" s="323" t="e">
        <f t="shared" ca="1" si="287"/>
        <v>#N/A</v>
      </c>
      <c r="AE635" s="324">
        <f t="shared" ca="1" si="266"/>
        <v>2958.2378616982696</v>
      </c>
      <c r="AG635" s="306">
        <f t="shared" ca="1" si="288"/>
        <v>-9.9422836064538735</v>
      </c>
      <c r="AH635" s="304">
        <f t="shared" ca="1" si="289"/>
        <v>-0.78485376740425539</v>
      </c>
    </row>
    <row r="636" spans="1:34" x14ac:dyDescent="0.2">
      <c r="A636" s="347">
        <f t="shared" ca="1" si="267"/>
        <v>0.1</v>
      </c>
      <c r="B636" s="304">
        <f t="shared" ca="1" si="268"/>
        <v>18.199999999999928</v>
      </c>
      <c r="D636" s="306">
        <f t="shared" ca="1" si="269"/>
        <v>-0.27470503635783977</v>
      </c>
      <c r="E636" s="307">
        <f t="shared" ca="1" si="270"/>
        <v>-10.508396945415798</v>
      </c>
      <c r="F636" s="304">
        <f t="shared" ca="1" si="271"/>
        <v>10.511986930139537</v>
      </c>
      <c r="G636" s="306">
        <f t="shared" ca="1" si="272"/>
        <v>16.17737551084258</v>
      </c>
      <c r="H636" s="307">
        <f t="shared" ca="1" si="273"/>
        <v>40.147585742051461</v>
      </c>
      <c r="I636" s="304">
        <f t="shared" ca="1" si="274"/>
        <v>43.28436345072182</v>
      </c>
      <c r="J636" s="306">
        <f t="shared" ca="1" si="275"/>
        <v>408.44092974141682</v>
      </c>
      <c r="K636" s="307">
        <f t="shared" ca="1" si="276"/>
        <v>2962.305162257202</v>
      </c>
      <c r="L636" s="304">
        <f t="shared" ca="1" si="261"/>
        <v>2990.330394358406</v>
      </c>
      <c r="M636" s="306">
        <f t="shared" ca="1" si="277"/>
        <v>1.1877514538369611</v>
      </c>
      <c r="N636" s="304">
        <f t="shared" ca="1" si="278"/>
        <v>68.053145415385501</v>
      </c>
      <c r="P636" s="310">
        <f t="shared" ca="1" si="279"/>
        <v>23</v>
      </c>
      <c r="Q636" s="304">
        <f t="shared" ca="1" si="280"/>
        <v>0</v>
      </c>
      <c r="R636" s="306">
        <f t="shared" ca="1" si="281"/>
        <v>0</v>
      </c>
      <c r="S636" s="307">
        <f t="shared" ca="1" si="282"/>
        <v>6.4679999999999849</v>
      </c>
      <c r="T636" s="304">
        <f t="shared" ca="1" si="262"/>
        <v>63.451079999999855</v>
      </c>
      <c r="U636" s="311">
        <f t="shared" ca="1" si="263"/>
        <v>0</v>
      </c>
      <c r="V636" s="306">
        <f t="shared" ca="1" si="264"/>
        <v>0.90893209670170971</v>
      </c>
      <c r="W636" s="304">
        <f t="shared" ca="1" si="265"/>
        <v>4.6382636672313842</v>
      </c>
      <c r="Y636" s="314" t="str">
        <f t="shared" ca="1" si="283"/>
        <v/>
      </c>
      <c r="Z636" s="315" t="str">
        <f t="shared" ca="1" si="284"/>
        <v/>
      </c>
      <c r="AA636" s="316" t="str">
        <f t="shared" ca="1" si="285"/>
        <v/>
      </c>
      <c r="AC636" s="310" t="e">
        <f t="shared" ca="1" si="286"/>
        <v>#N/A</v>
      </c>
      <c r="AD636" s="323" t="e">
        <f t="shared" ca="1" si="287"/>
        <v>#N/A</v>
      </c>
      <c r="AE636" s="324">
        <f t="shared" ca="1" si="266"/>
        <v>2962.305162257202</v>
      </c>
      <c r="AG636" s="306">
        <f t="shared" ca="1" si="288"/>
        <v>-9.8796625219430769</v>
      </c>
      <c r="AH636" s="304">
        <f t="shared" ca="1" si="289"/>
        <v>-0.75048061291846724</v>
      </c>
    </row>
    <row r="637" spans="1:34" x14ac:dyDescent="0.2">
      <c r="A637" s="347">
        <f t="shared" ca="1" si="267"/>
        <v>0.1</v>
      </c>
      <c r="B637" s="304">
        <f t="shared" ca="1" si="268"/>
        <v>18.29999999999993</v>
      </c>
      <c r="D637" s="306">
        <f t="shared" ca="1" si="269"/>
        <v>-0.26801706878555515</v>
      </c>
      <c r="E637" s="307">
        <f t="shared" ca="1" si="270"/>
        <v>-10.475141156066355</v>
      </c>
      <c r="F637" s="304">
        <f t="shared" ca="1" si="271"/>
        <v>10.478569338830352</v>
      </c>
      <c r="G637" s="306">
        <f t="shared" ca="1" si="272"/>
        <v>16.150573803964026</v>
      </c>
      <c r="H637" s="307">
        <f t="shared" ca="1" si="273"/>
        <v>39.100071626444823</v>
      </c>
      <c r="I637" s="304">
        <f t="shared" ca="1" si="274"/>
        <v>42.304333529679965</v>
      </c>
      <c r="J637" s="306">
        <f t="shared" ca="1" si="275"/>
        <v>410.05732720715713</v>
      </c>
      <c r="K637" s="307">
        <f t="shared" ca="1" si="276"/>
        <v>2966.2675451256268</v>
      </c>
      <c r="L637" s="304">
        <f t="shared" ca="1" si="261"/>
        <v>2994.4766088353222</v>
      </c>
      <c r="M637" s="306">
        <f t="shared" ca="1" si="277"/>
        <v>1.1790844973049479</v>
      </c>
      <c r="N637" s="304">
        <f t="shared" ca="1" si="278"/>
        <v>67.5565653848778</v>
      </c>
      <c r="P637" s="310">
        <f t="shared" ca="1" si="279"/>
        <v>23</v>
      </c>
      <c r="Q637" s="304">
        <f t="shared" ca="1" si="280"/>
        <v>0</v>
      </c>
      <c r="R637" s="306">
        <f t="shared" ca="1" si="281"/>
        <v>0</v>
      </c>
      <c r="S637" s="307">
        <f t="shared" ca="1" si="282"/>
        <v>6.4679999999999849</v>
      </c>
      <c r="T637" s="304">
        <f t="shared" ca="1" si="262"/>
        <v>63.451079999999855</v>
      </c>
      <c r="U637" s="311">
        <f t="shared" ca="1" si="263"/>
        <v>0</v>
      </c>
      <c r="V637" s="306">
        <f t="shared" ca="1" si="264"/>
        <v>0.9085639282143515</v>
      </c>
      <c r="W637" s="304">
        <f t="shared" ca="1" si="265"/>
        <v>4.4288108103351709</v>
      </c>
      <c r="Y637" s="314" t="str">
        <f t="shared" ca="1" si="283"/>
        <v/>
      </c>
      <c r="Z637" s="315" t="str">
        <f t="shared" ca="1" si="284"/>
        <v/>
      </c>
      <c r="AA637" s="316" t="str">
        <f t="shared" ca="1" si="285"/>
        <v/>
      </c>
      <c r="AC637" s="310" t="e">
        <f t="shared" ca="1" si="286"/>
        <v>#N/A</v>
      </c>
      <c r="AD637" s="323" t="e">
        <f t="shared" ca="1" si="287"/>
        <v>#N/A</v>
      </c>
      <c r="AE637" s="324">
        <f t="shared" ca="1" si="266"/>
        <v>2966.2675451256268</v>
      </c>
      <c r="AG637" s="306">
        <f t="shared" ca="1" si="288"/>
        <v>-9.8161878012148467</v>
      </c>
      <c r="AH637" s="304">
        <f t="shared" ca="1" si="289"/>
        <v>-0.71710941051815014</v>
      </c>
    </row>
    <row r="638" spans="1:34" x14ac:dyDescent="0.2">
      <c r="A638" s="347">
        <f t="shared" ca="1" si="267"/>
        <v>0.1</v>
      </c>
      <c r="B638" s="304">
        <f t="shared" ca="1" si="268"/>
        <v>18.399999999999931</v>
      </c>
      <c r="D638" s="306">
        <f t="shared" ca="1" si="269"/>
        <v>-0.26140880785735515</v>
      </c>
      <c r="E638" s="307">
        <f t="shared" ca="1" si="270"/>
        <v>-10.442863156137367</v>
      </c>
      <c r="F638" s="304">
        <f t="shared" ca="1" si="271"/>
        <v>10.446134474657921</v>
      </c>
      <c r="G638" s="306">
        <f t="shared" ca="1" si="272"/>
        <v>16.12443292317829</v>
      </c>
      <c r="H638" s="307">
        <f t="shared" ca="1" si="273"/>
        <v>38.055785310831084</v>
      </c>
      <c r="I638" s="304">
        <f t="shared" ca="1" si="274"/>
        <v>41.330861746619107</v>
      </c>
      <c r="J638" s="306">
        <f t="shared" ca="1" si="275"/>
        <v>411.67107754351423</v>
      </c>
      <c r="K638" s="307">
        <f t="shared" ca="1" si="276"/>
        <v>2970.1253379724908</v>
      </c>
      <c r="L638" s="304">
        <f t="shared" ca="1" si="261"/>
        <v>2998.5192344475695</v>
      </c>
      <c r="M638" s="306">
        <f t="shared" ca="1" si="277"/>
        <v>1.1700229243833919</v>
      </c>
      <c r="N638" s="304">
        <f t="shared" ca="1" si="278"/>
        <v>67.037375500722618</v>
      </c>
      <c r="P638" s="310">
        <f t="shared" ca="1" si="279"/>
        <v>23</v>
      </c>
      <c r="Q638" s="304">
        <f t="shared" ca="1" si="280"/>
        <v>0</v>
      </c>
      <c r="R638" s="306">
        <f t="shared" ca="1" si="281"/>
        <v>0</v>
      </c>
      <c r="S638" s="307">
        <f t="shared" ca="1" si="282"/>
        <v>6.4679999999999849</v>
      </c>
      <c r="T638" s="304">
        <f t="shared" ca="1" si="262"/>
        <v>63.451079999999855</v>
      </c>
      <c r="U638" s="311">
        <f t="shared" ca="1" si="263"/>
        <v>0</v>
      </c>
      <c r="V638" s="306">
        <f t="shared" ca="1" si="264"/>
        <v>0.90820559984045324</v>
      </c>
      <c r="W638" s="304">
        <f t="shared" ca="1" si="265"/>
        <v>4.2256645612997357</v>
      </c>
      <c r="Y638" s="314" t="str">
        <f t="shared" ca="1" si="283"/>
        <v/>
      </c>
      <c r="Z638" s="315" t="str">
        <f t="shared" ca="1" si="284"/>
        <v/>
      </c>
      <c r="AA638" s="316" t="str">
        <f t="shared" ca="1" si="285"/>
        <v/>
      </c>
      <c r="AC638" s="310" t="e">
        <f t="shared" ca="1" si="286"/>
        <v>#N/A</v>
      </c>
      <c r="AD638" s="323" t="e">
        <f t="shared" ca="1" si="287"/>
        <v>#N/A</v>
      </c>
      <c r="AE638" s="324">
        <f t="shared" ca="1" si="266"/>
        <v>2970.1253379724908</v>
      </c>
      <c r="AG638" s="306">
        <f t="shared" ca="1" si="288"/>
        <v>-9.751686534548746</v>
      </c>
      <c r="AH638" s="304">
        <f t="shared" ca="1" si="289"/>
        <v>-0.68472647036722034</v>
      </c>
    </row>
    <row r="639" spans="1:34" x14ac:dyDescent="0.2">
      <c r="A639" s="347">
        <f t="shared" ca="1" si="267"/>
        <v>0.1</v>
      </c>
      <c r="B639" s="304">
        <f t="shared" ca="1" si="268"/>
        <v>18.499999999999932</v>
      </c>
      <c r="D639" s="306">
        <f t="shared" ca="1" si="269"/>
        <v>-0.25487955344378449</v>
      </c>
      <c r="E639" s="307">
        <f t="shared" ca="1" si="270"/>
        <v>-10.411549314148859</v>
      </c>
      <c r="F639" s="304">
        <f t="shared" ca="1" si="271"/>
        <v>10.414668631680859</v>
      </c>
      <c r="G639" s="306">
        <f t="shared" ca="1" si="272"/>
        <v>16.098944967833912</v>
      </c>
      <c r="H639" s="307">
        <f t="shared" ca="1" si="273"/>
        <v>37.014630379416197</v>
      </c>
      <c r="I639" s="304">
        <f t="shared" ca="1" si="274"/>
        <v>40.364079219054972</v>
      </c>
      <c r="J639" s="306">
        <f t="shared" ca="1" si="275"/>
        <v>413.28224643806482</v>
      </c>
      <c r="K639" s="307">
        <f t="shared" ca="1" si="276"/>
        <v>2973.8788587570029</v>
      </c>
      <c r="L639" s="304">
        <f t="shared" ca="1" si="261"/>
        <v>3002.458606173072</v>
      </c>
      <c r="M639" s="306">
        <f t="shared" ca="1" si="277"/>
        <v>1.160541131716518</v>
      </c>
      <c r="N639" s="304">
        <f t="shared" ca="1" si="278"/>
        <v>66.494108798692636</v>
      </c>
      <c r="P639" s="310">
        <f t="shared" ca="1" si="279"/>
        <v>23</v>
      </c>
      <c r="Q639" s="304">
        <f t="shared" ca="1" si="280"/>
        <v>0</v>
      </c>
      <c r="R639" s="306">
        <f t="shared" ca="1" si="281"/>
        <v>0</v>
      </c>
      <c r="S639" s="307">
        <f t="shared" ca="1" si="282"/>
        <v>6.4679999999999849</v>
      </c>
      <c r="T639" s="304">
        <f t="shared" ca="1" si="262"/>
        <v>63.451079999999855</v>
      </c>
      <c r="U639" s="311">
        <f t="shared" ca="1" si="263"/>
        <v>0</v>
      </c>
      <c r="V639" s="306">
        <f t="shared" ca="1" si="264"/>
        <v>0.90785707221018841</v>
      </c>
      <c r="W639" s="304">
        <f t="shared" ca="1" si="265"/>
        <v>4.0287424428299845</v>
      </c>
      <c r="Y639" s="314" t="str">
        <f t="shared" ca="1" si="283"/>
        <v/>
      </c>
      <c r="Z639" s="315" t="str">
        <f t="shared" ca="1" si="284"/>
        <v/>
      </c>
      <c r="AA639" s="316" t="str">
        <f t="shared" ca="1" si="285"/>
        <v/>
      </c>
      <c r="AC639" s="310" t="e">
        <f t="shared" ca="1" si="286"/>
        <v>#N/A</v>
      </c>
      <c r="AD639" s="323" t="e">
        <f t="shared" ca="1" si="287"/>
        <v>#N/A</v>
      </c>
      <c r="AE639" s="324">
        <f t="shared" ca="1" si="266"/>
        <v>2973.8788587570029</v>
      </c>
      <c r="AG639" s="306">
        <f t="shared" ca="1" si="288"/>
        <v>-9.6859696797422981</v>
      </c>
      <c r="AH639" s="304">
        <f t="shared" ca="1" si="289"/>
        <v>-0.65331857781381353</v>
      </c>
    </row>
    <row r="640" spans="1:34" x14ac:dyDescent="0.2">
      <c r="A640" s="347">
        <f t="shared" ca="1" si="267"/>
        <v>0.1</v>
      </c>
      <c r="B640" s="304">
        <f t="shared" ca="1" si="268"/>
        <v>18.599999999999934</v>
      </c>
      <c r="D640" s="306">
        <f t="shared" ca="1" si="269"/>
        <v>-0.24842875252860769</v>
      </c>
      <c r="E640" s="307">
        <f t="shared" ca="1" si="270"/>
        <v>-10.381186401893958</v>
      </c>
      <c r="F640" s="304">
        <f t="shared" ca="1" si="271"/>
        <v>10.384158509766255</v>
      </c>
      <c r="G640" s="306">
        <f t="shared" ca="1" si="272"/>
        <v>16.07410209258105</v>
      </c>
      <c r="H640" s="307">
        <f t="shared" ca="1" si="273"/>
        <v>35.976511739226801</v>
      </c>
      <c r="I640" s="304">
        <f t="shared" ca="1" si="274"/>
        <v>39.404138805529584</v>
      </c>
      <c r="J640" s="306">
        <f t="shared" ca="1" si="275"/>
        <v>414.89089879108559</v>
      </c>
      <c r="K640" s="307">
        <f t="shared" ca="1" si="276"/>
        <v>2977.5284158629352</v>
      </c>
      <c r="L640" s="304">
        <f t="shared" ca="1" si="261"/>
        <v>3006.2950495869354</v>
      </c>
      <c r="M640" s="306">
        <f t="shared" ca="1" si="277"/>
        <v>1.1506114193166721</v>
      </c>
      <c r="N640" s="304">
        <f t="shared" ca="1" si="278"/>
        <v>65.925178186402761</v>
      </c>
      <c r="P640" s="310">
        <f t="shared" ca="1" si="279"/>
        <v>23</v>
      </c>
      <c r="Q640" s="304">
        <f t="shared" ca="1" si="280"/>
        <v>0</v>
      </c>
      <c r="R640" s="306">
        <f t="shared" ca="1" si="281"/>
        <v>0</v>
      </c>
      <c r="S640" s="307">
        <f t="shared" ca="1" si="282"/>
        <v>6.4679999999999849</v>
      </c>
      <c r="T640" s="304">
        <f t="shared" ca="1" si="262"/>
        <v>63.451079999999855</v>
      </c>
      <c r="U640" s="311">
        <f t="shared" ca="1" si="263"/>
        <v>0</v>
      </c>
      <c r="V640" s="306">
        <f t="shared" ca="1" si="264"/>
        <v>0.90751830715491577</v>
      </c>
      <c r="W640" s="304">
        <f t="shared" ca="1" si="265"/>
        <v>3.8379648974266845</v>
      </c>
      <c r="Y640" s="314" t="str">
        <f t="shared" ca="1" si="283"/>
        <v/>
      </c>
      <c r="Z640" s="315" t="str">
        <f t="shared" ca="1" si="284"/>
        <v/>
      </c>
      <c r="AA640" s="316" t="str">
        <f t="shared" ca="1" si="285"/>
        <v/>
      </c>
      <c r="AC640" s="310" t="e">
        <f t="shared" ca="1" si="286"/>
        <v>#N/A</v>
      </c>
      <c r="AD640" s="323" t="e">
        <f t="shared" ca="1" si="287"/>
        <v>#N/A</v>
      </c>
      <c r="AE640" s="324">
        <f t="shared" ca="1" si="266"/>
        <v>2977.5284158629352</v>
      </c>
      <c r="AG640" s="306">
        <f t="shared" ca="1" si="288"/>
        <v>-9.6188300561561064</v>
      </c>
      <c r="AH640" s="304">
        <f t="shared" ca="1" si="289"/>
        <v>-0.62287298126623281</v>
      </c>
    </row>
    <row r="641" spans="1:34" x14ac:dyDescent="0.2">
      <c r="A641" s="347">
        <f t="shared" ca="1" si="267"/>
        <v>0.1</v>
      </c>
      <c r="B641" s="304">
        <f t="shared" ca="1" si="268"/>
        <v>18.699999999999935</v>
      </c>
      <c r="D641" s="306">
        <f t="shared" ca="1" si="269"/>
        <v>-0.24205600943430203</v>
      </c>
      <c r="E641" s="307">
        <f t="shared" ca="1" si="270"/>
        <v>-10.351761574911414</v>
      </c>
      <c r="F641" s="304">
        <f t="shared" ca="1" si="271"/>
        <v>10.354591194997305</v>
      </c>
      <c r="G641" s="306">
        <f t="shared" ca="1" si="272"/>
        <v>16.049896491637622</v>
      </c>
      <c r="H641" s="307">
        <f t="shared" ca="1" si="273"/>
        <v>34.941335581735657</v>
      </c>
      <c r="I641" s="304">
        <f t="shared" ca="1" si="274"/>
        <v>38.451217271079315</v>
      </c>
      <c r="J641" s="306">
        <f t="shared" ca="1" si="275"/>
        <v>416.49709872029655</v>
      </c>
      <c r="K641" s="307">
        <f t="shared" ca="1" si="276"/>
        <v>2981.0743082289832</v>
      </c>
      <c r="L641" s="304">
        <f t="shared" ca="1" si="261"/>
        <v>3010.0288809952199</v>
      </c>
      <c r="M641" s="306">
        <f t="shared" ca="1" si="277"/>
        <v>1.1402037942882715</v>
      </c>
      <c r="N641" s="304">
        <f t="shared" ca="1" si="278"/>
        <v>65.32886519752067</v>
      </c>
      <c r="P641" s="310">
        <f t="shared" ca="1" si="279"/>
        <v>23</v>
      </c>
      <c r="Q641" s="304">
        <f t="shared" ca="1" si="280"/>
        <v>0</v>
      </c>
      <c r="R641" s="306">
        <f t="shared" ca="1" si="281"/>
        <v>0</v>
      </c>
      <c r="S641" s="307">
        <f t="shared" ca="1" si="282"/>
        <v>6.4679999999999849</v>
      </c>
      <c r="T641" s="304">
        <f t="shared" ca="1" si="262"/>
        <v>63.451079999999855</v>
      </c>
      <c r="U641" s="311">
        <f t="shared" ca="1" si="263"/>
        <v>0</v>
      </c>
      <c r="V641" s="306">
        <f t="shared" ca="1" si="264"/>
        <v>0.90718926769033803</v>
      </c>
      <c r="W641" s="304">
        <f t="shared" ca="1" si="265"/>
        <v>3.6532552151155682</v>
      </c>
      <c r="Y641" s="314" t="str">
        <f t="shared" ca="1" si="283"/>
        <v/>
      </c>
      <c r="Z641" s="315" t="str">
        <f t="shared" ca="1" si="284"/>
        <v/>
      </c>
      <c r="AA641" s="316" t="str">
        <f t="shared" ca="1" si="285"/>
        <v/>
      </c>
      <c r="AC641" s="310" t="e">
        <f t="shared" ca="1" si="286"/>
        <v>#N/A</v>
      </c>
      <c r="AD641" s="323" t="e">
        <f t="shared" ca="1" si="287"/>
        <v>#N/A</v>
      </c>
      <c r="AE641" s="324">
        <f t="shared" ca="1" si="266"/>
        <v>2981.0743082289832</v>
      </c>
      <c r="AG641" s="306">
        <f t="shared" ca="1" si="288"/>
        <v>-9.5500400779331187</v>
      </c>
      <c r="AH641" s="304">
        <f t="shared" ca="1" si="289"/>
        <v>-0.59337738055452893</v>
      </c>
    </row>
    <row r="642" spans="1:34" x14ac:dyDescent="0.2">
      <c r="A642" s="347">
        <f t="shared" ca="1" si="267"/>
        <v>0.1</v>
      </c>
      <c r="B642" s="304">
        <f t="shared" ca="1" si="268"/>
        <v>18.799999999999937</v>
      </c>
      <c r="D642" s="306">
        <f t="shared" ca="1" si="269"/>
        <v>-0.23576109750709942</v>
      </c>
      <c r="E642" s="307">
        <f t="shared" ca="1" si="270"/>
        <v>-10.323262352153234</v>
      </c>
      <c r="F642" s="304">
        <f t="shared" ca="1" si="271"/>
        <v>10.325954139278466</v>
      </c>
      <c r="G642" s="306">
        <f t="shared" ca="1" si="272"/>
        <v>16.026320381886912</v>
      </c>
      <c r="H642" s="307">
        <f t="shared" ca="1" si="273"/>
        <v>33.909009346520335</v>
      </c>
      <c r="I642" s="304">
        <f t="shared" ca="1" si="274"/>
        <v>37.505517725333263</v>
      </c>
      <c r="J642" s="306">
        <f t="shared" ca="1" si="275"/>
        <v>418.10090956397278</v>
      </c>
      <c r="K642" s="307">
        <f t="shared" ca="1" si="276"/>
        <v>2984.5168254753962</v>
      </c>
      <c r="L642" s="304">
        <f t="shared" ca="1" si="261"/>
        <v>3013.6604075648534</v>
      </c>
      <c r="M642" s="306">
        <f t="shared" ca="1" si="277"/>
        <v>1.1292857559825096</v>
      </c>
      <c r="N642" s="304">
        <f t="shared" ca="1" si="278"/>
        <v>64.703307682038357</v>
      </c>
      <c r="P642" s="310">
        <f t="shared" ca="1" si="279"/>
        <v>23</v>
      </c>
      <c r="Q642" s="304">
        <f t="shared" ca="1" si="280"/>
        <v>0</v>
      </c>
      <c r="R642" s="306">
        <f t="shared" ca="1" si="281"/>
        <v>0</v>
      </c>
      <c r="S642" s="307">
        <f t="shared" ca="1" si="282"/>
        <v>6.4679999999999849</v>
      </c>
      <c r="T642" s="304">
        <f t="shared" ca="1" si="262"/>
        <v>63.451079999999855</v>
      </c>
      <c r="U642" s="311">
        <f t="shared" ca="1" si="263"/>
        <v>0</v>
      </c>
      <c r="V642" s="306">
        <f t="shared" ca="1" si="264"/>
        <v>0.90686991800018057</v>
      </c>
      <c r="W642" s="304">
        <f t="shared" ca="1" si="265"/>
        <v>3.4745394640517357</v>
      </c>
      <c r="Y642" s="314" t="str">
        <f t="shared" ca="1" si="283"/>
        <v/>
      </c>
      <c r="Z642" s="315" t="str">
        <f t="shared" ca="1" si="284"/>
        <v/>
      </c>
      <c r="AA642" s="316" t="str">
        <f t="shared" ca="1" si="285"/>
        <v/>
      </c>
      <c r="AC642" s="310" t="e">
        <f t="shared" ca="1" si="286"/>
        <v>#N/A</v>
      </c>
      <c r="AD642" s="323" t="e">
        <f t="shared" ca="1" si="287"/>
        <v>#N/A</v>
      </c>
      <c r="AE642" s="324">
        <f t="shared" ca="1" si="266"/>
        <v>2984.5168254753962</v>
      </c>
      <c r="AG642" s="306">
        <f t="shared" ca="1" si="288"/>
        <v>-9.4793491916516555</v>
      </c>
      <c r="AH642" s="304">
        <f t="shared" ca="1" si="289"/>
        <v>-0.56481991575689183</v>
      </c>
    </row>
    <row r="643" spans="1:34" x14ac:dyDescent="0.2">
      <c r="A643" s="347">
        <f t="shared" ca="1" si="267"/>
        <v>0.1</v>
      </c>
      <c r="B643" s="304">
        <f t="shared" ca="1" si="268"/>
        <v>18.899999999999938</v>
      </c>
      <c r="D643" s="306">
        <f t="shared" ca="1" si="269"/>
        <v>-0.22954397244483513</v>
      </c>
      <c r="E643" s="307">
        <f t="shared" ca="1" si="270"/>
        <v>-10.295676594601618</v>
      </c>
      <c r="F643" s="304">
        <f t="shared" ca="1" si="271"/>
        <v>10.298235138892165</v>
      </c>
      <c r="G643" s="306">
        <f t="shared" ca="1" si="272"/>
        <v>16.003365984642429</v>
      </c>
      <c r="H643" s="307">
        <f t="shared" ca="1" si="273"/>
        <v>32.879441687060172</v>
      </c>
      <c r="I643" s="304">
        <f t="shared" ca="1" si="274"/>
        <v>36.567272368761671</v>
      </c>
      <c r="J643" s="306">
        <f t="shared" ca="1" si="275"/>
        <v>419.70239388229925</v>
      </c>
      <c r="K643" s="307">
        <f t="shared" ca="1" si="276"/>
        <v>2987.8562480270753</v>
      </c>
      <c r="L643" s="304">
        <f t="shared" ca="1" si="261"/>
        <v>3017.1899274498719</v>
      </c>
      <c r="M643" s="306">
        <f t="shared" ca="1" si="277"/>
        <v>1.1178220613553833</v>
      </c>
      <c r="N643" s="304">
        <f t="shared" ca="1" si="278"/>
        <v>64.046486362277221</v>
      </c>
      <c r="P643" s="310">
        <f t="shared" ca="1" si="279"/>
        <v>23</v>
      </c>
      <c r="Q643" s="304">
        <f t="shared" ca="1" si="280"/>
        <v>0</v>
      </c>
      <c r="R643" s="306">
        <f t="shared" ca="1" si="281"/>
        <v>0</v>
      </c>
      <c r="S643" s="307">
        <f t="shared" ca="1" si="282"/>
        <v>6.4679999999999849</v>
      </c>
      <c r="T643" s="304">
        <f t="shared" ca="1" si="262"/>
        <v>63.451079999999855</v>
      </c>
      <c r="U643" s="311">
        <f t="shared" ca="1" si="263"/>
        <v>0</v>
      </c>
      <c r="V643" s="306">
        <f t="shared" ca="1" si="264"/>
        <v>0.90656022342037279</v>
      </c>
      <c r="W643" s="304">
        <f t="shared" ca="1" si="265"/>
        <v>3.3017464238712408</v>
      </c>
      <c r="Y643" s="314" t="str">
        <f t="shared" ca="1" si="283"/>
        <v/>
      </c>
      <c r="Z643" s="315" t="str">
        <f t="shared" ca="1" si="284"/>
        <v/>
      </c>
      <c r="AA643" s="316" t="str">
        <f t="shared" ca="1" si="285"/>
        <v/>
      </c>
      <c r="AC643" s="310" t="e">
        <f t="shared" ca="1" si="286"/>
        <v>#N/A</v>
      </c>
      <c r="AD643" s="323" t="e">
        <f t="shared" ca="1" si="287"/>
        <v>#N/A</v>
      </c>
      <c r="AE643" s="324">
        <f t="shared" ca="1" si="266"/>
        <v>2987.8562480270753</v>
      </c>
      <c r="AG643" s="306">
        <f t="shared" ca="1" si="288"/>
        <v>-9.4064809797554698</v>
      </c>
      <c r="AH643" s="304">
        <f t="shared" ca="1" si="289"/>
        <v>-0.53718915647058496</v>
      </c>
    </row>
    <row r="644" spans="1:34" x14ac:dyDescent="0.2">
      <c r="A644" s="347">
        <f t="shared" ca="1" si="267"/>
        <v>0.1</v>
      </c>
      <c r="B644" s="304">
        <f t="shared" ca="1" si="268"/>
        <v>18.99999999999994</v>
      </c>
      <c r="D644" s="306">
        <f t="shared" ca="1" si="269"/>
        <v>-0.22340478747474179</v>
      </c>
      <c r="E644" s="307">
        <f t="shared" ca="1" si="270"/>
        <v>-10.268992482546164</v>
      </c>
      <c r="F644" s="304">
        <f t="shared" ca="1" si="271"/>
        <v>10.271422311717899</v>
      </c>
      <c r="G644" s="306">
        <f t="shared" ca="1" si="272"/>
        <v>15.981025505894955</v>
      </c>
      <c r="H644" s="307">
        <f t="shared" ca="1" si="273"/>
        <v>31.852542438805557</v>
      </c>
      <c r="I644" s="304">
        <f t="shared" ca="1" si="274"/>
        <v>35.636745587047848</v>
      </c>
      <c r="J644" s="306">
        <f t="shared" ca="1" si="275"/>
        <v>421.30161345682609</v>
      </c>
      <c r="K644" s="307">
        <f t="shared" ca="1" si="276"/>
        <v>2991.0928472333685</v>
      </c>
      <c r="L644" s="304">
        <f t="shared" ref="L644:L707" ca="1" si="290">SQRT(pos_x^2+pos_z^2)</f>
        <v>3020.6177299141882</v>
      </c>
      <c r="M644" s="306">
        <f t="shared" ca="1" si="277"/>
        <v>1.1057744694649962</v>
      </c>
      <c r="N644" s="304">
        <f t="shared" ca="1" si="278"/>
        <v>63.356210193662008</v>
      </c>
      <c r="P644" s="310">
        <f t="shared" ca="1" si="279"/>
        <v>23</v>
      </c>
      <c r="Q644" s="304">
        <f t="shared" ca="1" si="280"/>
        <v>0</v>
      </c>
      <c r="R644" s="306">
        <f t="shared" ca="1" si="281"/>
        <v>0</v>
      </c>
      <c r="S644" s="307">
        <f t="shared" ca="1" si="282"/>
        <v>6.4679999999999849</v>
      </c>
      <c r="T644" s="304">
        <f t="shared" ref="T644:T707" ca="1" si="291">m*g</f>
        <v>63.451079999999855</v>
      </c>
      <c r="U644" s="311">
        <f t="shared" ref="U644:U707" ca="1" si="292">IF(pos_xz&lt;L_rampe,Poids*COS(Beta),0)</f>
        <v>0</v>
      </c>
      <c r="V644" s="306">
        <f t="shared" ref="V644:V707" ca="1" si="293">Rho_moyen*(20000-Alt_rampe-pos_z)/(20000+Alt_rampe+pos_z)</f>
        <v>0.90626015042370689</v>
      </c>
      <c r="W644" s="304">
        <f t="shared" ref="W644:W707" ca="1" si="294">1/2*Rho*Sref*Cx*vit_xz^2</f>
        <v>3.1348075216639311</v>
      </c>
      <c r="Y644" s="314" t="str">
        <f t="shared" ca="1" si="283"/>
        <v/>
      </c>
      <c r="Z644" s="315" t="str">
        <f t="shared" ca="1" si="284"/>
        <v/>
      </c>
      <c r="AA644" s="316" t="str">
        <f t="shared" ca="1" si="285"/>
        <v/>
      </c>
      <c r="AC644" s="310">
        <f t="shared" ca="1" si="286"/>
        <v>18.99999999999994</v>
      </c>
      <c r="AD644" s="323">
        <f t="shared" ca="1" si="287"/>
        <v>421.30161345682609</v>
      </c>
      <c r="AE644" s="324">
        <f t="shared" ref="AE644:AE707" ca="1" si="295">IF(t&lt;T_para, pos_z, NA())</f>
        <v>2991.0928472333685</v>
      </c>
      <c r="AG644" s="306">
        <f t="shared" ca="1" si="288"/>
        <v>-9.3311298871420423</v>
      </c>
      <c r="AH644" s="304">
        <f t="shared" ca="1" si="289"/>
        <v>-0.51047409150761414</v>
      </c>
    </row>
    <row r="645" spans="1:34" x14ac:dyDescent="0.2">
      <c r="A645" s="347">
        <f t="shared" ref="A645:A708" ca="1" si="296">IF(B644+0.01&lt;=T_ini+ROUNDUP(Temps_fin_propu,0), 0.01, IF(K644&gt;0, 0.1, 0.0001))</f>
        <v>0.1</v>
      </c>
      <c r="B645" s="304">
        <f t="shared" ref="B645:B708" ca="1" si="297">B644+pas</f>
        <v>19.099999999999941</v>
      </c>
      <c r="D645" s="306">
        <f t="shared" ref="D645:D708" ca="1" si="298">IF(AND(L644&lt;L_rampe,Poussee&lt;Poids*SIN(M644)),0,(-W644+Poussee)/m*COS(M644)-U644/m*SIN(M644))</f>
        <v>-0.21734391061446542</v>
      </c>
      <c r="E645" s="307">
        <f t="shared" ref="E645:E708" ca="1" si="299">IF(AND(L644&lt;L_rampe,Poussee&lt;Poids*SIN(M644)),0,(-W644+Poussee)/m*SIN(M644)+U644/m*COS(M644)-Poids/m)</f>
        <v>-10.243198491180028</v>
      </c>
      <c r="F645" s="304">
        <f t="shared" ref="F645:F708" ca="1" si="300">SQRT(acc_x^2+acc_z^2)</f>
        <v>10.245504072772309</v>
      </c>
      <c r="G645" s="306">
        <f t="shared" ref="G645:G708" ca="1" si="301">G644+acc_x*pas</f>
        <v>15.959291114833508</v>
      </c>
      <c r="H645" s="307">
        <f t="shared" ref="H645:H708" ca="1" si="302">H644+acc_z*pas</f>
        <v>30.828222589687556</v>
      </c>
      <c r="I645" s="304">
        <f t="shared" ref="I645:I708" ca="1" si="303">SQRT(vit_x^2+vit_z^2)</f>
        <v>34.714237438367071</v>
      </c>
      <c r="J645" s="306">
        <f t="shared" ref="J645:J708" ca="1" si="304">J644+0.5*(vit_x+G644)*pas*(K644&gt;=0)</f>
        <v>422.89862928786249</v>
      </c>
      <c r="K645" s="307">
        <f t="shared" ref="K645:K708" ca="1" si="305">K644+0.5*(vit_z+H644)*pas</f>
        <v>2994.226885484793</v>
      </c>
      <c r="L645" s="304">
        <f t="shared" ca="1" si="290"/>
        <v>3023.944095451091</v>
      </c>
      <c r="M645" s="306">
        <f t="shared" ref="M645:M708" ca="1" si="306">IF(AND(L644&gt;L_rampe,G645&gt;0),ATAN2(G645,H645),$M$4)</f>
        <v>1.0931014643302059</v>
      </c>
      <c r="N645" s="304">
        <f t="shared" ref="N645:N708" ca="1" si="307">DEGREES(Beta)</f>
        <v>62.630100485690903</v>
      </c>
      <c r="P645" s="310">
        <f t="shared" ref="P645:P708" ca="1" si="308">MATCH(t-pas/2-T_ini,CdP_t)</f>
        <v>23</v>
      </c>
      <c r="Q645" s="304">
        <f t="shared" ref="Q645:Q708" ca="1" si="309">(INDEX(CdP,2,i_P+1)-INDEX(CdP,2,i_P+0))/(INDEX(CdP,1,i_P+1)-INDEX(CdP,1,i_P+0))*(t-pas/2-T_ini-INDEX(CdP,1,i_P+0))+INDEX(CdP,2,i_P+0)</f>
        <v>0</v>
      </c>
      <c r="R645" s="306">
        <f t="shared" ref="R645:R708" ca="1" si="310">Poussee/(g*ISP)</f>
        <v>0</v>
      </c>
      <c r="S645" s="307">
        <f t="shared" ref="S645:S708" ca="1" si="311">S644-Débit*pas</f>
        <v>6.4679999999999849</v>
      </c>
      <c r="T645" s="304">
        <f t="shared" ca="1" si="291"/>
        <v>63.451079999999855</v>
      </c>
      <c r="U645" s="311">
        <f t="shared" ca="1" si="292"/>
        <v>0</v>
      </c>
      <c r="V645" s="306">
        <f t="shared" ca="1" si="293"/>
        <v>0.90596966660494538</v>
      </c>
      <c r="W645" s="304">
        <f t="shared" ca="1" si="294"/>
        <v>2.9736567704428838</v>
      </c>
      <c r="Y645" s="314" t="str">
        <f t="shared" ref="Y645:Y708" ca="1" si="312">IF(AND(pos_z&lt;=0,K644&gt;0),"Impact balistique","") &amp; IF(AND(H646&lt;0,vit_z&gt;=0),"Apogée","") &amp; IF(AND(Poussee=0,Q644&gt;0),"Fin de propulsion","") &amp; IF(AND(L646&gt;L_rampe,pos_xz&lt;=L_rampe),"Sortie de rampe","")</f>
        <v/>
      </c>
      <c r="Z645" s="315" t="str">
        <f t="shared" ref="Z645:Z708" ca="1" si="313">IF(ABS(t-T_para)&lt;pas/2,"Para","")</f>
        <v/>
      </c>
      <c r="AA645" s="316" t="str">
        <f t="shared" ref="AA645:AA708" ca="1" si="314">IF(ABS(t-T_satellite)&lt;pas/2,"Satellite","")</f>
        <v/>
      </c>
      <c r="AC645" s="310" t="e">
        <f t="shared" ref="AC645:AC708" ca="1" si="315">IF(ABS(t-ROUND(t,0))&lt;0.001,t,NA())</f>
        <v>#N/A</v>
      </c>
      <c r="AD645" s="323" t="e">
        <f t="shared" ref="AD645:AD708" ca="1" si="316">IF(ABS(t-ROUND(t,0))&lt;0.001,pos_x,NA())</f>
        <v>#N/A</v>
      </c>
      <c r="AE645" s="324">
        <f t="shared" ca="1" si="295"/>
        <v>2994.226885484793</v>
      </c>
      <c r="AG645" s="306">
        <f t="shared" ref="AG645:AG708" ca="1" si="317">IF(AND(L644&lt;L_rampe,Poussee&lt;Poids*SIN(M644)),0,(-W644+Poussee)/m-Poids*SIN(M644)/m)</f>
        <v>-9.2529575245037901</v>
      </c>
      <c r="AH645" s="304">
        <f t="shared" ref="AH645:AH708" ca="1" si="318">IF(AND(L644&lt;L_rampe,Poussee&lt;Poids*SIN(M644)), g*SIN(M644), (-W644+Poussee)/m)</f>
        <v>-0.48466411899566147</v>
      </c>
    </row>
    <row r="646" spans="1:34" x14ac:dyDescent="0.2">
      <c r="A646" s="347">
        <f t="shared" ca="1" si="296"/>
        <v>0.1</v>
      </c>
      <c r="B646" s="304">
        <f t="shared" ca="1" si="297"/>
        <v>19.199999999999942</v>
      </c>
      <c r="D646" s="306">
        <f t="shared" ca="1" si="298"/>
        <v>-0.21136194427775892</v>
      </c>
      <c r="E646" s="307">
        <f t="shared" ca="1" si="299"/>
        <v>-10.218283364110555</v>
      </c>
      <c r="F646" s="304">
        <f t="shared" ca="1" si="300"/>
        <v>10.220469107665625</v>
      </c>
      <c r="G646" s="306">
        <f t="shared" ca="1" si="301"/>
        <v>15.938154920405733</v>
      </c>
      <c r="H646" s="307">
        <f t="shared" ca="1" si="302"/>
        <v>29.806394253276501</v>
      </c>
      <c r="I646" s="304">
        <f t="shared" ca="1" si="303"/>
        <v>33.800087583445816</v>
      </c>
      <c r="J646" s="306">
        <f t="shared" ca="1" si="304"/>
        <v>424.49350158962443</v>
      </c>
      <c r="K646" s="307">
        <f t="shared" ca="1" si="305"/>
        <v>2997.2586163269411</v>
      </c>
      <c r="L646" s="304">
        <f t="shared" ca="1" si="290"/>
        <v>3027.1692958997041</v>
      </c>
      <c r="M646" s="306">
        <f t="shared" ca="1" si="306"/>
        <v>1.0797579558295853</v>
      </c>
      <c r="N646" s="304">
        <f t="shared" ca="1" si="307"/>
        <v>61.865573764708401</v>
      </c>
      <c r="P646" s="310">
        <f t="shared" ca="1" si="308"/>
        <v>23</v>
      </c>
      <c r="Q646" s="304">
        <f t="shared" ca="1" si="309"/>
        <v>0</v>
      </c>
      <c r="R646" s="306">
        <f t="shared" ca="1" si="310"/>
        <v>0</v>
      </c>
      <c r="S646" s="307">
        <f t="shared" ca="1" si="311"/>
        <v>6.4679999999999849</v>
      </c>
      <c r="T646" s="304">
        <f t="shared" ca="1" si="291"/>
        <v>63.451079999999855</v>
      </c>
      <c r="U646" s="311">
        <f t="shared" ca="1" si="292"/>
        <v>0</v>
      </c>
      <c r="V646" s="306">
        <f t="shared" ca="1" si="293"/>
        <v>0.9056887406663493</v>
      </c>
      <c r="W646" s="304">
        <f t="shared" ca="1" si="294"/>
        <v>2.8182307099861967</v>
      </c>
      <c r="Y646" s="314" t="str">
        <f t="shared" ca="1" si="312"/>
        <v/>
      </c>
      <c r="Z646" s="315" t="str">
        <f t="shared" ca="1" si="313"/>
        <v/>
      </c>
      <c r="AA646" s="316" t="str">
        <f t="shared" ca="1" si="314"/>
        <v/>
      </c>
      <c r="AC646" s="310" t="e">
        <f t="shared" ca="1" si="315"/>
        <v>#N/A</v>
      </c>
      <c r="AD646" s="323" t="e">
        <f t="shared" ca="1" si="316"/>
        <v>#N/A</v>
      </c>
      <c r="AE646" s="324">
        <f t="shared" ca="1" si="295"/>
        <v>2997.2586163269411</v>
      </c>
      <c r="AG646" s="306">
        <f t="shared" ca="1" si="317"/>
        <v>-9.1715884987506744</v>
      </c>
      <c r="AH646" s="304">
        <f t="shared" ca="1" si="318"/>
        <v>-0.45974903686501095</v>
      </c>
    </row>
    <row r="647" spans="1:34" x14ac:dyDescent="0.2">
      <c r="A647" s="347">
        <f t="shared" ca="1" si="296"/>
        <v>0.1</v>
      </c>
      <c r="B647" s="304">
        <f t="shared" ca="1" si="297"/>
        <v>19.299999999999944</v>
      </c>
      <c r="D647" s="306">
        <f t="shared" ca="1" si="298"/>
        <v>-0.20545974751607715</v>
      </c>
      <c r="E647" s="307">
        <f t="shared" ca="1" si="299"/>
        <v>-10.194236084303725</v>
      </c>
      <c r="F647" s="304">
        <f t="shared" ca="1" si="300"/>
        <v>10.196306343493683</v>
      </c>
      <c r="G647" s="306">
        <f t="shared" ca="1" si="301"/>
        <v>15.917608945654125</v>
      </c>
      <c r="H647" s="307">
        <f t="shared" ca="1" si="302"/>
        <v>28.786970644846129</v>
      </c>
      <c r="I647" s="304">
        <f t="shared" ca="1" si="303"/>
        <v>32.894679713503841</v>
      </c>
      <c r="J647" s="306">
        <f t="shared" ca="1" si="304"/>
        <v>426.08628978292739</v>
      </c>
      <c r="K647" s="307">
        <f t="shared" ca="1" si="305"/>
        <v>3000.1882845718474</v>
      </c>
      <c r="L647" s="304">
        <f t="shared" ca="1" si="290"/>
        <v>3030.2935945586437</v>
      </c>
      <c r="M647" s="306">
        <f t="shared" ca="1" si="306"/>
        <v>1.0656949590112486</v>
      </c>
      <c r="N647" s="304">
        <f t="shared" ca="1" si="307"/>
        <v>61.059823399711803</v>
      </c>
      <c r="P647" s="310">
        <f t="shared" ca="1" si="308"/>
        <v>23</v>
      </c>
      <c r="Q647" s="304">
        <f t="shared" ca="1" si="309"/>
        <v>0</v>
      </c>
      <c r="R647" s="306">
        <f t="shared" ca="1" si="310"/>
        <v>0</v>
      </c>
      <c r="S647" s="307">
        <f t="shared" ca="1" si="311"/>
        <v>6.4679999999999849</v>
      </c>
      <c r="T647" s="304">
        <f t="shared" ca="1" si="291"/>
        <v>63.451079999999855</v>
      </c>
      <c r="U647" s="311">
        <f t="shared" ca="1" si="292"/>
        <v>0</v>
      </c>
      <c r="V647" s="306">
        <f t="shared" ca="1" si="293"/>
        <v>0.90541734240360139</v>
      </c>
      <c r="W647" s="304">
        <f t="shared" ca="1" si="294"/>
        <v>2.6684683499262247</v>
      </c>
      <c r="Y647" s="314" t="str">
        <f t="shared" ca="1" si="312"/>
        <v/>
      </c>
      <c r="Z647" s="315" t="str">
        <f t="shared" ca="1" si="313"/>
        <v/>
      </c>
      <c r="AA647" s="316" t="str">
        <f t="shared" ca="1" si="314"/>
        <v/>
      </c>
      <c r="AC647" s="310" t="e">
        <f t="shared" ca="1" si="315"/>
        <v>#N/A</v>
      </c>
      <c r="AD647" s="323" t="e">
        <f t="shared" ca="1" si="316"/>
        <v>#N/A</v>
      </c>
      <c r="AE647" s="324">
        <f t="shared" ca="1" si="295"/>
        <v>3000.1882845718474</v>
      </c>
      <c r="AG647" s="306">
        <f t="shared" ca="1" si="317"/>
        <v>-9.0866057186187454</v>
      </c>
      <c r="AH647" s="304">
        <f t="shared" ca="1" si="318"/>
        <v>-0.43571903370225779</v>
      </c>
    </row>
    <row r="648" spans="1:34" x14ac:dyDescent="0.2">
      <c r="A648" s="347">
        <f t="shared" ca="1" si="296"/>
        <v>0.1</v>
      </c>
      <c r="B648" s="304">
        <f t="shared" ca="1" si="297"/>
        <v>19.399999999999945</v>
      </c>
      <c r="D648" s="306">
        <f t="shared" ca="1" si="298"/>
        <v>-0.19963846121781409</v>
      </c>
      <c r="E648" s="307">
        <f t="shared" ca="1" si="299"/>
        <v>-10.171045841889999</v>
      </c>
      <c r="F648" s="304">
        <f t="shared" ca="1" si="300"/>
        <v>10.173004916592996</v>
      </c>
      <c r="G648" s="306">
        <f t="shared" ca="1" si="301"/>
        <v>15.897645099532344</v>
      </c>
      <c r="H648" s="307">
        <f t="shared" ca="1" si="302"/>
        <v>27.769866060657129</v>
      </c>
      <c r="I648" s="304">
        <f t="shared" ca="1" si="303"/>
        <v>31.998446536316752</v>
      </c>
      <c r="J648" s="306">
        <f t="shared" ca="1" si="304"/>
        <v>427.67705248518672</v>
      </c>
      <c r="K648" s="307">
        <f t="shared" ca="1" si="305"/>
        <v>3003.0161264071226</v>
      </c>
      <c r="L648" s="304">
        <f t="shared" ca="1" si="290"/>
        <v>3033.3172462971388</v>
      </c>
      <c r="M648" s="306">
        <f t="shared" ca="1" si="306"/>
        <v>1.050859253194711</v>
      </c>
      <c r="N648" s="304">
        <f t="shared" ca="1" si="307"/>
        <v>60.209800070326509</v>
      </c>
      <c r="P648" s="310">
        <f t="shared" ca="1" si="308"/>
        <v>23</v>
      </c>
      <c r="Q648" s="304">
        <f t="shared" ca="1" si="309"/>
        <v>0</v>
      </c>
      <c r="R648" s="306">
        <f t="shared" ca="1" si="310"/>
        <v>0</v>
      </c>
      <c r="S648" s="307">
        <f t="shared" ca="1" si="311"/>
        <v>6.4679999999999849</v>
      </c>
      <c r="T648" s="304">
        <f t="shared" ca="1" si="291"/>
        <v>63.451079999999855</v>
      </c>
      <c r="U648" s="311">
        <f t="shared" ca="1" si="292"/>
        <v>0</v>
      </c>
      <c r="V648" s="306">
        <f t="shared" ca="1" si="293"/>
        <v>0.90515544269208803</v>
      </c>
      <c r="W648" s="304">
        <f t="shared" ca="1" si="294"/>
        <v>2.5243111149593842</v>
      </c>
      <c r="Y648" s="314" t="str">
        <f t="shared" ca="1" si="312"/>
        <v/>
      </c>
      <c r="Z648" s="315" t="str">
        <f t="shared" ca="1" si="313"/>
        <v/>
      </c>
      <c r="AA648" s="316" t="str">
        <f t="shared" ca="1" si="314"/>
        <v/>
      </c>
      <c r="AC648" s="310" t="e">
        <f t="shared" ca="1" si="315"/>
        <v>#N/A</v>
      </c>
      <c r="AD648" s="323" t="e">
        <f t="shared" ca="1" si="316"/>
        <v>#N/A</v>
      </c>
      <c r="AE648" s="324">
        <f t="shared" ca="1" si="295"/>
        <v>3003.0161264071226</v>
      </c>
      <c r="AG648" s="306">
        <f t="shared" ca="1" si="317"/>
        <v>-8.9975451231570318</v>
      </c>
      <c r="AH648" s="304">
        <f t="shared" ca="1" si="318"/>
        <v>-0.41256467995148904</v>
      </c>
    </row>
    <row r="649" spans="1:34" x14ac:dyDescent="0.2">
      <c r="A649" s="347">
        <f t="shared" ca="1" si="296"/>
        <v>0.1</v>
      </c>
      <c r="B649" s="304">
        <f t="shared" ca="1" si="297"/>
        <v>19.499999999999947</v>
      </c>
      <c r="D649" s="306">
        <f t="shared" ca="1" si="298"/>
        <v>-0.19389953661678119</v>
      </c>
      <c r="E649" s="307">
        <f t="shared" ca="1" si="299"/>
        <v>-10.148701998148765</v>
      </c>
      <c r="F649" s="304">
        <f t="shared" ca="1" si="300"/>
        <v>10.150554136475945</v>
      </c>
      <c r="G649" s="306">
        <f t="shared" ca="1" si="301"/>
        <v>15.878255145870666</v>
      </c>
      <c r="H649" s="307">
        <f t="shared" ca="1" si="302"/>
        <v>26.754995860842254</v>
      </c>
      <c r="I649" s="304">
        <f t="shared" ca="1" si="303"/>
        <v>31.111875385309936</v>
      </c>
      <c r="J649" s="306">
        <f t="shared" ca="1" si="304"/>
        <v>429.26584749745689</v>
      </c>
      <c r="K649" s="307">
        <f t="shared" ca="1" si="305"/>
        <v>3005.7423695031976</v>
      </c>
      <c r="L649" s="304">
        <f t="shared" ca="1" si="290"/>
        <v>3036.2404976639132</v>
      </c>
      <c r="M649" s="306">
        <f t="shared" ca="1" si="306"/>
        <v>1.0351930236858138</v>
      </c>
      <c r="N649" s="304">
        <f t="shared" ca="1" si="307"/>
        <v>59.312191238583395</v>
      </c>
      <c r="P649" s="310">
        <f t="shared" ca="1" si="308"/>
        <v>23</v>
      </c>
      <c r="Q649" s="304">
        <f t="shared" ca="1" si="309"/>
        <v>0</v>
      </c>
      <c r="R649" s="306">
        <f t="shared" ca="1" si="310"/>
        <v>0</v>
      </c>
      <c r="S649" s="307">
        <f t="shared" ca="1" si="311"/>
        <v>6.4679999999999849</v>
      </c>
      <c r="T649" s="304">
        <f t="shared" ca="1" si="291"/>
        <v>63.451079999999855</v>
      </c>
      <c r="U649" s="311">
        <f t="shared" ca="1" si="292"/>
        <v>0</v>
      </c>
      <c r="V649" s="306">
        <f t="shared" ca="1" si="293"/>
        <v>0.90490301347350699</v>
      </c>
      <c r="W649" s="304">
        <f t="shared" ca="1" si="294"/>
        <v>2.3857027920463714</v>
      </c>
      <c r="Y649" s="314" t="str">
        <f t="shared" ca="1" si="312"/>
        <v/>
      </c>
      <c r="Z649" s="315" t="str">
        <f t="shared" ca="1" si="313"/>
        <v/>
      </c>
      <c r="AA649" s="316" t="str">
        <f t="shared" ca="1" si="314"/>
        <v/>
      </c>
      <c r="AC649" s="310" t="e">
        <f t="shared" ca="1" si="315"/>
        <v>#N/A</v>
      </c>
      <c r="AD649" s="323" t="e">
        <f t="shared" ca="1" si="316"/>
        <v>#N/A</v>
      </c>
      <c r="AE649" s="324">
        <f t="shared" ca="1" si="295"/>
        <v>3005.7423695031976</v>
      </c>
      <c r="AG649" s="306">
        <f t="shared" ca="1" si="317"/>
        <v>-8.9038897833009365</v>
      </c>
      <c r="AH649" s="304">
        <f t="shared" ca="1" si="318"/>
        <v>-0.39027691944331944</v>
      </c>
    </row>
    <row r="650" spans="1:34" x14ac:dyDescent="0.2">
      <c r="A650" s="347">
        <f t="shared" ca="1" si="296"/>
        <v>0.1</v>
      </c>
      <c r="B650" s="304">
        <f t="shared" ca="1" si="297"/>
        <v>19.599999999999948</v>
      </c>
      <c r="D650" s="306">
        <f t="shared" ca="1" si="298"/>
        <v>-0.18824476748856503</v>
      </c>
      <c r="E650" s="307">
        <f t="shared" ca="1" si="299"/>
        <v>-10.12719404485647</v>
      </c>
      <c r="F650" s="304">
        <f t="shared" ca="1" si="300"/>
        <v>10.128943445131044</v>
      </c>
      <c r="G650" s="306">
        <f t="shared" ca="1" si="301"/>
        <v>15.85943066912181</v>
      </c>
      <c r="H650" s="307">
        <f t="shared" ca="1" si="302"/>
        <v>25.742276456356606</v>
      </c>
      <c r="I650" s="304">
        <f t="shared" ca="1" si="303"/>
        <v>30.235514520248753</v>
      </c>
      <c r="J650" s="306">
        <f t="shared" ca="1" si="304"/>
        <v>430.85273178820654</v>
      </c>
      <c r="K650" s="307">
        <f t="shared" ca="1" si="305"/>
        <v>3008.3672331190573</v>
      </c>
      <c r="L650" s="304">
        <f t="shared" ca="1" si="290"/>
        <v>3039.0635869941539</v>
      </c>
      <c r="M650" s="306">
        <f t="shared" ca="1" si="306"/>
        <v>1.0186334909374322</v>
      </c>
      <c r="N650" s="304">
        <f t="shared" ca="1" si="307"/>
        <v>58.363399901392455</v>
      </c>
      <c r="P650" s="310">
        <f t="shared" ca="1" si="308"/>
        <v>23</v>
      </c>
      <c r="Q650" s="304">
        <f t="shared" ca="1" si="309"/>
        <v>0</v>
      </c>
      <c r="R650" s="306">
        <f t="shared" ca="1" si="310"/>
        <v>0</v>
      </c>
      <c r="S650" s="307">
        <f t="shared" ca="1" si="311"/>
        <v>6.4679999999999849</v>
      </c>
      <c r="T650" s="304">
        <f t="shared" ca="1" si="291"/>
        <v>63.451079999999855</v>
      </c>
      <c r="U650" s="311">
        <f t="shared" ca="1" si="292"/>
        <v>0</v>
      </c>
      <c r="V650" s="306">
        <f t="shared" ca="1" si="293"/>
        <v>0.90466002774276266</v>
      </c>
      <c r="W650" s="304">
        <f t="shared" ca="1" si="294"/>
        <v>2.2525894794676513</v>
      </c>
      <c r="Y650" s="314" t="str">
        <f t="shared" ca="1" si="312"/>
        <v/>
      </c>
      <c r="Z650" s="315" t="str">
        <f t="shared" ca="1" si="313"/>
        <v/>
      </c>
      <c r="AA650" s="316" t="str">
        <f t="shared" ca="1" si="314"/>
        <v/>
      </c>
      <c r="AC650" s="310" t="e">
        <f t="shared" ca="1" si="315"/>
        <v>#N/A</v>
      </c>
      <c r="AD650" s="323" t="e">
        <f t="shared" ca="1" si="316"/>
        <v>#N/A</v>
      </c>
      <c r="AE650" s="324">
        <f t="shared" ca="1" si="295"/>
        <v>3008.3672331190573</v>
      </c>
      <c r="AG650" s="306">
        <f t="shared" ca="1" si="317"/>
        <v>-8.8050633337740418</v>
      </c>
      <c r="AH650" s="304">
        <f t="shared" ca="1" si="318"/>
        <v>-0.36884706123166</v>
      </c>
    </row>
    <row r="651" spans="1:34" x14ac:dyDescent="0.2">
      <c r="A651" s="347">
        <f t="shared" ca="1" si="296"/>
        <v>0.1</v>
      </c>
      <c r="B651" s="304">
        <f t="shared" ca="1" si="297"/>
        <v>19.69999999999995</v>
      </c>
      <c r="D651" s="306">
        <f t="shared" ca="1" si="298"/>
        <v>-0.18267632643429357</v>
      </c>
      <c r="E651" s="307">
        <f t="shared" ca="1" si="299"/>
        <v>-10.106511558025785</v>
      </c>
      <c r="F651" s="304">
        <f t="shared" ca="1" si="300"/>
        <v>10.108162370715476</v>
      </c>
      <c r="G651" s="306">
        <f t="shared" ca="1" si="301"/>
        <v>15.841163036478381</v>
      </c>
      <c r="H651" s="307">
        <f t="shared" ca="1" si="302"/>
        <v>24.731625300554029</v>
      </c>
      <c r="I651" s="304">
        <f t="shared" ca="1" si="303"/>
        <v>29.369980189902975</v>
      </c>
      <c r="J651" s="306">
        <f t="shared" ca="1" si="304"/>
        <v>432.43776147348655</v>
      </c>
      <c r="K651" s="307">
        <f t="shared" ca="1" si="305"/>
        <v>3010.890928206903</v>
      </c>
      <c r="L651" s="304">
        <f t="shared" ca="1" si="290"/>
        <v>3041.786744514945</v>
      </c>
      <c r="M651" s="306">
        <f t="shared" ca="1" si="306"/>
        <v>1.0011125347541094</v>
      </c>
      <c r="N651" s="304">
        <f t="shared" ca="1" si="307"/>
        <v>57.359523059054418</v>
      </c>
      <c r="P651" s="310">
        <f t="shared" ca="1" si="308"/>
        <v>23</v>
      </c>
      <c r="Q651" s="304">
        <f t="shared" ca="1" si="309"/>
        <v>0</v>
      </c>
      <c r="R651" s="306">
        <f t="shared" ca="1" si="310"/>
        <v>0</v>
      </c>
      <c r="S651" s="307">
        <f t="shared" ca="1" si="311"/>
        <v>6.4679999999999849</v>
      </c>
      <c r="T651" s="304">
        <f t="shared" ca="1" si="291"/>
        <v>63.451079999999855</v>
      </c>
      <c r="U651" s="311">
        <f t="shared" ca="1" si="292"/>
        <v>0</v>
      </c>
      <c r="V651" s="306">
        <f t="shared" ca="1" si="293"/>
        <v>0.90442645953510092</v>
      </c>
      <c r="W651" s="304">
        <f t="shared" ca="1" si="294"/>
        <v>2.1249195375921781</v>
      </c>
      <c r="Y651" s="314" t="str">
        <f t="shared" ca="1" si="312"/>
        <v/>
      </c>
      <c r="Z651" s="315" t="str">
        <f t="shared" ca="1" si="313"/>
        <v/>
      </c>
      <c r="AA651" s="316" t="str">
        <f t="shared" ca="1" si="314"/>
        <v/>
      </c>
      <c r="AC651" s="310" t="e">
        <f t="shared" ca="1" si="315"/>
        <v>#N/A</v>
      </c>
      <c r="AD651" s="323" t="e">
        <f t="shared" ca="1" si="316"/>
        <v>#N/A</v>
      </c>
      <c r="AE651" s="324">
        <f t="shared" ca="1" si="295"/>
        <v>3010.890928206903</v>
      </c>
      <c r="AG651" s="306">
        <f t="shared" ca="1" si="317"/>
        <v>-8.700422706346373</v>
      </c>
      <c r="AH651" s="304">
        <f t="shared" ca="1" si="318"/>
        <v>-0.34826677171732479</v>
      </c>
    </row>
    <row r="652" spans="1:34" x14ac:dyDescent="0.2">
      <c r="A652" s="347">
        <f t="shared" ca="1" si="296"/>
        <v>0.1</v>
      </c>
      <c r="B652" s="304">
        <f t="shared" ca="1" si="297"/>
        <v>19.799999999999951</v>
      </c>
      <c r="D652" s="306">
        <f t="shared" ca="1" si="298"/>
        <v>-0.17719680566123441</v>
      </c>
      <c r="E652" s="307">
        <f t="shared" ca="1" si="299"/>
        <v>-10.086644144876056</v>
      </c>
      <c r="F652" s="304">
        <f t="shared" ca="1" si="300"/>
        <v>10.088200474480024</v>
      </c>
      <c r="G652" s="306">
        <f t="shared" ca="1" si="301"/>
        <v>15.823443355912257</v>
      </c>
      <c r="H652" s="307">
        <f t="shared" ca="1" si="302"/>
        <v>23.722960886066424</v>
      </c>
      <c r="I652" s="304">
        <f t="shared" ca="1" si="303"/>
        <v>28.51596452585115</v>
      </c>
      <c r="J652" s="306">
        <f t="shared" ca="1" si="304"/>
        <v>434.02099179310608</v>
      </c>
      <c r="K652" s="307">
        <f t="shared" ca="1" si="305"/>
        <v>3013.3136575162339</v>
      </c>
      <c r="L652" s="304">
        <f t="shared" ca="1" si="290"/>
        <v>3044.4101924495876</v>
      </c>
      <c r="M652" s="306">
        <f t="shared" ca="1" si="306"/>
        <v>0.98255632488621236</v>
      </c>
      <c r="N652" s="304">
        <f t="shared" ca="1" si="307"/>
        <v>56.296330549864905</v>
      </c>
      <c r="P652" s="310">
        <f t="shared" ca="1" si="308"/>
        <v>23</v>
      </c>
      <c r="Q652" s="304">
        <f t="shared" ca="1" si="309"/>
        <v>0</v>
      </c>
      <c r="R652" s="306">
        <f t="shared" ca="1" si="310"/>
        <v>0</v>
      </c>
      <c r="S652" s="307">
        <f t="shared" ca="1" si="311"/>
        <v>6.4679999999999849</v>
      </c>
      <c r="T652" s="304">
        <f t="shared" ca="1" si="291"/>
        <v>63.451079999999855</v>
      </c>
      <c r="U652" s="311">
        <f t="shared" ca="1" si="292"/>
        <v>0</v>
      </c>
      <c r="V652" s="306">
        <f t="shared" ca="1" si="293"/>
        <v>0.90420228391344315</v>
      </c>
      <c r="W652" s="304">
        <f t="shared" ca="1" si="294"/>
        <v>2.0026435412082133</v>
      </c>
      <c r="Y652" s="314" t="str">
        <f t="shared" ca="1" si="312"/>
        <v/>
      </c>
      <c r="Z652" s="315" t="str">
        <f t="shared" ca="1" si="313"/>
        <v/>
      </c>
      <c r="AA652" s="316" t="str">
        <f t="shared" ca="1" si="314"/>
        <v/>
      </c>
      <c r="AC652" s="310" t="e">
        <f t="shared" ca="1" si="315"/>
        <v>#N/A</v>
      </c>
      <c r="AD652" s="323" t="e">
        <f t="shared" ca="1" si="316"/>
        <v>#N/A</v>
      </c>
      <c r="AE652" s="324">
        <f t="shared" ca="1" si="295"/>
        <v>3013.3136575162339</v>
      </c>
      <c r="AG652" s="306">
        <f t="shared" ca="1" si="317"/>
        <v>-8.5892501591080581</v>
      </c>
      <c r="AH652" s="304">
        <f t="shared" ca="1" si="318"/>
        <v>-0.3285280670365156</v>
      </c>
    </row>
    <row r="653" spans="1:34" x14ac:dyDescent="0.2">
      <c r="A653" s="347">
        <f t="shared" ca="1" si="296"/>
        <v>0.1</v>
      </c>
      <c r="B653" s="304">
        <f t="shared" ca="1" si="297"/>
        <v>19.899999999999952</v>
      </c>
      <c r="D653" s="306">
        <f t="shared" ca="1" si="298"/>
        <v>-0.17180926266153523</v>
      </c>
      <c r="E653" s="307">
        <f t="shared" ca="1" si="299"/>
        <v>-10.067581382655289</v>
      </c>
      <c r="F653" s="304">
        <f t="shared" ca="1" si="300"/>
        <v>10.069047289546498</v>
      </c>
      <c r="G653" s="306">
        <f t="shared" ca="1" si="301"/>
        <v>15.806262429646104</v>
      </c>
      <c r="H653" s="307">
        <f t="shared" ca="1" si="302"/>
        <v>22.716202747800896</v>
      </c>
      <c r="I653" s="304">
        <f t="shared" ca="1" si="303"/>
        <v>27.674244330677556</v>
      </c>
      <c r="J653" s="306">
        <f t="shared" ca="1" si="304"/>
        <v>435.60247708238398</v>
      </c>
      <c r="K653" s="307">
        <f t="shared" ca="1" si="305"/>
        <v>3015.6356156979273</v>
      </c>
      <c r="L653" s="304">
        <f t="shared" ca="1" si="290"/>
        <v>3046.9341451213095</v>
      </c>
      <c r="M653" s="306">
        <f t="shared" ca="1" si="306"/>
        <v>0.96288497436882425</v>
      </c>
      <c r="N653" s="304">
        <f t="shared" ca="1" si="307"/>
        <v>55.169245187896081</v>
      </c>
      <c r="P653" s="310">
        <f t="shared" ca="1" si="308"/>
        <v>23</v>
      </c>
      <c r="Q653" s="304">
        <f t="shared" ca="1" si="309"/>
        <v>0</v>
      </c>
      <c r="R653" s="306">
        <f t="shared" ca="1" si="310"/>
        <v>0</v>
      </c>
      <c r="S653" s="307">
        <f t="shared" ca="1" si="311"/>
        <v>6.4679999999999849</v>
      </c>
      <c r="T653" s="304">
        <f t="shared" ca="1" si="291"/>
        <v>63.451079999999855</v>
      </c>
      <c r="U653" s="311">
        <f t="shared" ca="1" si="292"/>
        <v>0</v>
      </c>
      <c r="V653" s="306">
        <f t="shared" ca="1" si="293"/>
        <v>0.90398747695585302</v>
      </c>
      <c r="W653" s="304">
        <f t="shared" ca="1" si="294"/>
        <v>1.8857142332532708</v>
      </c>
      <c r="Y653" s="314" t="str">
        <f t="shared" ca="1" si="312"/>
        <v/>
      </c>
      <c r="Z653" s="315" t="str">
        <f t="shared" ca="1" si="313"/>
        <v/>
      </c>
      <c r="AA653" s="316" t="str">
        <f t="shared" ca="1" si="314"/>
        <v/>
      </c>
      <c r="AC653" s="310" t="e">
        <f t="shared" ca="1" si="315"/>
        <v>#N/A</v>
      </c>
      <c r="AD653" s="323" t="e">
        <f t="shared" ca="1" si="316"/>
        <v>#N/A</v>
      </c>
      <c r="AE653" s="324">
        <f t="shared" ca="1" si="295"/>
        <v>3015.6356156979273</v>
      </c>
      <c r="AG653" s="306">
        <f t="shared" ca="1" si="317"/>
        <v>-8.4707446341080015</v>
      </c>
      <c r="AH653" s="304">
        <f t="shared" ca="1" si="318"/>
        <v>-0.30962330569081908</v>
      </c>
    </row>
    <row r="654" spans="1:34" x14ac:dyDescent="0.2">
      <c r="A654" s="347">
        <f t="shared" ca="1" si="296"/>
        <v>0.1</v>
      </c>
      <c r="B654" s="304">
        <f t="shared" ca="1" si="297"/>
        <v>19.999999999999954</v>
      </c>
      <c r="D654" s="306">
        <f t="shared" ca="1" si="298"/>
        <v>-0.16651727115440623</v>
      </c>
      <c r="E654" s="307">
        <f t="shared" ca="1" si="299"/>
        <v>-10.049312747677741</v>
      </c>
      <c r="F654" s="304">
        <f t="shared" ca="1" si="300"/>
        <v>10.050692249901548</v>
      </c>
      <c r="G654" s="306">
        <f t="shared" ca="1" si="301"/>
        <v>15.789610702530663</v>
      </c>
      <c r="H654" s="307">
        <f t="shared" ca="1" si="302"/>
        <v>21.711271473033122</v>
      </c>
      <c r="I654" s="304">
        <f t="shared" ca="1" si="303"/>
        <v>26.845690810877127</v>
      </c>
      <c r="J654" s="306">
        <f t="shared" ca="1" si="304"/>
        <v>437.18227073899283</v>
      </c>
      <c r="K654" s="307">
        <f t="shared" ca="1" si="305"/>
        <v>3017.8569894089692</v>
      </c>
      <c r="L654" s="304">
        <f t="shared" ca="1" si="290"/>
        <v>3049.3588090569251</v>
      </c>
      <c r="M654" s="306">
        <f t="shared" ca="1" si="306"/>
        <v>0.942012238565893</v>
      </c>
      <c r="N654" s="304">
        <f t="shared" ca="1" si="307"/>
        <v>53.973325519496512</v>
      </c>
      <c r="P654" s="310">
        <f t="shared" ca="1" si="308"/>
        <v>23</v>
      </c>
      <c r="Q654" s="304">
        <f t="shared" ca="1" si="309"/>
        <v>0</v>
      </c>
      <c r="R654" s="306">
        <f t="shared" ca="1" si="310"/>
        <v>0</v>
      </c>
      <c r="S654" s="307">
        <f t="shared" ca="1" si="311"/>
        <v>6.4679999999999849</v>
      </c>
      <c r="T654" s="304">
        <f t="shared" ca="1" si="291"/>
        <v>63.451079999999855</v>
      </c>
      <c r="U654" s="311">
        <f t="shared" ca="1" si="292"/>
        <v>0</v>
      </c>
      <c r="V654" s="306">
        <f t="shared" ca="1" si="293"/>
        <v>0.90378201574308126</v>
      </c>
      <c r="W654" s="304">
        <f t="shared" ca="1" si="294"/>
        <v>1.7740864797654039</v>
      </c>
      <c r="Y654" s="314" t="str">
        <f t="shared" ca="1" si="312"/>
        <v/>
      </c>
      <c r="Z654" s="315" t="str">
        <f t="shared" ca="1" si="313"/>
        <v/>
      </c>
      <c r="AA654" s="316" t="str">
        <f t="shared" ca="1" si="314"/>
        <v/>
      </c>
      <c r="AC654" s="310">
        <f t="shared" ca="1" si="315"/>
        <v>19.999999999999954</v>
      </c>
      <c r="AD654" s="323">
        <f t="shared" ca="1" si="316"/>
        <v>437.18227073899283</v>
      </c>
      <c r="AE654" s="324">
        <f t="shared" ca="1" si="295"/>
        <v>3017.8569894089692</v>
      </c>
      <c r="AG654" s="306">
        <f t="shared" ca="1" si="317"/>
        <v>-8.344012533099912</v>
      </c>
      <c r="AH654" s="304">
        <f t="shared" ca="1" si="318"/>
        <v>-0.29154518139351815</v>
      </c>
    </row>
    <row r="655" spans="1:34" x14ac:dyDescent="0.2">
      <c r="A655" s="347">
        <f t="shared" ca="1" si="296"/>
        <v>0.1</v>
      </c>
      <c r="B655" s="304">
        <f t="shared" ca="1" si="297"/>
        <v>20.099999999999955</v>
      </c>
      <c r="D655" s="306">
        <f t="shared" ca="1" si="298"/>
        <v>-0.16132497757943767</v>
      </c>
      <c r="E655" s="307">
        <f t="shared" ca="1" si="299"/>
        <v>-10.031827532647577</v>
      </c>
      <c r="F655" s="304">
        <f t="shared" ca="1" si="300"/>
        <v>10.033124607677161</v>
      </c>
      <c r="G655" s="306">
        <f t="shared" ca="1" si="301"/>
        <v>15.773478204772719</v>
      </c>
      <c r="H655" s="307">
        <f t="shared" ca="1" si="302"/>
        <v>20.708088719768366</v>
      </c>
      <c r="I655" s="304">
        <f t="shared" ca="1" si="303"/>
        <v>26.031280281658024</v>
      </c>
      <c r="J655" s="306">
        <f t="shared" ca="1" si="304"/>
        <v>438.76042518435798</v>
      </c>
      <c r="K655" s="307">
        <f t="shared" ca="1" si="305"/>
        <v>3019.9779574186091</v>
      </c>
      <c r="L655" s="304">
        <f t="shared" ca="1" si="290"/>
        <v>3051.6843830911203</v>
      </c>
      <c r="M655" s="306">
        <f t="shared" ca="1" si="306"/>
        <v>0.91984529146084337</v>
      </c>
      <c r="N655" s="304">
        <f t="shared" ca="1" si="307"/>
        <v>52.703253005687429</v>
      </c>
      <c r="P655" s="310">
        <f t="shared" ca="1" si="308"/>
        <v>23</v>
      </c>
      <c r="Q655" s="304">
        <f t="shared" ca="1" si="309"/>
        <v>0</v>
      </c>
      <c r="R655" s="306">
        <f t="shared" ca="1" si="310"/>
        <v>0</v>
      </c>
      <c r="S655" s="307">
        <f t="shared" ca="1" si="311"/>
        <v>6.4679999999999849</v>
      </c>
      <c r="T655" s="304">
        <f t="shared" ca="1" si="291"/>
        <v>63.451079999999855</v>
      </c>
      <c r="U655" s="311">
        <f t="shared" ca="1" si="292"/>
        <v>0</v>
      </c>
      <c r="V655" s="306">
        <f t="shared" ca="1" si="293"/>
        <v>0.90358587834611082</v>
      </c>
      <c r="W655" s="304">
        <f t="shared" ca="1" si="294"/>
        <v>1.6677172258594817</v>
      </c>
      <c r="Y655" s="314" t="str">
        <f t="shared" ca="1" si="312"/>
        <v/>
      </c>
      <c r="Z655" s="315" t="str">
        <f t="shared" ca="1" si="313"/>
        <v/>
      </c>
      <c r="AA655" s="316" t="str">
        <f t="shared" ca="1" si="314"/>
        <v/>
      </c>
      <c r="AC655" s="310" t="e">
        <f t="shared" ca="1" si="315"/>
        <v>#N/A</v>
      </c>
      <c r="AD655" s="323" t="e">
        <f t="shared" ca="1" si="316"/>
        <v>#N/A</v>
      </c>
      <c r="AE655" s="324">
        <f t="shared" ca="1" si="295"/>
        <v>3019.9779574186091</v>
      </c>
      <c r="AG655" s="306">
        <f t="shared" ca="1" si="317"/>
        <v>-8.2080580856296432</v>
      </c>
      <c r="AH655" s="304">
        <f t="shared" ca="1" si="318"/>
        <v>-0.27428671610473221</v>
      </c>
    </row>
    <row r="656" spans="1:34" x14ac:dyDescent="0.2">
      <c r="A656" s="347">
        <f t="shared" ca="1" si="296"/>
        <v>0.1</v>
      </c>
      <c r="B656" s="304">
        <f t="shared" ca="1" si="297"/>
        <v>20.199999999999957</v>
      </c>
      <c r="D656" s="306">
        <f t="shared" ca="1" si="298"/>
        <v>-0.15623716329088783</v>
      </c>
      <c r="E656" s="307">
        <f t="shared" ca="1" si="299"/>
        <v>-10.015114750009525</v>
      </c>
      <c r="F656" s="304">
        <f t="shared" ca="1" si="300"/>
        <v>10.016333336458583</v>
      </c>
      <c r="G656" s="306">
        <f t="shared" ca="1" si="301"/>
        <v>15.75785448844363</v>
      </c>
      <c r="H656" s="307">
        <f t="shared" ca="1" si="302"/>
        <v>19.706577244767413</v>
      </c>
      <c r="I656" s="304">
        <f t="shared" ca="1" si="303"/>
        <v>25.232105833301901</v>
      </c>
      <c r="J656" s="306">
        <f t="shared" ca="1" si="304"/>
        <v>440.33699181901881</v>
      </c>
      <c r="K656" s="307">
        <f t="shared" ca="1" si="305"/>
        <v>3021.9986907168359</v>
      </c>
      <c r="L656" s="304">
        <f t="shared" ca="1" si="290"/>
        <v>3053.9110584721511</v>
      </c>
      <c r="M656" s="306">
        <f t="shared" ca="1" si="306"/>
        <v>0.89628462169393286</v>
      </c>
      <c r="N656" s="304">
        <f t="shared" ca="1" si="307"/>
        <v>51.353326065541978</v>
      </c>
      <c r="P656" s="310">
        <f t="shared" ca="1" si="308"/>
        <v>23</v>
      </c>
      <c r="Q656" s="304">
        <f t="shared" ca="1" si="309"/>
        <v>0</v>
      </c>
      <c r="R656" s="306">
        <f t="shared" ca="1" si="310"/>
        <v>0</v>
      </c>
      <c r="S656" s="307">
        <f t="shared" ca="1" si="311"/>
        <v>6.4679999999999849</v>
      </c>
      <c r="T656" s="304">
        <f t="shared" ca="1" si="291"/>
        <v>63.451079999999855</v>
      </c>
      <c r="U656" s="311">
        <f t="shared" ca="1" si="292"/>
        <v>0</v>
      </c>
      <c r="V656" s="306">
        <f t="shared" ca="1" si="293"/>
        <v>0.90339904381361469</v>
      </c>
      <c r="W656" s="304">
        <f t="shared" ca="1" si="294"/>
        <v>1.5665654525093666</v>
      </c>
      <c r="Y656" s="314" t="str">
        <f t="shared" ca="1" si="312"/>
        <v/>
      </c>
      <c r="Z656" s="315" t="str">
        <f t="shared" ca="1" si="313"/>
        <v/>
      </c>
      <c r="AA656" s="316" t="str">
        <f t="shared" ca="1" si="314"/>
        <v/>
      </c>
      <c r="AC656" s="310" t="e">
        <f t="shared" ca="1" si="315"/>
        <v>#N/A</v>
      </c>
      <c r="AD656" s="323" t="e">
        <f t="shared" ca="1" si="316"/>
        <v>#N/A</v>
      </c>
      <c r="AE656" s="324">
        <f t="shared" ca="1" si="295"/>
        <v>3021.9986907168359</v>
      </c>
      <c r="AG656" s="306">
        <f t="shared" ca="1" si="317"/>
        <v>-8.0617736047224415</v>
      </c>
      <c r="AH656" s="304">
        <f t="shared" ca="1" si="318"/>
        <v>-0.25784125322502871</v>
      </c>
    </row>
    <row r="657" spans="1:34" x14ac:dyDescent="0.2">
      <c r="A657" s="347">
        <f t="shared" ca="1" si="296"/>
        <v>0.1</v>
      </c>
      <c r="B657" s="304">
        <f t="shared" ca="1" si="297"/>
        <v>20.299999999999958</v>
      </c>
      <c r="D657" s="306">
        <f t="shared" ca="1" si="298"/>
        <v>-0.1512593123798727</v>
      </c>
      <c r="E657" s="307">
        <f t="shared" ca="1" si="299"/>
        <v>-9.9991630187085683</v>
      </c>
      <c r="F657" s="304">
        <f t="shared" ca="1" si="300"/>
        <v>10.000307018001532</v>
      </c>
      <c r="G657" s="306">
        <f t="shared" ca="1" si="301"/>
        <v>15.742728557205643</v>
      </c>
      <c r="H657" s="307">
        <f t="shared" ca="1" si="302"/>
        <v>18.706660942896555</v>
      </c>
      <c r="I657" s="304">
        <f t="shared" ca="1" si="303"/>
        <v>24.449389891331634</v>
      </c>
      <c r="J657" s="306">
        <f t="shared" ca="1" si="304"/>
        <v>441.91202097130127</v>
      </c>
      <c r="K657" s="307">
        <f t="shared" ca="1" si="305"/>
        <v>3023.9193526262193</v>
      </c>
      <c r="L657" s="304">
        <f t="shared" ca="1" si="290"/>
        <v>3056.0390189698678</v>
      </c>
      <c r="M657" s="306">
        <f t="shared" ca="1" si="306"/>
        <v>0.87122410456026389</v>
      </c>
      <c r="N657" s="304">
        <f t="shared" ca="1" si="307"/>
        <v>49.917464201367459</v>
      </c>
      <c r="P657" s="310">
        <f t="shared" ca="1" si="308"/>
        <v>23</v>
      </c>
      <c r="Q657" s="304">
        <f t="shared" ca="1" si="309"/>
        <v>0</v>
      </c>
      <c r="R657" s="306">
        <f t="shared" ca="1" si="310"/>
        <v>0</v>
      </c>
      <c r="S657" s="307">
        <f t="shared" ca="1" si="311"/>
        <v>6.4679999999999849</v>
      </c>
      <c r="T657" s="304">
        <f t="shared" ca="1" si="291"/>
        <v>63.451079999999855</v>
      </c>
      <c r="U657" s="311">
        <f t="shared" ca="1" si="292"/>
        <v>0</v>
      </c>
      <c r="V657" s="306">
        <f t="shared" ca="1" si="293"/>
        <v>0.9032214921592322</v>
      </c>
      <c r="W657" s="304">
        <f t="shared" ca="1" si="294"/>
        <v>1.4705921338892376</v>
      </c>
      <c r="Y657" s="314" t="str">
        <f t="shared" ca="1" si="312"/>
        <v/>
      </c>
      <c r="Z657" s="315" t="str">
        <f t="shared" ca="1" si="313"/>
        <v/>
      </c>
      <c r="AA657" s="316" t="str">
        <f t="shared" ca="1" si="314"/>
        <v/>
      </c>
      <c r="AC657" s="310" t="e">
        <f t="shared" ca="1" si="315"/>
        <v>#N/A</v>
      </c>
      <c r="AD657" s="323" t="e">
        <f t="shared" ca="1" si="316"/>
        <v>#N/A</v>
      </c>
      <c r="AE657" s="324">
        <f t="shared" ca="1" si="295"/>
        <v>3023.9193526262193</v>
      </c>
      <c r="AG657" s="306">
        <f t="shared" ca="1" si="317"/>
        <v>-7.9039300945896596</v>
      </c>
      <c r="AH657" s="304">
        <f t="shared" ca="1" si="318"/>
        <v>-0.24220245091363177</v>
      </c>
    </row>
    <row r="658" spans="1:34" x14ac:dyDescent="0.2">
      <c r="A658" s="347">
        <f t="shared" ca="1" si="296"/>
        <v>0.1</v>
      </c>
      <c r="B658" s="304">
        <f t="shared" ca="1" si="297"/>
        <v>20.399999999999959</v>
      </c>
      <c r="D658" s="306">
        <f t="shared" ca="1" si="298"/>
        <v>-0.14639768471123729</v>
      </c>
      <c r="E658" s="307">
        <f t="shared" ca="1" si="299"/>
        <v>-9.9839604313678336</v>
      </c>
      <c r="F658" s="304">
        <f t="shared" ca="1" si="300"/>
        <v>9.9850337093676043</v>
      </c>
      <c r="G658" s="306">
        <f t="shared" ca="1" si="301"/>
        <v>15.728088788734519</v>
      </c>
      <c r="H658" s="307">
        <f t="shared" ca="1" si="302"/>
        <v>17.708264899759772</v>
      </c>
      <c r="I658" s="304">
        <f t="shared" ca="1" si="303"/>
        <v>23.684497518553787</v>
      </c>
      <c r="J658" s="306">
        <f t="shared" ca="1" si="304"/>
        <v>443.4855618385983</v>
      </c>
      <c r="K658" s="307">
        <f t="shared" ca="1" si="305"/>
        <v>3025.740098918352</v>
      </c>
      <c r="L658" s="304">
        <f t="shared" ca="1" si="290"/>
        <v>3058.068440987176</v>
      </c>
      <c r="M658" s="306">
        <f t="shared" ca="1" si="306"/>
        <v>0.84455132290605006</v>
      </c>
      <c r="N658" s="304">
        <f t="shared" ca="1" si="307"/>
        <v>48.389226384707037</v>
      </c>
      <c r="P658" s="310">
        <f t="shared" ca="1" si="308"/>
        <v>23</v>
      </c>
      <c r="Q658" s="304">
        <f t="shared" ca="1" si="309"/>
        <v>0</v>
      </c>
      <c r="R658" s="306">
        <f t="shared" ca="1" si="310"/>
        <v>0</v>
      </c>
      <c r="S658" s="307">
        <f t="shared" ca="1" si="311"/>
        <v>6.4679999999999849</v>
      </c>
      <c r="T658" s="304">
        <f t="shared" ca="1" si="291"/>
        <v>63.451079999999855</v>
      </c>
      <c r="U658" s="311">
        <f t="shared" ca="1" si="292"/>
        <v>0</v>
      </c>
      <c r="V658" s="306">
        <f t="shared" ca="1" si="293"/>
        <v>0.90305320434854597</v>
      </c>
      <c r="W658" s="304">
        <f t="shared" ca="1" si="294"/>
        <v>1.3797601949939982</v>
      </c>
      <c r="Y658" s="314" t="str">
        <f t="shared" ca="1" si="312"/>
        <v/>
      </c>
      <c r="Z658" s="315" t="str">
        <f t="shared" ca="1" si="313"/>
        <v/>
      </c>
      <c r="AA658" s="316" t="str">
        <f t="shared" ca="1" si="314"/>
        <v/>
      </c>
      <c r="AC658" s="310" t="e">
        <f t="shared" ca="1" si="315"/>
        <v>#N/A</v>
      </c>
      <c r="AD658" s="323" t="e">
        <f t="shared" ca="1" si="316"/>
        <v>#N/A</v>
      </c>
      <c r="AE658" s="324">
        <f t="shared" ca="1" si="295"/>
        <v>3025.740098918352</v>
      </c>
      <c r="AG658" s="306">
        <f t="shared" ca="1" si="317"/>
        <v>-7.7331689056069086</v>
      </c>
      <c r="AH658" s="304">
        <f t="shared" ca="1" si="318"/>
        <v>-0.22736427549307994</v>
      </c>
    </row>
    <row r="659" spans="1:34" x14ac:dyDescent="0.2">
      <c r="A659" s="347">
        <f t="shared" ca="1" si="296"/>
        <v>0.1</v>
      </c>
      <c r="B659" s="304">
        <f t="shared" ca="1" si="297"/>
        <v>20.499999999999961</v>
      </c>
      <c r="D659" s="306">
        <f t="shared" ca="1" si="298"/>
        <v>-0.14165939326402768</v>
      </c>
      <c r="E659" s="307">
        <f t="shared" ca="1" si="299"/>
        <v>-9.9694943985346427</v>
      </c>
      <c r="F659" s="304">
        <f t="shared" ca="1" si="300"/>
        <v>9.9705007871276727</v>
      </c>
      <c r="G659" s="306">
        <f t="shared" ca="1" si="301"/>
        <v>15.713922849408116</v>
      </c>
      <c r="H659" s="307">
        <f t="shared" ca="1" si="302"/>
        <v>16.711315459906309</v>
      </c>
      <c r="I659" s="304">
        <f t="shared" ca="1" si="303"/>
        <v>22.938950187784403</v>
      </c>
      <c r="J659" s="306">
        <f t="shared" ca="1" si="304"/>
        <v>445.05766242050544</v>
      </c>
      <c r="K659" s="307">
        <f t="shared" ca="1" si="305"/>
        <v>3027.4610779363352</v>
      </c>
      <c r="L659" s="304">
        <f t="shared" ca="1" si="290"/>
        <v>3059.9994936762064</v>
      </c>
      <c r="M659" s="306">
        <f t="shared" ca="1" si="306"/>
        <v>0.81614822956910038</v>
      </c>
      <c r="N659" s="304">
        <f t="shared" ca="1" si="307"/>
        <v>46.761849011383667</v>
      </c>
      <c r="P659" s="310">
        <f t="shared" ca="1" si="308"/>
        <v>23</v>
      </c>
      <c r="Q659" s="304">
        <f t="shared" ca="1" si="309"/>
        <v>0</v>
      </c>
      <c r="R659" s="306">
        <f t="shared" ca="1" si="310"/>
        <v>0</v>
      </c>
      <c r="S659" s="307">
        <f t="shared" ca="1" si="311"/>
        <v>6.4679999999999849</v>
      </c>
      <c r="T659" s="304">
        <f t="shared" ca="1" si="291"/>
        <v>63.451079999999855</v>
      </c>
      <c r="U659" s="311">
        <f t="shared" ca="1" si="292"/>
        <v>0</v>
      </c>
      <c r="V659" s="306">
        <f t="shared" ca="1" si="293"/>
        <v>0.90289416228561747</v>
      </c>
      <c r="W659" s="304">
        <f t="shared" ca="1" si="294"/>
        <v>1.2940344692190691</v>
      </c>
      <c r="Y659" s="314" t="str">
        <f t="shared" ca="1" si="312"/>
        <v/>
      </c>
      <c r="Z659" s="315" t="str">
        <f t="shared" ca="1" si="313"/>
        <v/>
      </c>
      <c r="AA659" s="316" t="str">
        <f t="shared" ca="1" si="314"/>
        <v/>
      </c>
      <c r="AC659" s="310" t="e">
        <f t="shared" ca="1" si="315"/>
        <v>#N/A</v>
      </c>
      <c r="AD659" s="323" t="e">
        <f t="shared" ca="1" si="316"/>
        <v>#N/A</v>
      </c>
      <c r="AE659" s="324">
        <f t="shared" ca="1" si="295"/>
        <v>3027.4610779363352</v>
      </c>
      <c r="AG659" s="306">
        <f t="shared" ca="1" si="317"/>
        <v>-7.5479954388263319</v>
      </c>
      <c r="AH659" s="304">
        <f t="shared" ca="1" si="318"/>
        <v>-0.21332099489703174</v>
      </c>
    </row>
    <row r="660" spans="1:34" x14ac:dyDescent="0.2">
      <c r="A660" s="347">
        <f t="shared" ca="1" si="296"/>
        <v>0.1</v>
      </c>
      <c r="B660" s="304">
        <f t="shared" ca="1" si="297"/>
        <v>20.599999999999962</v>
      </c>
      <c r="D660" s="306">
        <f t="shared" ca="1" si="298"/>
        <v>-0.13705248416024446</v>
      </c>
      <c r="E660" s="307">
        <f t="shared" ca="1" si="299"/>
        <v>-9.955751466347051</v>
      </c>
      <c r="F660" s="304">
        <f t="shared" ca="1" si="300"/>
        <v>9.9566947649853148</v>
      </c>
      <c r="G660" s="306">
        <f t="shared" ca="1" si="301"/>
        <v>15.700217600992092</v>
      </c>
      <c r="H660" s="307">
        <f t="shared" ca="1" si="302"/>
        <v>15.715740313271604</v>
      </c>
      <c r="I660" s="304">
        <f t="shared" ca="1" si="303"/>
        <v>22.214439590336106</v>
      </c>
      <c r="J660" s="306">
        <f t="shared" ca="1" si="304"/>
        <v>446.62836944302546</v>
      </c>
      <c r="K660" s="307">
        <f t="shared" ca="1" si="305"/>
        <v>3029.0824307249941</v>
      </c>
      <c r="L660" s="304">
        <f t="shared" ca="1" si="290"/>
        <v>3061.832339060742</v>
      </c>
      <c r="M660" s="306">
        <f t="shared" ca="1" si="306"/>
        <v>0.78589226614162211</v>
      </c>
      <c r="N660" s="304">
        <f t="shared" ca="1" si="307"/>
        <v>45.028310001886993</v>
      </c>
      <c r="P660" s="310">
        <f t="shared" ca="1" si="308"/>
        <v>23</v>
      </c>
      <c r="Q660" s="304">
        <f t="shared" ca="1" si="309"/>
        <v>0</v>
      </c>
      <c r="R660" s="306">
        <f t="shared" ca="1" si="310"/>
        <v>0</v>
      </c>
      <c r="S660" s="307">
        <f t="shared" ca="1" si="311"/>
        <v>6.4679999999999849</v>
      </c>
      <c r="T660" s="304">
        <f t="shared" ca="1" si="291"/>
        <v>63.451079999999855</v>
      </c>
      <c r="U660" s="311">
        <f t="shared" ca="1" si="292"/>
        <v>0</v>
      </c>
      <c r="V660" s="306">
        <f t="shared" ca="1" si="293"/>
        <v>0.90274434879893739</v>
      </c>
      <c r="W660" s="304">
        <f t="shared" ca="1" si="294"/>
        <v>1.213381655533329</v>
      </c>
      <c r="Y660" s="314" t="str">
        <f t="shared" ca="1" si="312"/>
        <v/>
      </c>
      <c r="Z660" s="315" t="str">
        <f t="shared" ca="1" si="313"/>
        <v/>
      </c>
      <c r="AA660" s="316" t="str">
        <f t="shared" ca="1" si="314"/>
        <v/>
      </c>
      <c r="AC660" s="310" t="e">
        <f t="shared" ca="1" si="315"/>
        <v>#N/A</v>
      </c>
      <c r="AD660" s="323" t="e">
        <f t="shared" ca="1" si="316"/>
        <v>#N/A</v>
      </c>
      <c r="AE660" s="324">
        <f t="shared" ca="1" si="295"/>
        <v>3029.0824307249941</v>
      </c>
      <c r="AG660" s="306">
        <f t="shared" ca="1" si="317"/>
        <v>-7.3467762987126353</v>
      </c>
      <c r="AH660" s="304">
        <f t="shared" ca="1" si="318"/>
        <v>-0.20006717211179223</v>
      </c>
    </row>
    <row r="661" spans="1:34" x14ac:dyDescent="0.2">
      <c r="A661" s="347">
        <f t="shared" ca="1" si="296"/>
        <v>0.1</v>
      </c>
      <c r="B661" s="304">
        <f t="shared" ca="1" si="297"/>
        <v>20.699999999999964</v>
      </c>
      <c r="D661" s="306">
        <f t="shared" ca="1" si="298"/>
        <v>-0.13258601680100102</v>
      </c>
      <c r="E661" s="307">
        <f t="shared" ca="1" si="299"/>
        <v>-9.9427171038116011</v>
      </c>
      <c r="F661" s="304">
        <f t="shared" ca="1" si="300"/>
        <v>9.9436010810107884</v>
      </c>
      <c r="G661" s="306">
        <f t="shared" ca="1" si="301"/>
        <v>15.686958999311992</v>
      </c>
      <c r="H661" s="307">
        <f t="shared" ca="1" si="302"/>
        <v>14.721468602890445</v>
      </c>
      <c r="I661" s="304">
        <f t="shared" ca="1" si="303"/>
        <v>21.512840827561213</v>
      </c>
      <c r="J661" s="306">
        <f t="shared" ca="1" si="304"/>
        <v>448.19772827304064</v>
      </c>
      <c r="K661" s="307">
        <f t="shared" ca="1" si="305"/>
        <v>3030.6042911708023</v>
      </c>
      <c r="L661" s="304">
        <f t="shared" ca="1" si="290"/>
        <v>3063.5671321666832</v>
      </c>
      <c r="M661" s="306">
        <f t="shared" ca="1" si="306"/>
        <v>0.75365807591495104</v>
      </c>
      <c r="N661" s="304">
        <f t="shared" ca="1" si="307"/>
        <v>43.181426945876893</v>
      </c>
      <c r="P661" s="310">
        <f t="shared" ca="1" si="308"/>
        <v>23</v>
      </c>
      <c r="Q661" s="304">
        <f t="shared" ca="1" si="309"/>
        <v>0</v>
      </c>
      <c r="R661" s="306">
        <f t="shared" ca="1" si="310"/>
        <v>0</v>
      </c>
      <c r="S661" s="307">
        <f t="shared" ca="1" si="311"/>
        <v>6.4679999999999849</v>
      </c>
      <c r="T661" s="304">
        <f t="shared" ca="1" si="291"/>
        <v>63.451079999999855</v>
      </c>
      <c r="U661" s="311">
        <f t="shared" ca="1" si="292"/>
        <v>0</v>
      </c>
      <c r="V661" s="306">
        <f t="shared" ca="1" si="293"/>
        <v>0.90260374762658901</v>
      </c>
      <c r="W661" s="304">
        <f t="shared" ca="1" si="294"/>
        <v>1.1377702748249119</v>
      </c>
      <c r="Y661" s="314" t="str">
        <f t="shared" ca="1" si="312"/>
        <v/>
      </c>
      <c r="Z661" s="315" t="str">
        <f t="shared" ca="1" si="313"/>
        <v/>
      </c>
      <c r="AA661" s="316" t="str">
        <f t="shared" ca="1" si="314"/>
        <v/>
      </c>
      <c r="AC661" s="310" t="e">
        <f t="shared" ca="1" si="315"/>
        <v>#N/A</v>
      </c>
      <c r="AD661" s="323" t="e">
        <f t="shared" ca="1" si="316"/>
        <v>#N/A</v>
      </c>
      <c r="AE661" s="324">
        <f t="shared" ca="1" si="295"/>
        <v>3030.6042911708023</v>
      </c>
      <c r="AG661" s="306">
        <f t="shared" ca="1" si="317"/>
        <v>-7.1277417862629013</v>
      </c>
      <c r="AH661" s="304">
        <f t="shared" ca="1" si="318"/>
        <v>-0.1875976585549369</v>
      </c>
    </row>
    <row r="662" spans="1:34" x14ac:dyDescent="0.2">
      <c r="A662" s="347">
        <f t="shared" ca="1" si="296"/>
        <v>0.1</v>
      </c>
      <c r="B662" s="304">
        <f t="shared" ca="1" si="297"/>
        <v>20.799999999999965</v>
      </c>
      <c r="D662" s="306">
        <f t="shared" ca="1" si="298"/>
        <v>-0.12827014024649017</v>
      </c>
      <c r="E662" s="307">
        <f t="shared" ca="1" si="299"/>
        <v>-9.9303754559701396</v>
      </c>
      <c r="F662" s="304">
        <f t="shared" ca="1" si="300"/>
        <v>9.9312038507631595</v>
      </c>
      <c r="G662" s="306">
        <f t="shared" ca="1" si="301"/>
        <v>15.674131985287342</v>
      </c>
      <c r="H662" s="307">
        <f t="shared" ca="1" si="302"/>
        <v>13.728431057293431</v>
      </c>
      <c r="I662" s="304">
        <f t="shared" ca="1" si="303"/>
        <v>20.836224053006021</v>
      </c>
      <c r="J662" s="306">
        <f t="shared" ca="1" si="304"/>
        <v>449.76578282227058</v>
      </c>
      <c r="K662" s="307">
        <f t="shared" ca="1" si="305"/>
        <v>3032.0267861538114</v>
      </c>
      <c r="L662" s="304">
        <f t="shared" ca="1" si="290"/>
        <v>3065.2040211626927</v>
      </c>
      <c r="M662" s="306">
        <f t="shared" ca="1" si="306"/>
        <v>0.71931996998960546</v>
      </c>
      <c r="N662" s="304">
        <f t="shared" ca="1" si="307"/>
        <v>41.213998399881426</v>
      </c>
      <c r="P662" s="310">
        <f t="shared" ca="1" si="308"/>
        <v>23</v>
      </c>
      <c r="Q662" s="304">
        <f t="shared" ca="1" si="309"/>
        <v>0</v>
      </c>
      <c r="R662" s="306">
        <f t="shared" ca="1" si="310"/>
        <v>0</v>
      </c>
      <c r="S662" s="307">
        <f t="shared" ca="1" si="311"/>
        <v>6.4679999999999849</v>
      </c>
      <c r="T662" s="304">
        <f t="shared" ca="1" si="291"/>
        <v>63.451079999999855</v>
      </c>
      <c r="U662" s="311">
        <f t="shared" ca="1" si="292"/>
        <v>0</v>
      </c>
      <c r="V662" s="306">
        <f t="shared" ca="1" si="293"/>
        <v>0.90247234340042459</v>
      </c>
      <c r="W662" s="304">
        <f t="shared" ca="1" si="294"/>
        <v>1.0671706249382324</v>
      </c>
      <c r="Y662" s="314" t="str">
        <f t="shared" ca="1" si="312"/>
        <v/>
      </c>
      <c r="Z662" s="315" t="str">
        <f t="shared" ca="1" si="313"/>
        <v/>
      </c>
      <c r="AA662" s="316" t="str">
        <f t="shared" ca="1" si="314"/>
        <v/>
      </c>
      <c r="AC662" s="310" t="e">
        <f t="shared" ca="1" si="315"/>
        <v>#N/A</v>
      </c>
      <c r="AD662" s="323" t="e">
        <f t="shared" ca="1" si="316"/>
        <v>#N/A</v>
      </c>
      <c r="AE662" s="324">
        <f t="shared" ca="1" si="295"/>
        <v>3032.0267861538114</v>
      </c>
      <c r="AG662" s="306">
        <f t="shared" ca="1" si="317"/>
        <v>-6.8889962096959261</v>
      </c>
      <c r="AH662" s="304">
        <f t="shared" ca="1" si="318"/>
        <v>-0.17590758732605358</v>
      </c>
    </row>
    <row r="663" spans="1:34" x14ac:dyDescent="0.2">
      <c r="A663" s="347">
        <f t="shared" ca="1" si="296"/>
        <v>0.1</v>
      </c>
      <c r="B663" s="304">
        <f t="shared" ca="1" si="297"/>
        <v>20.899999999999967</v>
      </c>
      <c r="D663" s="306">
        <f t="shared" ca="1" si="298"/>
        <v>-0.12411616033063402</v>
      </c>
      <c r="E663" s="307">
        <f t="shared" ca="1" si="299"/>
        <v>-9.9187090597293999</v>
      </c>
      <c r="F663" s="304">
        <f t="shared" ca="1" si="300"/>
        <v>9.9194855830740174</v>
      </c>
      <c r="G663" s="306">
        <f t="shared" ca="1" si="301"/>
        <v>15.661720369254279</v>
      </c>
      <c r="H663" s="307">
        <f t="shared" ca="1" si="302"/>
        <v>12.736560151320491</v>
      </c>
      <c r="I663" s="304">
        <f t="shared" ca="1" si="303"/>
        <v>20.186863288111887</v>
      </c>
      <c r="J663" s="306">
        <f t="shared" ca="1" si="304"/>
        <v>451.33257543999764</v>
      </c>
      <c r="K663" s="307">
        <f t="shared" ca="1" si="305"/>
        <v>3033.350035714242</v>
      </c>
      <c r="L663" s="304">
        <f t="shared" ca="1" si="290"/>
        <v>3066.7431475134813</v>
      </c>
      <c r="M663" s="306">
        <f t="shared" ca="1" si="306"/>
        <v>0.68275531971785586</v>
      </c>
      <c r="N663" s="304">
        <f t="shared" ca="1" si="307"/>
        <v>39.118998259938294</v>
      </c>
      <c r="P663" s="310">
        <f t="shared" ca="1" si="308"/>
        <v>23</v>
      </c>
      <c r="Q663" s="304">
        <f t="shared" ca="1" si="309"/>
        <v>0</v>
      </c>
      <c r="R663" s="306">
        <f t="shared" ca="1" si="310"/>
        <v>0</v>
      </c>
      <c r="S663" s="307">
        <f t="shared" ca="1" si="311"/>
        <v>6.4679999999999849</v>
      </c>
      <c r="T663" s="304">
        <f t="shared" ca="1" si="291"/>
        <v>63.451079999999855</v>
      </c>
      <c r="U663" s="311">
        <f t="shared" ca="1" si="292"/>
        <v>0</v>
      </c>
      <c r="V663" s="306">
        <f t="shared" ca="1" si="293"/>
        <v>0.90235012162899919</v>
      </c>
      <c r="W663" s="304">
        <f t="shared" ca="1" si="294"/>
        <v>1.0015547338523474</v>
      </c>
      <c r="Y663" s="314" t="str">
        <f t="shared" ca="1" si="312"/>
        <v/>
      </c>
      <c r="Z663" s="315" t="str">
        <f t="shared" ca="1" si="313"/>
        <v/>
      </c>
      <c r="AA663" s="316" t="str">
        <f t="shared" ca="1" si="314"/>
        <v/>
      </c>
      <c r="AC663" s="310" t="e">
        <f t="shared" ca="1" si="315"/>
        <v>#N/A</v>
      </c>
      <c r="AD663" s="323" t="e">
        <f t="shared" ca="1" si="316"/>
        <v>#N/A</v>
      </c>
      <c r="AE663" s="324">
        <f t="shared" ca="1" si="295"/>
        <v>3033.350035714242</v>
      </c>
      <c r="AG663" s="306">
        <f t="shared" ca="1" si="317"/>
        <v>-6.628539136026939</v>
      </c>
      <c r="AH663" s="304">
        <f t="shared" ca="1" si="318"/>
        <v>-0.16499236625513836</v>
      </c>
    </row>
    <row r="664" spans="1:34" x14ac:dyDescent="0.2">
      <c r="A664" s="347">
        <f t="shared" ca="1" si="296"/>
        <v>0.1</v>
      </c>
      <c r="B664" s="304">
        <f t="shared" ca="1" si="297"/>
        <v>20.999999999999968</v>
      </c>
      <c r="D664" s="306">
        <f t="shared" ca="1" si="298"/>
        <v>-0.12013658997692463</v>
      </c>
      <c r="E664" s="307">
        <f t="shared" ca="1" si="299"/>
        <v>-9.9076985202480969</v>
      </c>
      <c r="F664" s="304">
        <f t="shared" ca="1" si="300"/>
        <v>9.9084268563873259</v>
      </c>
      <c r="G664" s="306">
        <f t="shared" ca="1" si="301"/>
        <v>15.649706710256588</v>
      </c>
      <c r="H664" s="307">
        <f t="shared" ca="1" si="302"/>
        <v>11.745790299295681</v>
      </c>
      <c r="I664" s="304">
        <f t="shared" ca="1" si="303"/>
        <v>19.567240732205413</v>
      </c>
      <c r="J664" s="306">
        <f t="shared" ca="1" si="304"/>
        <v>452.89814679397318</v>
      </c>
      <c r="K664" s="307">
        <f t="shared" ca="1" si="305"/>
        <v>3034.5741532367729</v>
      </c>
      <c r="L664" s="304">
        <f t="shared" ca="1" si="290"/>
        <v>3068.1846461486134</v>
      </c>
      <c r="M664" s="306">
        <f t="shared" ca="1" si="306"/>
        <v>0.64384904816364008</v>
      </c>
      <c r="N664" s="304">
        <f t="shared" ca="1" si="307"/>
        <v>36.889833103291842</v>
      </c>
      <c r="P664" s="310">
        <f t="shared" ca="1" si="308"/>
        <v>23</v>
      </c>
      <c r="Q664" s="304">
        <f t="shared" ca="1" si="309"/>
        <v>0</v>
      </c>
      <c r="R664" s="306">
        <f t="shared" ca="1" si="310"/>
        <v>0</v>
      </c>
      <c r="S664" s="307">
        <f t="shared" ca="1" si="311"/>
        <v>6.4679999999999849</v>
      </c>
      <c r="T664" s="304">
        <f t="shared" ca="1" si="291"/>
        <v>63.451079999999855</v>
      </c>
      <c r="U664" s="311">
        <f t="shared" ca="1" si="292"/>
        <v>0</v>
      </c>
      <c r="V664" s="306">
        <f t="shared" ca="1" si="293"/>
        <v>0.90223706867898046</v>
      </c>
      <c r="W664" s="304">
        <f t="shared" ca="1" si="294"/>
        <v>0.94089631037740329</v>
      </c>
      <c r="Y664" s="314" t="str">
        <f t="shared" ca="1" si="312"/>
        <v/>
      </c>
      <c r="Z664" s="315" t="str">
        <f t="shared" ca="1" si="313"/>
        <v/>
      </c>
      <c r="AA664" s="316" t="str">
        <f t="shared" ca="1" si="314"/>
        <v/>
      </c>
      <c r="AC664" s="310">
        <f t="shared" ca="1" si="315"/>
        <v>20.999999999999968</v>
      </c>
      <c r="AD664" s="323">
        <f t="shared" ca="1" si="316"/>
        <v>452.89814679397318</v>
      </c>
      <c r="AE664" s="324">
        <f t="shared" ca="1" si="295"/>
        <v>3034.5741532367729</v>
      </c>
      <c r="AG664" s="306">
        <f t="shared" ca="1" si="317"/>
        <v>-6.3443013416574257</v>
      </c>
      <c r="AH664" s="304">
        <f t="shared" ca="1" si="318"/>
        <v>-0.15484767066362859</v>
      </c>
    </row>
    <row r="665" spans="1:34" x14ac:dyDescent="0.2">
      <c r="A665" s="347">
        <f t="shared" ca="1" si="296"/>
        <v>0.1</v>
      </c>
      <c r="B665" s="304">
        <f t="shared" ca="1" si="297"/>
        <v>21.099999999999969</v>
      </c>
      <c r="D665" s="306">
        <f t="shared" ca="1" si="298"/>
        <v>-0.11634517282334014</v>
      </c>
      <c r="E665" s="307">
        <f t="shared" ca="1" si="299"/>
        <v>-9.8973221477960767</v>
      </c>
      <c r="F665" s="304">
        <f t="shared" ca="1" si="300"/>
        <v>9.8980059555697402</v>
      </c>
      <c r="G665" s="306">
        <f t="shared" ca="1" si="301"/>
        <v>15.638072192974255</v>
      </c>
      <c r="H665" s="307">
        <f t="shared" ca="1" si="302"/>
        <v>10.756058084516074</v>
      </c>
      <c r="I665" s="304">
        <f t="shared" ca="1" si="303"/>
        <v>18.980044452797213</v>
      </c>
      <c r="J665" s="306">
        <f t="shared" ca="1" si="304"/>
        <v>454.46253573913475</v>
      </c>
      <c r="K665" s="307">
        <f t="shared" ca="1" si="305"/>
        <v>3035.6992456559633</v>
      </c>
      <c r="L665" s="304">
        <f t="shared" ca="1" si="290"/>
        <v>3069.5286456501149</v>
      </c>
      <c r="M665" s="306">
        <f t="shared" ca="1" si="306"/>
        <v>0.60249936719193775</v>
      </c>
      <c r="N665" s="304">
        <f t="shared" ca="1" si="307"/>
        <v>34.520670899400891</v>
      </c>
      <c r="P665" s="310">
        <f t="shared" ca="1" si="308"/>
        <v>23</v>
      </c>
      <c r="Q665" s="304">
        <f t="shared" ca="1" si="309"/>
        <v>0</v>
      </c>
      <c r="R665" s="306">
        <f t="shared" ca="1" si="310"/>
        <v>0</v>
      </c>
      <c r="S665" s="307">
        <f t="shared" ca="1" si="311"/>
        <v>6.4679999999999849</v>
      </c>
      <c r="T665" s="304">
        <f t="shared" ca="1" si="291"/>
        <v>63.451079999999855</v>
      </c>
      <c r="U665" s="311">
        <f t="shared" ca="1" si="292"/>
        <v>0</v>
      </c>
      <c r="V665" s="306">
        <f t="shared" ca="1" si="293"/>
        <v>0.90213317175472085</v>
      </c>
      <c r="W665" s="304">
        <f t="shared" ca="1" si="294"/>
        <v>0.8851706916705756</v>
      </c>
      <c r="Y665" s="314" t="str">
        <f t="shared" ca="1" si="312"/>
        <v/>
      </c>
      <c r="Z665" s="315" t="str">
        <f t="shared" ca="1" si="313"/>
        <v/>
      </c>
      <c r="AA665" s="316" t="str">
        <f t="shared" ca="1" si="314"/>
        <v/>
      </c>
      <c r="AC665" s="310" t="e">
        <f t="shared" ca="1" si="315"/>
        <v>#N/A</v>
      </c>
      <c r="AD665" s="323" t="e">
        <f t="shared" ca="1" si="316"/>
        <v>#N/A</v>
      </c>
      <c r="AE665" s="324">
        <f t="shared" ca="1" si="295"/>
        <v>3035.6992456559633</v>
      </c>
      <c r="AG665" s="306">
        <f t="shared" ca="1" si="317"/>
        <v>-6.0341997075802807</v>
      </c>
      <c r="AH665" s="304">
        <f t="shared" ca="1" si="318"/>
        <v>-0.14546943574171389</v>
      </c>
    </row>
    <row r="666" spans="1:34" x14ac:dyDescent="0.2">
      <c r="A666" s="347">
        <f t="shared" ca="1" si="296"/>
        <v>0.1</v>
      </c>
      <c r="B666" s="304">
        <f t="shared" ca="1" si="297"/>
        <v>21.199999999999971</v>
      </c>
      <c r="D666" s="306">
        <f t="shared" ca="1" si="298"/>
        <v>-0.11275686772064183</v>
      </c>
      <c r="E666" s="307">
        <f t="shared" ca="1" si="299"/>
        <v>-9.8875555582341033</v>
      </c>
      <c r="F666" s="304">
        <f t="shared" ca="1" si="300"/>
        <v>9.888198472339857</v>
      </c>
      <c r="G666" s="306">
        <f t="shared" ca="1" si="301"/>
        <v>15.62679650620219</v>
      </c>
      <c r="H666" s="307">
        <f t="shared" ca="1" si="302"/>
        <v>9.7673025286926638</v>
      </c>
      <c r="I666" s="304">
        <f t="shared" ca="1" si="303"/>
        <v>18.428156927193211</v>
      </c>
      <c r="J666" s="306">
        <f t="shared" ca="1" si="304"/>
        <v>456.0257791740936</v>
      </c>
      <c r="K666" s="307">
        <f t="shared" ca="1" si="305"/>
        <v>3036.7254136866236</v>
      </c>
      <c r="L666" s="304">
        <f t="shared" ca="1" si="290"/>
        <v>3070.7752684625971</v>
      </c>
      <c r="M666" s="306">
        <f t="shared" ca="1" si="306"/>
        <v>0.55862484123339173</v>
      </c>
      <c r="N666" s="304">
        <f t="shared" ca="1" si="307"/>
        <v>32.006845733839029</v>
      </c>
      <c r="P666" s="310">
        <f t="shared" ca="1" si="308"/>
        <v>23</v>
      </c>
      <c r="Q666" s="304">
        <f t="shared" ca="1" si="309"/>
        <v>0</v>
      </c>
      <c r="R666" s="306">
        <f t="shared" ca="1" si="310"/>
        <v>0</v>
      </c>
      <c r="S666" s="307">
        <f t="shared" ca="1" si="311"/>
        <v>6.4679999999999849</v>
      </c>
      <c r="T666" s="304">
        <f t="shared" ca="1" si="291"/>
        <v>63.451079999999855</v>
      </c>
      <c r="U666" s="311">
        <f t="shared" ca="1" si="292"/>
        <v>0</v>
      </c>
      <c r="V666" s="306">
        <f t="shared" ca="1" si="293"/>
        <v>0.90203841887562819</v>
      </c>
      <c r="W666" s="304">
        <f t="shared" ca="1" si="294"/>
        <v>0.83435478680084207</v>
      </c>
      <c r="Y666" s="314" t="str">
        <f t="shared" ca="1" si="312"/>
        <v/>
      </c>
      <c r="Z666" s="315" t="str">
        <f t="shared" ca="1" si="313"/>
        <v/>
      </c>
      <c r="AA666" s="316" t="str">
        <f t="shared" ca="1" si="314"/>
        <v/>
      </c>
      <c r="AC666" s="310" t="e">
        <f t="shared" ca="1" si="315"/>
        <v>#N/A</v>
      </c>
      <c r="AD666" s="323" t="e">
        <f t="shared" ca="1" si="316"/>
        <v>#N/A</v>
      </c>
      <c r="AE666" s="324">
        <f t="shared" ca="1" si="295"/>
        <v>3036.7254136866236</v>
      </c>
      <c r="AG666" s="306">
        <f t="shared" ca="1" si="317"/>
        <v>-5.6962154227189536</v>
      </c>
      <c r="AH666" s="304">
        <f t="shared" ca="1" si="318"/>
        <v>-0.1368538484339174</v>
      </c>
    </row>
    <row r="667" spans="1:34" x14ac:dyDescent="0.2">
      <c r="A667" s="347">
        <f t="shared" ca="1" si="296"/>
        <v>0.1</v>
      </c>
      <c r="B667" s="304">
        <f t="shared" ca="1" si="297"/>
        <v>21.299999999999972</v>
      </c>
      <c r="D667" s="306">
        <f t="shared" ca="1" si="298"/>
        <v>-0.10938777924923956</v>
      </c>
      <c r="E667" s="307">
        <f t="shared" ca="1" si="299"/>
        <v>-9.8783712450242209</v>
      </c>
      <c r="F667" s="304">
        <f t="shared" ca="1" si="300"/>
        <v>9.8789768772262274</v>
      </c>
      <c r="G667" s="306">
        <f t="shared" ca="1" si="301"/>
        <v>15.615857728277266</v>
      </c>
      <c r="H667" s="307">
        <f t="shared" ca="1" si="302"/>
        <v>8.7794654041902422</v>
      </c>
      <c r="I667" s="304">
        <f t="shared" ca="1" si="303"/>
        <v>17.914631600263796</v>
      </c>
      <c r="J667" s="306">
        <f t="shared" ca="1" si="304"/>
        <v>457.58791188581756</v>
      </c>
      <c r="K667" s="307">
        <f t="shared" ca="1" si="305"/>
        <v>3037.6527520832678</v>
      </c>
      <c r="L667" s="304">
        <f t="shared" ca="1" si="290"/>
        <v>3071.9246311299812</v>
      </c>
      <c r="M667" s="306">
        <f t="shared" ca="1" si="306"/>
        <v>0.51217273843867228</v>
      </c>
      <c r="N667" s="304">
        <f t="shared" ca="1" si="307"/>
        <v>29.34533629419375</v>
      </c>
      <c r="P667" s="310">
        <f t="shared" ca="1" si="308"/>
        <v>23</v>
      </c>
      <c r="Q667" s="304">
        <f t="shared" ca="1" si="309"/>
        <v>0</v>
      </c>
      <c r="R667" s="306">
        <f t="shared" ca="1" si="310"/>
        <v>0</v>
      </c>
      <c r="S667" s="307">
        <f t="shared" ca="1" si="311"/>
        <v>6.4679999999999849</v>
      </c>
      <c r="T667" s="304">
        <f t="shared" ca="1" si="291"/>
        <v>63.451079999999855</v>
      </c>
      <c r="U667" s="311">
        <f t="shared" ca="1" si="292"/>
        <v>0</v>
      </c>
      <c r="V667" s="306">
        <f t="shared" ca="1" si="293"/>
        <v>0.9019527988509588</v>
      </c>
      <c r="W667" s="304">
        <f t="shared" ca="1" si="294"/>
        <v>0.78842701553119965</v>
      </c>
      <c r="Y667" s="314" t="str">
        <f t="shared" ca="1" si="312"/>
        <v/>
      </c>
      <c r="Z667" s="315" t="str">
        <f t="shared" ca="1" si="313"/>
        <v/>
      </c>
      <c r="AA667" s="316" t="str">
        <f t="shared" ca="1" si="314"/>
        <v/>
      </c>
      <c r="AC667" s="310" t="e">
        <f t="shared" ca="1" si="315"/>
        <v>#N/A</v>
      </c>
      <c r="AD667" s="323" t="e">
        <f t="shared" ca="1" si="316"/>
        <v>#N/A</v>
      </c>
      <c r="AE667" s="324">
        <f t="shared" ca="1" si="295"/>
        <v>3037.6527520832678</v>
      </c>
      <c r="AG667" s="306">
        <f t="shared" ca="1" si="317"/>
        <v>-5.3284992848408077</v>
      </c>
      <c r="AH667" s="304">
        <f t="shared" ca="1" si="318"/>
        <v>-0.12899733871379779</v>
      </c>
    </row>
    <row r="668" spans="1:34" x14ac:dyDescent="0.2">
      <c r="A668" s="347">
        <f t="shared" ca="1" si="296"/>
        <v>0.1</v>
      </c>
      <c r="B668" s="304">
        <f t="shared" ca="1" si="297"/>
        <v>21.399999999999974</v>
      </c>
      <c r="D668" s="306">
        <f t="shared" ca="1" si="298"/>
        <v>-0.10625501763144783</v>
      </c>
      <c r="E668" s="307">
        <f t="shared" ca="1" si="299"/>
        <v>-9.8697381371903568</v>
      </c>
      <c r="F668" s="304">
        <f t="shared" ca="1" si="300"/>
        <v>9.8703100774738388</v>
      </c>
      <c r="G668" s="306">
        <f t="shared" ca="1" si="301"/>
        <v>15.605232226514122</v>
      </c>
      <c r="H668" s="307">
        <f t="shared" ca="1" si="302"/>
        <v>7.7924915904712062</v>
      </c>
      <c r="I668" s="304">
        <f t="shared" ca="1" si="303"/>
        <v>17.442654558036725</v>
      </c>
      <c r="J668" s="306">
        <f t="shared" ca="1" si="304"/>
        <v>459.14896638355714</v>
      </c>
      <c r="K668" s="307">
        <f t="shared" ca="1" si="305"/>
        <v>3038.4813499330007</v>
      </c>
      <c r="L668" s="304">
        <f t="shared" ca="1" si="290"/>
        <v>3072.9768445632258</v>
      </c>
      <c r="M668" s="306">
        <f t="shared" ca="1" si="306"/>
        <v>0.46312844210151122</v>
      </c>
      <c r="N668" s="304">
        <f t="shared" ca="1" si="307"/>
        <v>26.535305104885499</v>
      </c>
      <c r="P668" s="310">
        <f t="shared" ca="1" si="308"/>
        <v>23</v>
      </c>
      <c r="Q668" s="304">
        <f t="shared" ca="1" si="309"/>
        <v>0</v>
      </c>
      <c r="R668" s="306">
        <f t="shared" ca="1" si="310"/>
        <v>0</v>
      </c>
      <c r="S668" s="307">
        <f t="shared" ca="1" si="311"/>
        <v>6.4679999999999849</v>
      </c>
      <c r="T668" s="304">
        <f t="shared" ca="1" si="291"/>
        <v>63.451079999999855</v>
      </c>
      <c r="U668" s="311">
        <f t="shared" ca="1" si="292"/>
        <v>0</v>
      </c>
      <c r="V668" s="306">
        <f t="shared" ca="1" si="293"/>
        <v>0.9018763012516231</v>
      </c>
      <c r="W668" s="304">
        <f t="shared" ca="1" si="294"/>
        <v>0.74736724144868028</v>
      </c>
      <c r="Y668" s="314" t="str">
        <f t="shared" ca="1" si="312"/>
        <v/>
      </c>
      <c r="Z668" s="315" t="str">
        <f t="shared" ca="1" si="313"/>
        <v/>
      </c>
      <c r="AA668" s="316" t="str">
        <f t="shared" ca="1" si="314"/>
        <v/>
      </c>
      <c r="AC668" s="310" t="e">
        <f t="shared" ca="1" si="315"/>
        <v>#N/A</v>
      </c>
      <c r="AD668" s="323" t="e">
        <f t="shared" ca="1" si="316"/>
        <v>#N/A</v>
      </c>
      <c r="AE668" s="324">
        <f t="shared" ca="1" si="295"/>
        <v>3038.4813499330007</v>
      </c>
      <c r="AG668" s="306">
        <f t="shared" ca="1" si="317"/>
        <v>-4.9295062121638997</v>
      </c>
      <c r="AH668" s="304">
        <f t="shared" ca="1" si="318"/>
        <v>-0.12189657011923338</v>
      </c>
    </row>
    <row r="669" spans="1:34" x14ac:dyDescent="0.2">
      <c r="A669" s="347">
        <f t="shared" ca="1" si="296"/>
        <v>0.1</v>
      </c>
      <c r="B669" s="304">
        <f t="shared" ca="1" si="297"/>
        <v>21.499999999999975</v>
      </c>
      <c r="D669" s="306">
        <f t="shared" ca="1" si="298"/>
        <v>-0.10337647107624769</v>
      </c>
      <c r="E669" s="307">
        <f t="shared" ca="1" si="299"/>
        <v>-9.861621165889833</v>
      </c>
      <c r="F669" s="304">
        <f t="shared" ca="1" si="300"/>
        <v>9.8621629835598696</v>
      </c>
      <c r="G669" s="306">
        <f t="shared" ca="1" si="301"/>
        <v>15.594894579406498</v>
      </c>
      <c r="H669" s="307">
        <f t="shared" ca="1" si="302"/>
        <v>6.8063294738822231</v>
      </c>
      <c r="I669" s="304">
        <f t="shared" ca="1" si="303"/>
        <v>17.015488763178094</v>
      </c>
      <c r="J669" s="306">
        <f t="shared" ca="1" si="304"/>
        <v>460.70897272385315</v>
      </c>
      <c r="K669" s="307">
        <f t="shared" ca="1" si="305"/>
        <v>3039.2112909862185</v>
      </c>
      <c r="L669" s="304">
        <f t="shared" ca="1" si="290"/>
        <v>3073.9320143435812</v>
      </c>
      <c r="M669" s="306">
        <f t="shared" ca="1" si="306"/>
        <v>0.41152543659428897</v>
      </c>
      <c r="N669" s="304">
        <f t="shared" ca="1" si="307"/>
        <v>23.578670679131321</v>
      </c>
      <c r="P669" s="310">
        <f t="shared" ca="1" si="308"/>
        <v>23</v>
      </c>
      <c r="Q669" s="304">
        <f t="shared" ca="1" si="309"/>
        <v>0</v>
      </c>
      <c r="R669" s="306">
        <f t="shared" ca="1" si="310"/>
        <v>0</v>
      </c>
      <c r="S669" s="307">
        <f t="shared" ca="1" si="311"/>
        <v>6.4679999999999849</v>
      </c>
      <c r="T669" s="304">
        <f t="shared" ca="1" si="291"/>
        <v>63.451079999999855</v>
      </c>
      <c r="U669" s="311">
        <f t="shared" ca="1" si="292"/>
        <v>0</v>
      </c>
      <c r="V669" s="306">
        <f t="shared" ca="1" si="293"/>
        <v>0.90180891637859983</v>
      </c>
      <c r="W669" s="304">
        <f t="shared" ca="1" si="294"/>
        <v>0.71115669857140795</v>
      </c>
      <c r="Y669" s="314" t="str">
        <f t="shared" ca="1" si="312"/>
        <v/>
      </c>
      <c r="Z669" s="315" t="str">
        <f t="shared" ca="1" si="313"/>
        <v/>
      </c>
      <c r="AA669" s="316" t="str">
        <f t="shared" ca="1" si="314"/>
        <v/>
      </c>
      <c r="AC669" s="310" t="e">
        <f t="shared" ca="1" si="315"/>
        <v>#N/A</v>
      </c>
      <c r="AD669" s="323" t="e">
        <f t="shared" ca="1" si="316"/>
        <v>#N/A</v>
      </c>
      <c r="AE669" s="324">
        <f t="shared" ca="1" si="295"/>
        <v>3039.2112909862185</v>
      </c>
      <c r="AG669" s="306">
        <f t="shared" ca="1" si="317"/>
        <v>-4.4981578681417664</v>
      </c>
      <c r="AH669" s="304">
        <f t="shared" ca="1" si="318"/>
        <v>-0.11554842941383457</v>
      </c>
    </row>
    <row r="670" spans="1:34" x14ac:dyDescent="0.2">
      <c r="A670" s="347">
        <f t="shared" ca="1" si="296"/>
        <v>0.1</v>
      </c>
      <c r="B670" s="304">
        <f t="shared" ca="1" si="297"/>
        <v>21.599999999999977</v>
      </c>
      <c r="D670" s="306">
        <f t="shared" ca="1" si="298"/>
        <v>-0.10077047568450126</v>
      </c>
      <c r="E670" s="307">
        <f t="shared" ca="1" si="299"/>
        <v>-9.8539808717690391</v>
      </c>
      <c r="F670" s="304">
        <f t="shared" ca="1" si="300"/>
        <v>9.8544961164921965</v>
      </c>
      <c r="G670" s="306">
        <f t="shared" ca="1" si="301"/>
        <v>15.584817531838048</v>
      </c>
      <c r="H670" s="307">
        <f t="shared" ca="1" si="302"/>
        <v>5.8209313867053192</v>
      </c>
      <c r="I670" s="304">
        <f t="shared" ca="1" si="303"/>
        <v>16.63639924110436</v>
      </c>
      <c r="J670" s="306">
        <f t="shared" ca="1" si="304"/>
        <v>462.26795832941536</v>
      </c>
      <c r="K670" s="307">
        <f t="shared" ca="1" si="305"/>
        <v>3039.842654029248</v>
      </c>
      <c r="L670" s="304">
        <f t="shared" ca="1" si="290"/>
        <v>3074.7902410658239</v>
      </c>
      <c r="M670" s="306">
        <f t="shared" ca="1" si="306"/>
        <v>0.35745506848061054</v>
      </c>
      <c r="N670" s="304">
        <f t="shared" ca="1" si="307"/>
        <v>20.480666789498805</v>
      </c>
      <c r="P670" s="310">
        <f t="shared" ca="1" si="308"/>
        <v>23</v>
      </c>
      <c r="Q670" s="304">
        <f t="shared" ca="1" si="309"/>
        <v>0</v>
      </c>
      <c r="R670" s="306">
        <f t="shared" ca="1" si="310"/>
        <v>0</v>
      </c>
      <c r="S670" s="307">
        <f t="shared" ca="1" si="311"/>
        <v>6.4679999999999849</v>
      </c>
      <c r="T670" s="304">
        <f t="shared" ca="1" si="291"/>
        <v>63.451079999999855</v>
      </c>
      <c r="U670" s="311">
        <f t="shared" ca="1" si="292"/>
        <v>0</v>
      </c>
      <c r="V670" s="306">
        <f t="shared" ca="1" si="293"/>
        <v>0.90175063522757137</v>
      </c>
      <c r="W670" s="304">
        <f t="shared" ca="1" si="294"/>
        <v>0.67977791061538018</v>
      </c>
      <c r="Y670" s="314" t="str">
        <f t="shared" ca="1" si="312"/>
        <v/>
      </c>
      <c r="Z670" s="315" t="str">
        <f t="shared" ca="1" si="313"/>
        <v/>
      </c>
      <c r="AA670" s="316" t="str">
        <f t="shared" ca="1" si="314"/>
        <v/>
      </c>
      <c r="AC670" s="310" t="e">
        <f t="shared" ca="1" si="315"/>
        <v>#N/A</v>
      </c>
      <c r="AD670" s="323" t="e">
        <f t="shared" ca="1" si="316"/>
        <v>#N/A</v>
      </c>
      <c r="AE670" s="324">
        <f t="shared" ca="1" si="295"/>
        <v>3039.842654029248</v>
      </c>
      <c r="AG670" s="306">
        <f t="shared" ca="1" si="317"/>
        <v>-4.0340272526376237</v>
      </c>
      <c r="AH670" s="304">
        <f t="shared" ca="1" si="318"/>
        <v>-0.10995001523985924</v>
      </c>
    </row>
    <row r="671" spans="1:34" x14ac:dyDescent="0.2">
      <c r="A671" s="347">
        <f t="shared" ca="1" si="296"/>
        <v>0.1</v>
      </c>
      <c r="B671" s="304">
        <f t="shared" ca="1" si="297"/>
        <v>21.699999999999978</v>
      </c>
      <c r="D671" s="306">
        <f t="shared" ca="1" si="298"/>
        <v>-9.8455373644871974E-2</v>
      </c>
      <c r="E671" s="307">
        <f t="shared" ca="1" si="299"/>
        <v>-9.8467730949347629</v>
      </c>
      <c r="F671" s="304">
        <f t="shared" ca="1" si="300"/>
        <v>9.8472652977225454</v>
      </c>
      <c r="G671" s="306">
        <f t="shared" ca="1" si="301"/>
        <v>15.574971994473561</v>
      </c>
      <c r="H671" s="307">
        <f t="shared" ca="1" si="302"/>
        <v>4.8362540772118425</v>
      </c>
      <c r="I671" s="304">
        <f t="shared" ca="1" si="303"/>
        <v>16.308559290384416</v>
      </c>
      <c r="J671" s="306">
        <f t="shared" ca="1" si="304"/>
        <v>463.82594780573095</v>
      </c>
      <c r="K671" s="307">
        <f t="shared" ca="1" si="305"/>
        <v>3040.3755133024438</v>
      </c>
      <c r="L671" s="304">
        <f t="shared" ca="1" si="290"/>
        <v>3075.5516207254568</v>
      </c>
      <c r="M671" s="306">
        <f t="shared" ca="1" si="306"/>
        <v>0.30107496015777407</v>
      </c>
      <c r="N671" s="304">
        <f t="shared" ca="1" si="307"/>
        <v>17.250324534109868</v>
      </c>
      <c r="P671" s="310">
        <f t="shared" ca="1" si="308"/>
        <v>23</v>
      </c>
      <c r="Q671" s="304">
        <f t="shared" ca="1" si="309"/>
        <v>0</v>
      </c>
      <c r="R671" s="306">
        <f t="shared" ca="1" si="310"/>
        <v>0</v>
      </c>
      <c r="S671" s="307">
        <f t="shared" ca="1" si="311"/>
        <v>6.4679999999999849</v>
      </c>
      <c r="T671" s="304">
        <f t="shared" ca="1" si="291"/>
        <v>63.451079999999855</v>
      </c>
      <c r="U671" s="311">
        <f t="shared" ca="1" si="292"/>
        <v>0</v>
      </c>
      <c r="V671" s="306">
        <f t="shared" ca="1" si="293"/>
        <v>0.90170144944945352</v>
      </c>
      <c r="W671" s="304">
        <f t="shared" ca="1" si="294"/>
        <v>0.65321460223034811</v>
      </c>
      <c r="Y671" s="314" t="str">
        <f t="shared" ca="1" si="312"/>
        <v/>
      </c>
      <c r="Z671" s="315" t="str">
        <f t="shared" ca="1" si="313"/>
        <v/>
      </c>
      <c r="AA671" s="316" t="str">
        <f t="shared" ca="1" si="314"/>
        <v/>
      </c>
      <c r="AC671" s="310" t="e">
        <f t="shared" ca="1" si="315"/>
        <v>#N/A</v>
      </c>
      <c r="AD671" s="323" t="e">
        <f t="shared" ca="1" si="316"/>
        <v>#N/A</v>
      </c>
      <c r="AE671" s="324">
        <f t="shared" ca="1" si="295"/>
        <v>3040.3755133024438</v>
      </c>
      <c r="AG671" s="306">
        <f t="shared" ca="1" si="317"/>
        <v>-3.5375322956873685</v>
      </c>
      <c r="AH671" s="304">
        <f t="shared" ca="1" si="318"/>
        <v>-0.10509862563626805</v>
      </c>
    </row>
    <row r="672" spans="1:34" x14ac:dyDescent="0.2">
      <c r="A672" s="347">
        <f t="shared" ca="1" si="296"/>
        <v>0.1</v>
      </c>
      <c r="B672" s="304">
        <f t="shared" ca="1" si="297"/>
        <v>21.799999999999979</v>
      </c>
      <c r="D672" s="306">
        <f t="shared" ca="1" si="298"/>
        <v>-9.6448960412389761E-2</v>
      </c>
      <c r="E672" s="307">
        <f t="shared" ca="1" si="299"/>
        <v>-9.8399487972243413</v>
      </c>
      <c r="F672" s="304">
        <f t="shared" ca="1" si="300"/>
        <v>9.8404214713578906</v>
      </c>
      <c r="G672" s="306">
        <f t="shared" ca="1" si="301"/>
        <v>15.565327098432322</v>
      </c>
      <c r="H672" s="307">
        <f t="shared" ca="1" si="302"/>
        <v>3.8522591974894085</v>
      </c>
      <c r="I672" s="304">
        <f t="shared" ca="1" si="303"/>
        <v>16.03494024328851</v>
      </c>
      <c r="J672" s="306">
        <f t="shared" ca="1" si="304"/>
        <v>465.38296276037624</v>
      </c>
      <c r="K672" s="307">
        <f t="shared" ca="1" si="305"/>
        <v>3040.8099389661788</v>
      </c>
      <c r="L672" s="304">
        <f t="shared" ca="1" si="290"/>
        <v>3076.2162451529839</v>
      </c>
      <c r="M672" s="306">
        <f t="shared" ca="1" si="306"/>
        <v>0.24261470028178694</v>
      </c>
      <c r="N672" s="304">
        <f t="shared" ca="1" si="307"/>
        <v>13.900798373977816</v>
      </c>
      <c r="P672" s="310">
        <f t="shared" ca="1" si="308"/>
        <v>23</v>
      </c>
      <c r="Q672" s="304">
        <f t="shared" ca="1" si="309"/>
        <v>0</v>
      </c>
      <c r="R672" s="306">
        <f t="shared" ca="1" si="310"/>
        <v>0</v>
      </c>
      <c r="S672" s="307">
        <f t="shared" ca="1" si="311"/>
        <v>6.4679999999999849</v>
      </c>
      <c r="T672" s="304">
        <f t="shared" ca="1" si="291"/>
        <v>63.451079999999855</v>
      </c>
      <c r="U672" s="311">
        <f t="shared" ca="1" si="292"/>
        <v>0</v>
      </c>
      <c r="V672" s="306">
        <f t="shared" ca="1" si="293"/>
        <v>0.90166135130658465</v>
      </c>
      <c r="W672" s="304">
        <f t="shared" ca="1" si="294"/>
        <v>0.63145160173079762</v>
      </c>
      <c r="Y672" s="314" t="str">
        <f t="shared" ca="1" si="312"/>
        <v/>
      </c>
      <c r="Z672" s="315" t="str">
        <f t="shared" ca="1" si="313"/>
        <v>Para</v>
      </c>
      <c r="AA672" s="316" t="str">
        <f t="shared" ca="1" si="314"/>
        <v/>
      </c>
      <c r="AC672" s="310" t="e">
        <f t="shared" ca="1" si="315"/>
        <v>#N/A</v>
      </c>
      <c r="AD672" s="323" t="e">
        <f t="shared" ca="1" si="316"/>
        <v>#N/A</v>
      </c>
      <c r="AE672" s="324" t="e">
        <f t="shared" ca="1" si="295"/>
        <v>#N/A</v>
      </c>
      <c r="AG672" s="306">
        <f t="shared" ca="1" si="317"/>
        <v>-3.010117661122591</v>
      </c>
      <c r="AH672" s="304">
        <f t="shared" ca="1" si="318"/>
        <v>-0.10099174431514372</v>
      </c>
    </row>
    <row r="673" spans="1:34" x14ac:dyDescent="0.2">
      <c r="A673" s="347">
        <f t="shared" ca="1" si="296"/>
        <v>0.1</v>
      </c>
      <c r="B673" s="304">
        <f t="shared" ca="1" si="297"/>
        <v>21.899999999999981</v>
      </c>
      <c r="D673" s="306">
        <f t="shared" ca="1" si="298"/>
        <v>-9.4767836014108889E-2</v>
      </c>
      <c r="E673" s="307">
        <f t="shared" ca="1" si="299"/>
        <v>-9.8334540697797674</v>
      </c>
      <c r="F673" s="304">
        <f t="shared" ca="1" si="300"/>
        <v>9.8339107116757507</v>
      </c>
      <c r="G673" s="306">
        <f t="shared" ca="1" si="301"/>
        <v>15.555850314830911</v>
      </c>
      <c r="H673" s="307">
        <f t="shared" ca="1" si="302"/>
        <v>2.8689137905114315</v>
      </c>
      <c r="I673" s="304">
        <f t="shared" ca="1" si="303"/>
        <v>15.818190331223468</v>
      </c>
      <c r="J673" s="306">
        <f t="shared" ca="1" si="304"/>
        <v>466.9390216310394</v>
      </c>
      <c r="K673" s="307">
        <f t="shared" ca="1" si="305"/>
        <v>3041.1459976155788</v>
      </c>
      <c r="L673" s="304">
        <f t="shared" ca="1" si="290"/>
        <v>3076.7842024969846</v>
      </c>
      <c r="M673" s="306">
        <f t="shared" ca="1" si="306"/>
        <v>0.18237735963743842</v>
      </c>
      <c r="N673" s="304">
        <f t="shared" ca="1" si="307"/>
        <v>10.449452985964792</v>
      </c>
      <c r="P673" s="310">
        <f t="shared" ca="1" si="308"/>
        <v>23</v>
      </c>
      <c r="Q673" s="304">
        <f t="shared" ca="1" si="309"/>
        <v>0</v>
      </c>
      <c r="R673" s="306">
        <f t="shared" ca="1" si="310"/>
        <v>0</v>
      </c>
      <c r="S673" s="307">
        <f t="shared" ca="1" si="311"/>
        <v>6.4679999999999849</v>
      </c>
      <c r="T673" s="304">
        <f t="shared" ca="1" si="291"/>
        <v>63.451079999999855</v>
      </c>
      <c r="U673" s="311">
        <f t="shared" ca="1" si="292"/>
        <v>0</v>
      </c>
      <c r="V673" s="306">
        <f t="shared" ca="1" si="293"/>
        <v>0.90163033362449863</v>
      </c>
      <c r="W673" s="304">
        <f t="shared" ca="1" si="294"/>
        <v>0.61447473516469509</v>
      </c>
      <c r="Y673" s="314" t="str">
        <f t="shared" ca="1" si="312"/>
        <v/>
      </c>
      <c r="Z673" s="315" t="str">
        <f t="shared" ca="1" si="313"/>
        <v/>
      </c>
      <c r="AA673" s="316" t="str">
        <f t="shared" ca="1" si="314"/>
        <v/>
      </c>
      <c r="AC673" s="310" t="e">
        <f t="shared" ca="1" si="315"/>
        <v>#N/A</v>
      </c>
      <c r="AD673" s="323" t="e">
        <f t="shared" ca="1" si="316"/>
        <v>#N/A</v>
      </c>
      <c r="AE673" s="324" t="e">
        <f t="shared" ca="1" si="295"/>
        <v>#N/A</v>
      </c>
      <c r="AG673" s="306">
        <f t="shared" ca="1" si="317"/>
        <v>-2.4543968142220942</v>
      </c>
      <c r="AH673" s="304">
        <f t="shared" ca="1" si="318"/>
        <v>-9.7627025623190949E-2</v>
      </c>
    </row>
    <row r="674" spans="1:34" x14ac:dyDescent="0.2">
      <c r="A674" s="347">
        <f t="shared" ca="1" si="296"/>
        <v>0.1</v>
      </c>
      <c r="B674" s="304">
        <f t="shared" ca="1" si="297"/>
        <v>21.999999999999982</v>
      </c>
      <c r="D674" s="306">
        <f t="shared" ca="1" si="298"/>
        <v>-9.3426693429644381E-2</v>
      </c>
      <c r="E674" s="307">
        <f t="shared" ca="1" si="299"/>
        <v>-9.8272303746666072</v>
      </c>
      <c r="F674" s="304">
        <f t="shared" ca="1" si="300"/>
        <v>9.827674464684673</v>
      </c>
      <c r="G674" s="306">
        <f t="shared" ca="1" si="301"/>
        <v>15.546507645487946</v>
      </c>
      <c r="H674" s="307">
        <f t="shared" ca="1" si="302"/>
        <v>1.8861907530447706</v>
      </c>
      <c r="I674" s="304">
        <f t="shared" ca="1" si="303"/>
        <v>15.660511343123083</v>
      </c>
      <c r="J674" s="306">
        <f t="shared" ca="1" si="304"/>
        <v>468.49413952905536</v>
      </c>
      <c r="K674" s="307">
        <f t="shared" ca="1" si="305"/>
        <v>3041.3837528427566</v>
      </c>
      <c r="L674" s="304">
        <f t="shared" ca="1" si="290"/>
        <v>3077.2555777557636</v>
      </c>
      <c r="M674" s="306">
        <f t="shared" ca="1" si="306"/>
        <v>0.12073559051818993</v>
      </c>
      <c r="N674" s="304">
        <f t="shared" ca="1" si="307"/>
        <v>6.9176397737120023</v>
      </c>
      <c r="P674" s="310">
        <f t="shared" ca="1" si="308"/>
        <v>23</v>
      </c>
      <c r="Q674" s="304">
        <f t="shared" ca="1" si="309"/>
        <v>0</v>
      </c>
      <c r="R674" s="306">
        <f t="shared" ca="1" si="310"/>
        <v>0</v>
      </c>
      <c r="S674" s="307">
        <f t="shared" ca="1" si="311"/>
        <v>6.4679999999999849</v>
      </c>
      <c r="T674" s="304">
        <f t="shared" ca="1" si="291"/>
        <v>63.451079999999855</v>
      </c>
      <c r="U674" s="311">
        <f t="shared" ca="1" si="292"/>
        <v>0</v>
      </c>
      <c r="V674" s="306">
        <f t="shared" ca="1" si="293"/>
        <v>0.90160838973937796</v>
      </c>
      <c r="W674" s="304">
        <f t="shared" ca="1" si="294"/>
        <v>0.60227071197709314</v>
      </c>
      <c r="Y674" s="314" t="str">
        <f t="shared" ca="1" si="312"/>
        <v/>
      </c>
      <c r="Z674" s="315" t="str">
        <f t="shared" ca="1" si="313"/>
        <v/>
      </c>
      <c r="AA674" s="316" t="str">
        <f t="shared" ca="1" si="314"/>
        <v/>
      </c>
      <c r="AC674" s="310">
        <f t="shared" ca="1" si="315"/>
        <v>21.999999999999982</v>
      </c>
      <c r="AD674" s="323">
        <f t="shared" ca="1" si="316"/>
        <v>468.49413952905536</v>
      </c>
      <c r="AE674" s="324" t="e">
        <f t="shared" ca="1" si="295"/>
        <v>#N/A</v>
      </c>
      <c r="AG674" s="306">
        <f t="shared" ca="1" si="317"/>
        <v>-1.8742225110476303</v>
      </c>
      <c r="AH674" s="304">
        <f t="shared" ca="1" si="318"/>
        <v>-9.5002278163991427E-2</v>
      </c>
    </row>
    <row r="675" spans="1:34" x14ac:dyDescent="0.2">
      <c r="A675" s="347">
        <f t="shared" ca="1" si="296"/>
        <v>0.1</v>
      </c>
      <c r="B675" s="304">
        <f t="shared" ca="1" si="297"/>
        <v>22.099999999999984</v>
      </c>
      <c r="D675" s="306">
        <f t="shared" ca="1" si="298"/>
        <v>-9.2437595354231836E-2</v>
      </c>
      <c r="E675" s="307">
        <f t="shared" ca="1" si="299"/>
        <v>-9.8212150549542532</v>
      </c>
      <c r="F675" s="304">
        <f t="shared" ca="1" si="300"/>
        <v>9.8216500581467958</v>
      </c>
      <c r="G675" s="306">
        <f t="shared" ca="1" si="301"/>
        <v>15.537263885952523</v>
      </c>
      <c r="H675" s="307">
        <f t="shared" ca="1" si="302"/>
        <v>0.90406924754934526</v>
      </c>
      <c r="I675" s="304">
        <f t="shared" ca="1" si="303"/>
        <v>15.563544270701611</v>
      </c>
      <c r="J675" s="306">
        <f t="shared" ca="1" si="304"/>
        <v>470.04832810562738</v>
      </c>
      <c r="K675" s="307">
        <f t="shared" ca="1" si="305"/>
        <v>3041.5232658427863</v>
      </c>
      <c r="L675" s="304">
        <f t="shared" ca="1" si="290"/>
        <v>3077.6304533549614</v>
      </c>
      <c r="M675" s="306">
        <f t="shared" ca="1" si="306"/>
        <v>5.8121623328837566E-2</v>
      </c>
      <c r="N675" s="304">
        <f t="shared" ca="1" si="307"/>
        <v>3.3301237151914989</v>
      </c>
      <c r="P675" s="310">
        <f t="shared" ca="1" si="308"/>
        <v>23</v>
      </c>
      <c r="Q675" s="304">
        <f t="shared" ca="1" si="309"/>
        <v>0</v>
      </c>
      <c r="R675" s="306">
        <f t="shared" ca="1" si="310"/>
        <v>0</v>
      </c>
      <c r="S675" s="307">
        <f t="shared" ca="1" si="311"/>
        <v>6.4679999999999849</v>
      </c>
      <c r="T675" s="304">
        <f t="shared" ca="1" si="291"/>
        <v>63.451079999999855</v>
      </c>
      <c r="U675" s="311">
        <f t="shared" ca="1" si="292"/>
        <v>0</v>
      </c>
      <c r="V675" s="306">
        <f t="shared" ca="1" si="293"/>
        <v>0.90159551344153455</v>
      </c>
      <c r="W675" s="304">
        <f t="shared" ca="1" si="294"/>
        <v>0.59482700301788893</v>
      </c>
      <c r="Y675" s="314" t="str">
        <f t="shared" ca="1" si="312"/>
        <v>Apogée</v>
      </c>
      <c r="Z675" s="315" t="str">
        <f t="shared" ca="1" si="313"/>
        <v/>
      </c>
      <c r="AA675" s="316" t="str">
        <f t="shared" ca="1" si="314"/>
        <v/>
      </c>
      <c r="AC675" s="310" t="e">
        <f t="shared" ca="1" si="315"/>
        <v>#N/A</v>
      </c>
      <c r="AD675" s="323" t="e">
        <f t="shared" ca="1" si="316"/>
        <v>#N/A</v>
      </c>
      <c r="AE675" s="324" t="e">
        <f t="shared" ca="1" si="295"/>
        <v>#N/A</v>
      </c>
      <c r="AG675" s="306">
        <f t="shared" ca="1" si="317"/>
        <v>-1.2746561313267457</v>
      </c>
      <c r="AH675" s="304">
        <f t="shared" ca="1" si="318"/>
        <v>-9.3115447120762918E-2</v>
      </c>
    </row>
    <row r="676" spans="1:34" x14ac:dyDescent="0.2">
      <c r="A676" s="347">
        <f t="shared" ca="1" si="296"/>
        <v>0.1</v>
      </c>
      <c r="B676" s="304">
        <f t="shared" ca="1" si="297"/>
        <v>22.199999999999985</v>
      </c>
      <c r="D676" s="306">
        <f t="shared" ca="1" si="298"/>
        <v>-9.180930525665118E-2</v>
      </c>
      <c r="E676" s="307">
        <f t="shared" ca="1" si="299"/>
        <v>-9.8153421226626953</v>
      </c>
      <c r="F676" s="304">
        <f t="shared" ca="1" si="300"/>
        <v>9.815771489467771</v>
      </c>
      <c r="G676" s="306">
        <f t="shared" ca="1" si="301"/>
        <v>15.528082955426859</v>
      </c>
      <c r="H676" s="307">
        <f t="shared" ca="1" si="302"/>
        <v>-7.7464964716924323E-2</v>
      </c>
      <c r="I676" s="304">
        <f t="shared" ca="1" si="303"/>
        <v>15.528276179002509</v>
      </c>
      <c r="J676" s="306">
        <f t="shared" ca="1" si="304"/>
        <v>471.60159544769635</v>
      </c>
      <c r="K676" s="307">
        <f t="shared" ca="1" si="305"/>
        <v>3041.5645960569277</v>
      </c>
      <c r="L676" s="304">
        <f t="shared" ca="1" si="290"/>
        <v>3077.9089097658098</v>
      </c>
      <c r="M676" s="306">
        <f t="shared" ca="1" si="306"/>
        <v>-4.9886597284269293E-3</v>
      </c>
      <c r="N676" s="304">
        <f t="shared" ca="1" si="307"/>
        <v>-0.28582914786574248</v>
      </c>
      <c r="P676" s="310">
        <f t="shared" ca="1" si="308"/>
        <v>23</v>
      </c>
      <c r="Q676" s="304">
        <f t="shared" ca="1" si="309"/>
        <v>0</v>
      </c>
      <c r="R676" s="306">
        <f t="shared" ca="1" si="310"/>
        <v>0</v>
      </c>
      <c r="S676" s="307">
        <f t="shared" ca="1" si="311"/>
        <v>6.4679999999999849</v>
      </c>
      <c r="T676" s="304">
        <f t="shared" ca="1" si="291"/>
        <v>63.451079999999855</v>
      </c>
      <c r="U676" s="311">
        <f t="shared" ca="1" si="292"/>
        <v>0</v>
      </c>
      <c r="V676" s="306">
        <f t="shared" ca="1" si="293"/>
        <v>0.90159169891550284</v>
      </c>
      <c r="W676" s="304">
        <f t="shared" ca="1" si="294"/>
        <v>0.59213171217275573</v>
      </c>
      <c r="Y676" s="314" t="str">
        <f t="shared" ca="1" si="312"/>
        <v/>
      </c>
      <c r="Z676" s="315" t="str">
        <f t="shared" ca="1" si="313"/>
        <v/>
      </c>
      <c r="AA676" s="316" t="str">
        <f t="shared" ca="1" si="314"/>
        <v/>
      </c>
      <c r="AC676" s="310" t="e">
        <f t="shared" ca="1" si="315"/>
        <v>#N/A</v>
      </c>
      <c r="AD676" s="323" t="e">
        <f t="shared" ca="1" si="316"/>
        <v>#N/A</v>
      </c>
      <c r="AE676" s="324" t="e">
        <f t="shared" ca="1" si="295"/>
        <v>#N/A</v>
      </c>
      <c r="AG676" s="306">
        <f t="shared" ca="1" si="317"/>
        <v>-0.66181675530192552</v>
      </c>
      <c r="AH676" s="304">
        <f t="shared" ca="1" si="318"/>
        <v>-9.1964595395468515E-2</v>
      </c>
    </row>
    <row r="677" spans="1:34" x14ac:dyDescent="0.2">
      <c r="A677" s="347">
        <f t="shared" ca="1" si="296"/>
        <v>0.1</v>
      </c>
      <c r="B677" s="304">
        <f t="shared" ca="1" si="297"/>
        <v>22.299999999999986</v>
      </c>
      <c r="D677" s="306">
        <f t="shared" ca="1" si="298"/>
        <v>-9.1546744600840002E-2</v>
      </c>
      <c r="E677" s="307">
        <f t="shared" ca="1" si="299"/>
        <v>-9.8095433006533508</v>
      </c>
      <c r="F677" s="304">
        <f t="shared" ca="1" si="300"/>
        <v>9.8099704675314925</v>
      </c>
      <c r="G677" s="306">
        <f t="shared" ca="1" si="301"/>
        <v>15.518928280966774</v>
      </c>
      <c r="H677" s="307">
        <f t="shared" ca="1" si="302"/>
        <v>-1.0584192947822595</v>
      </c>
      <c r="I677" s="304">
        <f t="shared" ca="1" si="303"/>
        <v>15.554979472611262</v>
      </c>
      <c r="J677" s="306">
        <f t="shared" ca="1" si="304"/>
        <v>473.15394600951606</v>
      </c>
      <c r="K677" s="307">
        <f t="shared" ca="1" si="305"/>
        <v>3041.5078018439526</v>
      </c>
      <c r="L677" s="304">
        <f t="shared" ca="1" si="290"/>
        <v>3078.0910261559857</v>
      </c>
      <c r="M677" s="306">
        <f t="shared" ca="1" si="306"/>
        <v>-6.8096376575979292E-2</v>
      </c>
      <c r="N677" s="304">
        <f t="shared" ca="1" si="307"/>
        <v>-3.9016349779371331</v>
      </c>
      <c r="P677" s="310">
        <f t="shared" ca="1" si="308"/>
        <v>23</v>
      </c>
      <c r="Q677" s="304">
        <f t="shared" ca="1" si="309"/>
        <v>0</v>
      </c>
      <c r="R677" s="306">
        <f t="shared" ca="1" si="310"/>
        <v>0</v>
      </c>
      <c r="S677" s="307">
        <f t="shared" ca="1" si="311"/>
        <v>6.4679999999999849</v>
      </c>
      <c r="T677" s="304">
        <f t="shared" ca="1" si="291"/>
        <v>63.451079999999855</v>
      </c>
      <c r="U677" s="311">
        <f t="shared" ca="1" si="292"/>
        <v>0</v>
      </c>
      <c r="V677" s="306">
        <f t="shared" ca="1" si="293"/>
        <v>0.90159694067758256</v>
      </c>
      <c r="W677" s="304">
        <f t="shared" ca="1" si="294"/>
        <v>0.59417344340500244</v>
      </c>
      <c r="Y677" s="314" t="str">
        <f t="shared" ca="1" si="312"/>
        <v/>
      </c>
      <c r="Z677" s="315" t="str">
        <f t="shared" ca="1" si="313"/>
        <v/>
      </c>
      <c r="AA677" s="316" t="str">
        <f t="shared" ca="1" si="314"/>
        <v/>
      </c>
      <c r="AC677" s="310" t="e">
        <f t="shared" ca="1" si="315"/>
        <v>#N/A</v>
      </c>
      <c r="AD677" s="323" t="e">
        <f t="shared" ca="1" si="316"/>
        <v>#N/A</v>
      </c>
      <c r="AE677" s="324" t="e">
        <f t="shared" ca="1" si="295"/>
        <v>#N/A</v>
      </c>
      <c r="AG677" s="306">
        <f t="shared" ca="1" si="317"/>
        <v>-4.2609334813451832E-2</v>
      </c>
      <c r="AH677" s="304">
        <f t="shared" ca="1" si="318"/>
        <v>-9.1547883762021817E-2</v>
      </c>
    </row>
    <row r="678" spans="1:34" x14ac:dyDescent="0.2">
      <c r="A678" s="347">
        <f t="shared" ca="1" si="296"/>
        <v>0.1</v>
      </c>
      <c r="B678" s="304">
        <f t="shared" ca="1" si="297"/>
        <v>22.399999999999988</v>
      </c>
      <c r="D678" s="306">
        <f t="shared" ca="1" si="298"/>
        <v>-9.1650641610031419E-2</v>
      </c>
      <c r="E678" s="307">
        <f t="shared" ca="1" si="299"/>
        <v>-9.8037492586019486</v>
      </c>
      <c r="F678" s="304">
        <f t="shared" ca="1" si="300"/>
        <v>9.8041776486172356</v>
      </c>
      <c r="G678" s="306">
        <f t="shared" ca="1" si="301"/>
        <v>15.509763216805771</v>
      </c>
      <c r="H678" s="307">
        <f t="shared" ca="1" si="302"/>
        <v>-2.0387942206424543</v>
      </c>
      <c r="I678" s="304">
        <f t="shared" ca="1" si="303"/>
        <v>15.643191391640849</v>
      </c>
      <c r="J678" s="306">
        <f t="shared" ca="1" si="304"/>
        <v>474.70538058440468</v>
      </c>
      <c r="K678" s="307">
        <f t="shared" ca="1" si="305"/>
        <v>3041.3529411681816</v>
      </c>
      <c r="L678" s="304">
        <f t="shared" ca="1" si="290"/>
        <v>3078.1768810625767</v>
      </c>
      <c r="M678" s="306">
        <f t="shared" ca="1" si="306"/>
        <v>-0.13070291298623735</v>
      </c>
      <c r="N678" s="304">
        <f t="shared" ca="1" si="307"/>
        <v>-7.4887252841770389</v>
      </c>
      <c r="P678" s="310">
        <f t="shared" ca="1" si="308"/>
        <v>23</v>
      </c>
      <c r="Q678" s="304">
        <f t="shared" ca="1" si="309"/>
        <v>0</v>
      </c>
      <c r="R678" s="306">
        <f t="shared" ca="1" si="310"/>
        <v>0</v>
      </c>
      <c r="S678" s="307">
        <f t="shared" ca="1" si="311"/>
        <v>6.4679999999999849</v>
      </c>
      <c r="T678" s="304">
        <f t="shared" ca="1" si="291"/>
        <v>63.451079999999855</v>
      </c>
      <c r="U678" s="311">
        <f t="shared" ca="1" si="292"/>
        <v>0</v>
      </c>
      <c r="V678" s="306">
        <f t="shared" ca="1" si="293"/>
        <v>0.90161123351186934</v>
      </c>
      <c r="W678" s="304">
        <f t="shared" ca="1" si="294"/>
        <v>0.60094116541600451</v>
      </c>
      <c r="Y678" s="314" t="str">
        <f t="shared" ca="1" si="312"/>
        <v/>
      </c>
      <c r="Z678" s="315" t="str">
        <f t="shared" ca="1" si="313"/>
        <v/>
      </c>
      <c r="AA678" s="316" t="str">
        <f t="shared" ca="1" si="314"/>
        <v/>
      </c>
      <c r="AC678" s="310" t="e">
        <f t="shared" ca="1" si="315"/>
        <v>#N/A</v>
      </c>
      <c r="AD678" s="323" t="e">
        <f t="shared" ca="1" si="316"/>
        <v>#N/A</v>
      </c>
      <c r="AE678" s="324" t="e">
        <f t="shared" ca="1" si="295"/>
        <v>#N/A</v>
      </c>
      <c r="AG678" s="306">
        <f t="shared" ca="1" si="317"/>
        <v>0.5756457382812441</v>
      </c>
      <c r="AH678" s="304">
        <f t="shared" ca="1" si="318"/>
        <v>-9.1863550309988218E-2</v>
      </c>
    </row>
    <row r="679" spans="1:34" x14ac:dyDescent="0.2">
      <c r="A679" s="347">
        <f t="shared" ca="1" si="296"/>
        <v>0.1</v>
      </c>
      <c r="B679" s="304">
        <f t="shared" ca="1" si="297"/>
        <v>22.499999999999989</v>
      </c>
      <c r="D679" s="306">
        <f t="shared" ca="1" si="298"/>
        <v>-9.2117417148418715E-2</v>
      </c>
      <c r="E679" s="307">
        <f t="shared" ca="1" si="299"/>
        <v>-9.7978909526162727</v>
      </c>
      <c r="F679" s="304">
        <f t="shared" ca="1" si="300"/>
        <v>9.7983239759614964</v>
      </c>
      <c r="G679" s="306">
        <f t="shared" ca="1" si="301"/>
        <v>15.50055147509093</v>
      </c>
      <c r="H679" s="307">
        <f t="shared" ca="1" si="302"/>
        <v>-3.0185833159040816</v>
      </c>
      <c r="I679" s="304">
        <f t="shared" ca="1" si="303"/>
        <v>15.791736486751484</v>
      </c>
      <c r="J679" s="306">
        <f t="shared" ca="1" si="304"/>
        <v>476.25589631899953</v>
      </c>
      <c r="K679" s="307">
        <f t="shared" ca="1" si="305"/>
        <v>3041.1000722913541</v>
      </c>
      <c r="L679" s="304">
        <f t="shared" ca="1" si="290"/>
        <v>3078.1665530749133</v>
      </c>
      <c r="M679" s="306">
        <f t="shared" ca="1" si="306"/>
        <v>-0.19233315763716308</v>
      </c>
      <c r="N679" s="304">
        <f t="shared" ca="1" si="307"/>
        <v>-11.019878193033801</v>
      </c>
      <c r="P679" s="310">
        <f t="shared" ca="1" si="308"/>
        <v>23</v>
      </c>
      <c r="Q679" s="304">
        <f t="shared" ca="1" si="309"/>
        <v>0</v>
      </c>
      <c r="R679" s="306">
        <f t="shared" ca="1" si="310"/>
        <v>0</v>
      </c>
      <c r="S679" s="307">
        <f t="shared" ca="1" si="311"/>
        <v>6.4679999999999849</v>
      </c>
      <c r="T679" s="304">
        <f t="shared" ca="1" si="291"/>
        <v>63.451079999999855</v>
      </c>
      <c r="U679" s="311">
        <f t="shared" ca="1" si="292"/>
        <v>0</v>
      </c>
      <c r="V679" s="306">
        <f t="shared" ca="1" si="293"/>
        <v>0.90163457240594902</v>
      </c>
      <c r="W679" s="304">
        <f t="shared" ca="1" si="294"/>
        <v>0.61242407639926255</v>
      </c>
      <c r="Y679" s="314" t="str">
        <f t="shared" ca="1" si="312"/>
        <v/>
      </c>
      <c r="Z679" s="315" t="str">
        <f t="shared" ca="1" si="313"/>
        <v/>
      </c>
      <c r="AA679" s="316" t="str">
        <f t="shared" ca="1" si="314"/>
        <v/>
      </c>
      <c r="AC679" s="310" t="e">
        <f t="shared" ca="1" si="315"/>
        <v>#N/A</v>
      </c>
      <c r="AD679" s="323" t="e">
        <f t="shared" ca="1" si="316"/>
        <v>#N/A</v>
      </c>
      <c r="AE679" s="324" t="e">
        <f t="shared" ca="1" si="295"/>
        <v>#N/A</v>
      </c>
      <c r="AG679" s="306">
        <f t="shared" ca="1" si="317"/>
        <v>1.1856381256368362</v>
      </c>
      <c r="AH679" s="304">
        <f t="shared" ca="1" si="318"/>
        <v>-9.2909889520099861E-2</v>
      </c>
    </row>
    <row r="680" spans="1:34" x14ac:dyDescent="0.2">
      <c r="A680" s="347">
        <f t="shared" ca="1" si="296"/>
        <v>0.1</v>
      </c>
      <c r="B680" s="304">
        <f t="shared" ca="1" si="297"/>
        <v>22.599999999999991</v>
      </c>
      <c r="D680" s="306">
        <f t="shared" ca="1" si="298"/>
        <v>-9.2939323282698758E-2</v>
      </c>
      <c r="E680" s="307">
        <f t="shared" ca="1" si="299"/>
        <v>-9.7919009606785021</v>
      </c>
      <c r="F680" s="304">
        <f t="shared" ca="1" si="300"/>
        <v>9.7923420151437117</v>
      </c>
      <c r="G680" s="306">
        <f t="shared" ca="1" si="301"/>
        <v>15.491257542762661</v>
      </c>
      <c r="H680" s="307">
        <f t="shared" ca="1" si="302"/>
        <v>-3.9977734119719317</v>
      </c>
      <c r="I680" s="304">
        <f t="shared" ca="1" si="303"/>
        <v>15.998789095105627</v>
      </c>
      <c r="J680" s="306">
        <f t="shared" ca="1" si="304"/>
        <v>477.80548676989218</v>
      </c>
      <c r="K680" s="307">
        <f t="shared" ca="1" si="305"/>
        <v>3040.7492544549605</v>
      </c>
      <c r="L680" s="304">
        <f t="shared" ca="1" si="290"/>
        <v>3078.0601215141678</v>
      </c>
      <c r="M680" s="306">
        <f t="shared" ca="1" si="306"/>
        <v>-0.25255606298825761</v>
      </c>
      <c r="N680" s="304">
        <f t="shared" ca="1" si="307"/>
        <v>-14.47039649966734</v>
      </c>
      <c r="P680" s="310">
        <f t="shared" ca="1" si="308"/>
        <v>23</v>
      </c>
      <c r="Q680" s="304">
        <f t="shared" ca="1" si="309"/>
        <v>0</v>
      </c>
      <c r="R680" s="306">
        <f t="shared" ca="1" si="310"/>
        <v>0</v>
      </c>
      <c r="S680" s="307">
        <f t="shared" ca="1" si="311"/>
        <v>6.4679999999999849</v>
      </c>
      <c r="T680" s="304">
        <f t="shared" ca="1" si="291"/>
        <v>63.451079999999855</v>
      </c>
      <c r="U680" s="311">
        <f t="shared" ca="1" si="292"/>
        <v>0</v>
      </c>
      <c r="V680" s="306">
        <f t="shared" ca="1" si="293"/>
        <v>0.90166695248748407</v>
      </c>
      <c r="W680" s="304">
        <f t="shared" ca="1" si="294"/>
        <v>0.62861147143446194</v>
      </c>
      <c r="Y680" s="314" t="str">
        <f t="shared" ca="1" si="312"/>
        <v/>
      </c>
      <c r="Z680" s="315" t="str">
        <f t="shared" ca="1" si="313"/>
        <v/>
      </c>
      <c r="AA680" s="316" t="str">
        <f t="shared" ca="1" si="314"/>
        <v/>
      </c>
      <c r="AC680" s="310" t="e">
        <f t="shared" ca="1" si="315"/>
        <v>#N/A</v>
      </c>
      <c r="AD680" s="323" t="e">
        <f t="shared" ca="1" si="316"/>
        <v>#N/A</v>
      </c>
      <c r="AE680" s="324" t="e">
        <f t="shared" ca="1" si="295"/>
        <v>#N/A</v>
      </c>
      <c r="AG680" s="306">
        <f t="shared" ca="1" si="317"/>
        <v>1.7804918496375979</v>
      </c>
      <c r="AH680" s="304">
        <f t="shared" ca="1" si="318"/>
        <v>-9.4685231354246127E-2</v>
      </c>
    </row>
    <row r="681" spans="1:34" x14ac:dyDescent="0.2">
      <c r="A681" s="347">
        <f t="shared" ca="1" si="296"/>
        <v>0.1</v>
      </c>
      <c r="B681" s="304">
        <f t="shared" ca="1" si="297"/>
        <v>22.699999999999992</v>
      </c>
      <c r="D681" s="306">
        <f t="shared" ca="1" si="298"/>
        <v>-9.4104816401426136E-2</v>
      </c>
      <c r="E681" s="307">
        <f t="shared" ca="1" si="299"/>
        <v>-9.7857147067041126</v>
      </c>
      <c r="F681" s="304">
        <f t="shared" ca="1" si="300"/>
        <v>9.7861671780873998</v>
      </c>
      <c r="G681" s="306">
        <f t="shared" ca="1" si="301"/>
        <v>15.481847061122519</v>
      </c>
      <c r="H681" s="307">
        <f t="shared" ca="1" si="302"/>
        <v>-4.9763448826423433</v>
      </c>
      <c r="I681" s="304">
        <f t="shared" ca="1" si="303"/>
        <v>16.261967802667321</v>
      </c>
      <c r="J681" s="306">
        <f t="shared" ca="1" si="304"/>
        <v>479.35414200008643</v>
      </c>
      <c r="K681" s="307">
        <f t="shared" ca="1" si="305"/>
        <v>3040.3005485402296</v>
      </c>
      <c r="L681" s="304">
        <f t="shared" ca="1" si="290"/>
        <v>3077.8576670968168</v>
      </c>
      <c r="M681" s="306">
        <f t="shared" ca="1" si="306"/>
        <v>-0.31100044077621164</v>
      </c>
      <c r="N681" s="304">
        <f t="shared" ca="1" si="307"/>
        <v>-17.819012683185239</v>
      </c>
      <c r="P681" s="310">
        <f t="shared" ca="1" si="308"/>
        <v>23</v>
      </c>
      <c r="Q681" s="304">
        <f t="shared" ca="1" si="309"/>
        <v>0</v>
      </c>
      <c r="R681" s="306">
        <f t="shared" ca="1" si="310"/>
        <v>0</v>
      </c>
      <c r="S681" s="307">
        <f t="shared" ca="1" si="311"/>
        <v>6.4679999999999849</v>
      </c>
      <c r="T681" s="304">
        <f t="shared" ca="1" si="291"/>
        <v>63.451079999999855</v>
      </c>
      <c r="U681" s="311">
        <f t="shared" ca="1" si="292"/>
        <v>0</v>
      </c>
      <c r="V681" s="306">
        <f t="shared" ca="1" si="293"/>
        <v>0.90170836896285667</v>
      </c>
      <c r="W681" s="304">
        <f t="shared" ca="1" si="294"/>
        <v>0.6494926149309711</v>
      </c>
      <c r="Y681" s="314" t="str">
        <f t="shared" ca="1" si="312"/>
        <v/>
      </c>
      <c r="Z681" s="315" t="str">
        <f t="shared" ca="1" si="313"/>
        <v/>
      </c>
      <c r="AA681" s="316" t="str">
        <f t="shared" ca="1" si="314"/>
        <v/>
      </c>
      <c r="AC681" s="310" t="e">
        <f t="shared" ca="1" si="315"/>
        <v>#N/A</v>
      </c>
      <c r="AD681" s="323" t="e">
        <f t="shared" ca="1" si="316"/>
        <v>#N/A</v>
      </c>
      <c r="AE681" s="324" t="e">
        <f t="shared" ca="1" si="295"/>
        <v>#N/A</v>
      </c>
      <c r="AG681" s="306">
        <f t="shared" ca="1" si="317"/>
        <v>2.354132422199223</v>
      </c>
      <c r="AH681" s="304">
        <f t="shared" ca="1" si="318"/>
        <v>-9.7187920753627616E-2</v>
      </c>
    </row>
    <row r="682" spans="1:34" x14ac:dyDescent="0.2">
      <c r="A682" s="347">
        <f t="shared" ca="1" si="296"/>
        <v>0.1</v>
      </c>
      <c r="B682" s="304">
        <f t="shared" ca="1" si="297"/>
        <v>22.799999999999994</v>
      </c>
      <c r="D682" s="306">
        <f t="shared" ca="1" si="298"/>
        <v>-9.5599117257460786E-2</v>
      </c>
      <c r="E682" s="307">
        <f t="shared" ca="1" si="299"/>
        <v>-9.7792714844636386</v>
      </c>
      <c r="F682" s="304">
        <f t="shared" ca="1" si="300"/>
        <v>9.7797387469228472</v>
      </c>
      <c r="G682" s="306">
        <f t="shared" ca="1" si="301"/>
        <v>15.472287149396772</v>
      </c>
      <c r="H682" s="307">
        <f t="shared" ca="1" si="302"/>
        <v>-5.9542720310887072</v>
      </c>
      <c r="I682" s="304">
        <f t="shared" ca="1" si="303"/>
        <v>16.578450622829436</v>
      </c>
      <c r="J682" s="306">
        <f t="shared" ca="1" si="304"/>
        <v>480.9018487106124</v>
      </c>
      <c r="K682" s="307">
        <f t="shared" ca="1" si="305"/>
        <v>3039.7540176945431</v>
      </c>
      <c r="L682" s="304">
        <f t="shared" ca="1" si="290"/>
        <v>3077.5592725702945</v>
      </c>
      <c r="M682" s="306">
        <f t="shared" ca="1" si="306"/>
        <v>-0.3673648192578598</v>
      </c>
      <c r="N682" s="304">
        <f t="shared" ca="1" si="307"/>
        <v>-21.048453685061673</v>
      </c>
      <c r="P682" s="310">
        <f t="shared" ca="1" si="308"/>
        <v>23</v>
      </c>
      <c r="Q682" s="304">
        <f t="shared" ca="1" si="309"/>
        <v>0</v>
      </c>
      <c r="R682" s="306">
        <f t="shared" ca="1" si="310"/>
        <v>0</v>
      </c>
      <c r="S682" s="307">
        <f t="shared" ca="1" si="311"/>
        <v>6.4679999999999849</v>
      </c>
      <c r="T682" s="304">
        <f t="shared" ca="1" si="291"/>
        <v>63.451079999999855</v>
      </c>
      <c r="U682" s="311">
        <f t="shared" ca="1" si="292"/>
        <v>0</v>
      </c>
      <c r="V682" s="306">
        <f t="shared" ca="1" si="293"/>
        <v>0.90175881705889627</v>
      </c>
      <c r="W682" s="304">
        <f t="shared" ca="1" si="294"/>
        <v>0.67505662020799473</v>
      </c>
      <c r="Y682" s="314" t="str">
        <f t="shared" ca="1" si="312"/>
        <v/>
      </c>
      <c r="Z682" s="315" t="str">
        <f t="shared" ca="1" si="313"/>
        <v/>
      </c>
      <c r="AA682" s="316" t="str">
        <f t="shared" ca="1" si="314"/>
        <v/>
      </c>
      <c r="AC682" s="310" t="e">
        <f t="shared" ca="1" si="315"/>
        <v>#N/A</v>
      </c>
      <c r="AD682" s="323" t="e">
        <f t="shared" ca="1" si="316"/>
        <v>#N/A</v>
      </c>
      <c r="AE682" s="324" t="e">
        <f t="shared" ca="1" si="295"/>
        <v>#N/A</v>
      </c>
      <c r="AG682" s="306">
        <f t="shared" ca="1" si="317"/>
        <v>2.9015539366264842</v>
      </c>
      <c r="AH682" s="304">
        <f t="shared" ca="1" si="318"/>
        <v>-0.10041629791759007</v>
      </c>
    </row>
    <row r="683" spans="1:34" x14ac:dyDescent="0.2">
      <c r="A683" s="347">
        <f t="shared" ca="1" si="296"/>
        <v>0.1</v>
      </c>
      <c r="B683" s="304">
        <f t="shared" ca="1" si="297"/>
        <v>22.899999999999995</v>
      </c>
      <c r="D683" s="306">
        <f t="shared" ca="1" si="298"/>
        <v>-9.7404891340026153E-2</v>
      </c>
      <c r="E683" s="307">
        <f t="shared" ca="1" si="299"/>
        <v>-9.7725152238581767</v>
      </c>
      <c r="F683" s="304">
        <f t="shared" ca="1" si="300"/>
        <v>9.7730006402024134</v>
      </c>
      <c r="G683" s="306">
        <f t="shared" ca="1" si="301"/>
        <v>15.462546660262769</v>
      </c>
      <c r="H683" s="307">
        <f t="shared" ca="1" si="302"/>
        <v>-6.9315235534745252</v>
      </c>
      <c r="I683" s="304">
        <f t="shared" ca="1" si="303"/>
        <v>16.945098642178966</v>
      </c>
      <c r="J683" s="306">
        <f t="shared" ca="1" si="304"/>
        <v>482.44859040109537</v>
      </c>
      <c r="K683" s="307">
        <f t="shared" ca="1" si="305"/>
        <v>3039.109727915315</v>
      </c>
      <c r="L683" s="304">
        <f t="shared" ca="1" si="290"/>
        <v>3077.1650233111491</v>
      </c>
      <c r="M683" s="306">
        <f t="shared" ca="1" si="306"/>
        <v>-0.42142120581083492</v>
      </c>
      <c r="N683" s="304">
        <f t="shared" ca="1" si="307"/>
        <v>-24.145656490274884</v>
      </c>
      <c r="P683" s="310">
        <f t="shared" ca="1" si="308"/>
        <v>23</v>
      </c>
      <c r="Q683" s="304">
        <f t="shared" ca="1" si="309"/>
        <v>0</v>
      </c>
      <c r="R683" s="306">
        <f t="shared" ca="1" si="310"/>
        <v>0</v>
      </c>
      <c r="S683" s="307">
        <f t="shared" ca="1" si="311"/>
        <v>6.4679999999999849</v>
      </c>
      <c r="T683" s="304">
        <f t="shared" ca="1" si="291"/>
        <v>63.451079999999855</v>
      </c>
      <c r="U683" s="311">
        <f t="shared" ca="1" si="292"/>
        <v>0</v>
      </c>
      <c r="V683" s="306">
        <f t="shared" ca="1" si="293"/>
        <v>0.90181829196851293</v>
      </c>
      <c r="W683" s="304">
        <f t="shared" ca="1" si="294"/>
        <v>0.70529233784267065</v>
      </c>
      <c r="Y683" s="314" t="str">
        <f t="shared" ca="1" si="312"/>
        <v/>
      </c>
      <c r="Z683" s="315" t="str">
        <f t="shared" ca="1" si="313"/>
        <v/>
      </c>
      <c r="AA683" s="316" t="str">
        <f t="shared" ca="1" si="314"/>
        <v/>
      </c>
      <c r="AC683" s="310" t="e">
        <f t="shared" ca="1" si="315"/>
        <v>#N/A</v>
      </c>
      <c r="AD683" s="323" t="e">
        <f t="shared" ca="1" si="316"/>
        <v>#N/A</v>
      </c>
      <c r="AE683" s="324" t="e">
        <f t="shared" ca="1" si="295"/>
        <v>#N/A</v>
      </c>
      <c r="AG683" s="306">
        <f t="shared" ca="1" si="317"/>
        <v>3.4189647097772591</v>
      </c>
      <c r="AH683" s="304">
        <f t="shared" ca="1" si="318"/>
        <v>-0.10436867968583741</v>
      </c>
    </row>
    <row r="684" spans="1:34" x14ac:dyDescent="0.2">
      <c r="A684" s="347">
        <f t="shared" ca="1" si="296"/>
        <v>0.1</v>
      </c>
      <c r="B684" s="304">
        <f t="shared" ca="1" si="297"/>
        <v>22.999999999999996</v>
      </c>
      <c r="D684" s="306">
        <f t="shared" ca="1" si="298"/>
        <v>-9.9502977441530929E-2</v>
      </c>
      <c r="E684" s="307">
        <f t="shared" ca="1" si="299"/>
        <v>-9.7653949781410017</v>
      </c>
      <c r="F684" s="304">
        <f t="shared" ca="1" si="300"/>
        <v>9.7659019000613156</v>
      </c>
      <c r="G684" s="306">
        <f t="shared" ca="1" si="301"/>
        <v>15.452596362518616</v>
      </c>
      <c r="H684" s="307">
        <f t="shared" ca="1" si="302"/>
        <v>-7.9080630512886252</v>
      </c>
      <c r="I684" s="304">
        <f t="shared" ca="1" si="303"/>
        <v>17.35857700291357</v>
      </c>
      <c r="J684" s="306">
        <f t="shared" ca="1" si="304"/>
        <v>483.99434755223444</v>
      </c>
      <c r="K684" s="307">
        <f t="shared" ca="1" si="305"/>
        <v>3038.3677485850767</v>
      </c>
      <c r="L684" s="304">
        <f t="shared" ca="1" si="290"/>
        <v>3076.6750078785476</v>
      </c>
      <c r="M684" s="306">
        <f t="shared" ca="1" si="306"/>
        <v>-0.47301345845663284</v>
      </c>
      <c r="N684" s="304">
        <f t="shared" ca="1" si="307"/>
        <v>-27.101674822451759</v>
      </c>
      <c r="P684" s="310">
        <f t="shared" ca="1" si="308"/>
        <v>23</v>
      </c>
      <c r="Q684" s="304">
        <f t="shared" ca="1" si="309"/>
        <v>0</v>
      </c>
      <c r="R684" s="306">
        <f t="shared" ca="1" si="310"/>
        <v>0</v>
      </c>
      <c r="S684" s="307">
        <f t="shared" ca="1" si="311"/>
        <v>6.4679999999999849</v>
      </c>
      <c r="T684" s="304">
        <f t="shared" ca="1" si="291"/>
        <v>63.451079999999855</v>
      </c>
      <c r="U684" s="311">
        <f t="shared" ca="1" si="292"/>
        <v>0</v>
      </c>
      <c r="V684" s="306">
        <f t="shared" ca="1" si="293"/>
        <v>0.90188678880079864</v>
      </c>
      <c r="W684" s="304">
        <f t="shared" ca="1" si="294"/>
        <v>0.74018825389454113</v>
      </c>
      <c r="Y684" s="314" t="str">
        <f t="shared" ca="1" si="312"/>
        <v/>
      </c>
      <c r="Z684" s="315" t="str">
        <f t="shared" ca="1" si="313"/>
        <v/>
      </c>
      <c r="AA684" s="316" t="str">
        <f t="shared" ca="1" si="314"/>
        <v/>
      </c>
      <c r="AC684" s="310">
        <f t="shared" ca="1" si="315"/>
        <v>22.999999999999996</v>
      </c>
      <c r="AD684" s="323">
        <f t="shared" ca="1" si="316"/>
        <v>483.99434755223444</v>
      </c>
      <c r="AE684" s="324" t="e">
        <f t="shared" ca="1" si="295"/>
        <v>#N/A</v>
      </c>
      <c r="AG684" s="306">
        <f t="shared" ca="1" si="317"/>
        <v>3.9038129706594131</v>
      </c>
      <c r="AH684" s="304">
        <f t="shared" ca="1" si="318"/>
        <v>-0.10904334227623258</v>
      </c>
    </row>
    <row r="685" spans="1:34" x14ac:dyDescent="0.2">
      <c r="A685" s="347">
        <f t="shared" ca="1" si="296"/>
        <v>0.1</v>
      </c>
      <c r="B685" s="304">
        <f t="shared" ca="1" si="297"/>
        <v>23.099999999999998</v>
      </c>
      <c r="D685" s="306">
        <f t="shared" ca="1" si="298"/>
        <v>-0.10187309906165443</v>
      </c>
      <c r="E685" s="307">
        <f t="shared" ca="1" si="299"/>
        <v>-9.7578651437137243</v>
      </c>
      <c r="F685" s="304">
        <f t="shared" ca="1" si="300"/>
        <v>9.7583969119530938</v>
      </c>
      <c r="G685" s="306">
        <f t="shared" ca="1" si="301"/>
        <v>15.442409052612451</v>
      </c>
      <c r="H685" s="307">
        <f t="shared" ca="1" si="302"/>
        <v>-8.8838495656599967</v>
      </c>
      <c r="I685" s="304">
        <f t="shared" ca="1" si="303"/>
        <v>17.815464643210525</v>
      </c>
      <c r="J685" s="306">
        <f t="shared" ca="1" si="304"/>
        <v>485.53909782299098</v>
      </c>
      <c r="K685" s="307">
        <f t="shared" ca="1" si="305"/>
        <v>3037.5281529542294</v>
      </c>
      <c r="L685" s="304">
        <f t="shared" ca="1" si="290"/>
        <v>3076.0893185186119</v>
      </c>
      <c r="M685" s="306">
        <f t="shared" ca="1" si="306"/>
        <v>-0.52205151704535691</v>
      </c>
      <c r="N685" s="304">
        <f t="shared" ca="1" si="307"/>
        <v>-29.911348615100906</v>
      </c>
      <c r="P685" s="310">
        <f t="shared" ca="1" si="308"/>
        <v>23</v>
      </c>
      <c r="Q685" s="304">
        <f t="shared" ca="1" si="309"/>
        <v>0</v>
      </c>
      <c r="R685" s="306">
        <f t="shared" ca="1" si="310"/>
        <v>0</v>
      </c>
      <c r="S685" s="307">
        <f t="shared" ca="1" si="311"/>
        <v>6.4679999999999849</v>
      </c>
      <c r="T685" s="304">
        <f t="shared" ca="1" si="291"/>
        <v>63.451079999999855</v>
      </c>
      <c r="U685" s="311">
        <f t="shared" ca="1" si="292"/>
        <v>0</v>
      </c>
      <c r="V685" s="306">
        <f t="shared" ca="1" si="293"/>
        <v>0.90196430253592363</v>
      </c>
      <c r="W685" s="304">
        <f t="shared" ca="1" si="294"/>
        <v>0.77973239859153598</v>
      </c>
      <c r="Y685" s="314" t="str">
        <f t="shared" ca="1" si="312"/>
        <v/>
      </c>
      <c r="Z685" s="315" t="str">
        <f t="shared" ca="1" si="313"/>
        <v/>
      </c>
      <c r="AA685" s="316" t="str">
        <f t="shared" ca="1" si="314"/>
        <v/>
      </c>
      <c r="AC685" s="310" t="e">
        <f t="shared" ca="1" si="315"/>
        <v>#N/A</v>
      </c>
      <c r="AD685" s="323" t="e">
        <f t="shared" ca="1" si="316"/>
        <v>#N/A</v>
      </c>
      <c r="AE685" s="324" t="e">
        <f t="shared" ca="1" si="295"/>
        <v>#N/A</v>
      </c>
      <c r="AG685" s="306">
        <f t="shared" ca="1" si="317"/>
        <v>4.3547123079140224</v>
      </c>
      <c r="AH685" s="304">
        <f t="shared" ca="1" si="318"/>
        <v>-0.11443850554955827</v>
      </c>
    </row>
    <row r="686" spans="1:34" x14ac:dyDescent="0.2">
      <c r="A686" s="347">
        <f t="shared" ca="1" si="296"/>
        <v>0.1</v>
      </c>
      <c r="B686" s="304">
        <f t="shared" ca="1" si="297"/>
        <v>23.2</v>
      </c>
      <c r="D686" s="306">
        <f t="shared" ca="1" si="298"/>
        <v>-0.10449450844247989</v>
      </c>
      <c r="E686" s="307">
        <f t="shared" ca="1" si="299"/>
        <v>-9.7498854485541866</v>
      </c>
      <c r="F686" s="304">
        <f t="shared" ca="1" si="300"/>
        <v>9.7504453930178645</v>
      </c>
      <c r="G686" s="306">
        <f t="shared" ca="1" si="301"/>
        <v>15.431959601768202</v>
      </c>
      <c r="H686" s="307">
        <f t="shared" ca="1" si="302"/>
        <v>-9.8588381105154159</v>
      </c>
      <c r="I686" s="304">
        <f t="shared" ca="1" si="303"/>
        <v>18.312347365642587</v>
      </c>
      <c r="J686" s="306">
        <f t="shared" ca="1" si="304"/>
        <v>487.08281625571004</v>
      </c>
      <c r="K686" s="307">
        <f t="shared" ca="1" si="305"/>
        <v>3036.5910185704206</v>
      </c>
      <c r="L686" s="304">
        <f t="shared" ca="1" si="290"/>
        <v>3075.4080516175636</v>
      </c>
      <c r="M686" s="306">
        <f t="shared" ca="1" si="306"/>
        <v>-0.56850294632551013</v>
      </c>
      <c r="N686" s="304">
        <f t="shared" ca="1" si="307"/>
        <v>-32.572819465204105</v>
      </c>
      <c r="P686" s="310">
        <f t="shared" ca="1" si="308"/>
        <v>23</v>
      </c>
      <c r="Q686" s="304">
        <f t="shared" ca="1" si="309"/>
        <v>0</v>
      </c>
      <c r="R686" s="306">
        <f t="shared" ca="1" si="310"/>
        <v>0</v>
      </c>
      <c r="S686" s="307">
        <f t="shared" ca="1" si="311"/>
        <v>6.4679999999999849</v>
      </c>
      <c r="T686" s="304">
        <f t="shared" ca="1" si="291"/>
        <v>63.451079999999855</v>
      </c>
      <c r="U686" s="311">
        <f t="shared" ca="1" si="292"/>
        <v>0</v>
      </c>
      <c r="V686" s="306">
        <f t="shared" ca="1" si="293"/>
        <v>0.90205082798491221</v>
      </c>
      <c r="W686" s="304">
        <f t="shared" ca="1" si="294"/>
        <v>0.82391226559229191</v>
      </c>
      <c r="Y686" s="314" t="str">
        <f t="shared" ca="1" si="312"/>
        <v/>
      </c>
      <c r="Z686" s="315" t="str">
        <f t="shared" ca="1" si="313"/>
        <v/>
      </c>
      <c r="AA686" s="316" t="str">
        <f t="shared" ca="1" si="314"/>
        <v/>
      </c>
      <c r="AC686" s="310" t="e">
        <f t="shared" ca="1" si="315"/>
        <v>#N/A</v>
      </c>
      <c r="AD686" s="323" t="e">
        <f t="shared" ca="1" si="316"/>
        <v>#N/A</v>
      </c>
      <c r="AE686" s="324" t="e">
        <f t="shared" ca="1" si="295"/>
        <v>#N/A</v>
      </c>
      <c r="AG686" s="306">
        <f t="shared" ca="1" si="317"/>
        <v>4.7712967563069997</v>
      </c>
      <c r="AH686" s="304">
        <f t="shared" ca="1" si="318"/>
        <v>-0.12055231889170344</v>
      </c>
    </row>
    <row r="687" spans="1:34" x14ac:dyDescent="0.2">
      <c r="A687" s="347">
        <f t="shared" ca="1" si="296"/>
        <v>0.1</v>
      </c>
      <c r="B687" s="304">
        <f t="shared" ca="1" si="297"/>
        <v>23.3</v>
      </c>
      <c r="D687" s="306">
        <f t="shared" ca="1" si="298"/>
        <v>-0.10734653162289474</v>
      </c>
      <c r="E687" s="307">
        <f t="shared" ca="1" si="299"/>
        <v>-9.7414207589764441</v>
      </c>
      <c r="F687" s="304">
        <f t="shared" ca="1" si="300"/>
        <v>9.7420121987846358</v>
      </c>
      <c r="G687" s="306">
        <f t="shared" ca="1" si="301"/>
        <v>15.421224948605913</v>
      </c>
      <c r="H687" s="307">
        <f t="shared" ca="1" si="302"/>
        <v>-10.83298018641306</v>
      </c>
      <c r="I687" s="304">
        <f t="shared" ca="1" si="303"/>
        <v>18.845891823809332</v>
      </c>
      <c r="J687" s="306">
        <f t="shared" ca="1" si="304"/>
        <v>488.62547548322874</v>
      </c>
      <c r="K687" s="307">
        <f t="shared" ca="1" si="305"/>
        <v>3035.5564276555742</v>
      </c>
      <c r="L687" s="304">
        <f t="shared" ca="1" si="290"/>
        <v>3074.6313081038325</v>
      </c>
      <c r="M687" s="306">
        <f t="shared" ca="1" si="306"/>
        <v>-0.61238316191879261</v>
      </c>
      <c r="N687" s="304">
        <f t="shared" ca="1" si="307"/>
        <v>-35.08697062282333</v>
      </c>
      <c r="P687" s="310">
        <f t="shared" ca="1" si="308"/>
        <v>23</v>
      </c>
      <c r="Q687" s="304">
        <f t="shared" ca="1" si="309"/>
        <v>0</v>
      </c>
      <c r="R687" s="306">
        <f t="shared" ca="1" si="310"/>
        <v>0</v>
      </c>
      <c r="S687" s="307">
        <f t="shared" ca="1" si="311"/>
        <v>6.4679999999999849</v>
      </c>
      <c r="T687" s="304">
        <f t="shared" ca="1" si="291"/>
        <v>63.451079999999855</v>
      </c>
      <c r="U687" s="311">
        <f t="shared" ca="1" si="292"/>
        <v>0</v>
      </c>
      <c r="V687" s="306">
        <f t="shared" ca="1" si="293"/>
        <v>0.90214635975419921</v>
      </c>
      <c r="W687" s="304">
        <f t="shared" ca="1" si="294"/>
        <v>0.87271474155633622</v>
      </c>
      <c r="Y687" s="314" t="str">
        <f t="shared" ca="1" si="312"/>
        <v/>
      </c>
      <c r="Z687" s="315" t="str">
        <f t="shared" ca="1" si="313"/>
        <v/>
      </c>
      <c r="AA687" s="316" t="str">
        <f t="shared" ca="1" si="314"/>
        <v/>
      </c>
      <c r="AC687" s="310" t="e">
        <f t="shared" ca="1" si="315"/>
        <v>#N/A</v>
      </c>
      <c r="AD687" s="323" t="e">
        <f t="shared" ca="1" si="316"/>
        <v>#N/A</v>
      </c>
      <c r="AE687" s="324" t="e">
        <f t="shared" ca="1" si="295"/>
        <v>#N/A</v>
      </c>
      <c r="AG687" s="306">
        <f t="shared" ca="1" si="317"/>
        <v>5.154037382823347</v>
      </c>
      <c r="AH687" s="304">
        <f t="shared" ca="1" si="318"/>
        <v>-0.12738284873102873</v>
      </c>
    </row>
    <row r="688" spans="1:34" x14ac:dyDescent="0.2">
      <c r="A688" s="347">
        <f t="shared" ca="1" si="296"/>
        <v>0.1</v>
      </c>
      <c r="B688" s="304">
        <f t="shared" ca="1" si="297"/>
        <v>23.400000000000002</v>
      </c>
      <c r="D688" s="306">
        <f t="shared" ca="1" si="298"/>
        <v>-0.11040900067532991</v>
      </c>
      <c r="E688" s="307">
        <f t="shared" ca="1" si="299"/>
        <v>-9.7324407580653549</v>
      </c>
      <c r="F688" s="304">
        <f t="shared" ca="1" si="300"/>
        <v>9.7330670015510456</v>
      </c>
      <c r="G688" s="306">
        <f t="shared" ca="1" si="301"/>
        <v>15.41018404853838</v>
      </c>
      <c r="H688" s="307">
        <f t="shared" ca="1" si="302"/>
        <v>-11.806224262219596</v>
      </c>
      <c r="I688" s="304">
        <f t="shared" ca="1" si="303"/>
        <v>19.412900446343645</v>
      </c>
      <c r="J688" s="306">
        <f t="shared" ca="1" si="304"/>
        <v>490.16704593308594</v>
      </c>
      <c r="K688" s="307">
        <f t="shared" ca="1" si="305"/>
        <v>3034.4244674331426</v>
      </c>
      <c r="L688" s="304">
        <f t="shared" ca="1" si="290"/>
        <v>3073.7591938009195</v>
      </c>
      <c r="M688" s="306">
        <f t="shared" ca="1" si="306"/>
        <v>-0.65374545428316222</v>
      </c>
      <c r="N688" s="304">
        <f t="shared" ca="1" si="307"/>
        <v>-37.4568554062879</v>
      </c>
      <c r="P688" s="310">
        <f t="shared" ca="1" si="308"/>
        <v>23</v>
      </c>
      <c r="Q688" s="304">
        <f t="shared" ca="1" si="309"/>
        <v>0</v>
      </c>
      <c r="R688" s="306">
        <f t="shared" ca="1" si="310"/>
        <v>0</v>
      </c>
      <c r="S688" s="307">
        <f t="shared" ca="1" si="311"/>
        <v>6.4679999999999849</v>
      </c>
      <c r="T688" s="304">
        <f t="shared" ca="1" si="291"/>
        <v>63.451079999999855</v>
      </c>
      <c r="U688" s="311">
        <f t="shared" ca="1" si="292"/>
        <v>0</v>
      </c>
      <c r="V688" s="306">
        <f t="shared" ca="1" si="293"/>
        <v>0.90225089221473198</v>
      </c>
      <c r="W688" s="304">
        <f t="shared" ca="1" si="294"/>
        <v>0.92612604547117316</v>
      </c>
      <c r="Y688" s="314" t="str">
        <f t="shared" ca="1" si="312"/>
        <v/>
      </c>
      <c r="Z688" s="315" t="str">
        <f t="shared" ca="1" si="313"/>
        <v/>
      </c>
      <c r="AA688" s="316" t="str">
        <f t="shared" ca="1" si="314"/>
        <v/>
      </c>
      <c r="AC688" s="310" t="e">
        <f t="shared" ca="1" si="315"/>
        <v>#N/A</v>
      </c>
      <c r="AD688" s="323" t="e">
        <f t="shared" ca="1" si="316"/>
        <v>#N/A</v>
      </c>
      <c r="AE688" s="324" t="e">
        <f t="shared" ca="1" si="295"/>
        <v>#N/A</v>
      </c>
      <c r="AG688" s="306">
        <f t="shared" ca="1" si="317"/>
        <v>5.5040481411841782</v>
      </c>
      <c r="AH688" s="304">
        <f t="shared" ca="1" si="318"/>
        <v>-0.13492806764940293</v>
      </c>
    </row>
    <row r="689" spans="1:34" x14ac:dyDescent="0.2">
      <c r="A689" s="347">
        <f t="shared" ca="1" si="296"/>
        <v>0.1</v>
      </c>
      <c r="B689" s="304">
        <f t="shared" ca="1" si="297"/>
        <v>23.500000000000004</v>
      </c>
      <c r="D689" s="306">
        <f t="shared" ca="1" si="298"/>
        <v>-0.11366257354076655</v>
      </c>
      <c r="E689" s="307">
        <f t="shared" ca="1" si="299"/>
        <v>-9.7229195453333617</v>
      </c>
      <c r="F689" s="304">
        <f t="shared" ca="1" si="300"/>
        <v>9.7235838899887845</v>
      </c>
      <c r="G689" s="306">
        <f t="shared" ca="1" si="301"/>
        <v>15.398817791184303</v>
      </c>
      <c r="H689" s="307">
        <f t="shared" ca="1" si="302"/>
        <v>-12.778516216752932</v>
      </c>
      <c r="I689" s="304">
        <f t="shared" ca="1" si="303"/>
        <v>20.010348974166142</v>
      </c>
      <c r="J689" s="306">
        <f t="shared" ca="1" si="304"/>
        <v>491.70749602507209</v>
      </c>
      <c r="K689" s="307">
        <f t="shared" ca="1" si="305"/>
        <v>3033.1952304091938</v>
      </c>
      <c r="L689" s="304">
        <f t="shared" ca="1" si="290"/>
        <v>3072.7918197340232</v>
      </c>
      <c r="M689" s="306">
        <f t="shared" ca="1" si="306"/>
        <v>-0.69267160193258004</v>
      </c>
      <c r="N689" s="304">
        <f t="shared" ca="1" si="307"/>
        <v>-39.687159379302635</v>
      </c>
      <c r="P689" s="310">
        <f t="shared" ca="1" si="308"/>
        <v>23</v>
      </c>
      <c r="Q689" s="304">
        <f t="shared" ca="1" si="309"/>
        <v>0</v>
      </c>
      <c r="R689" s="306">
        <f t="shared" ca="1" si="310"/>
        <v>0</v>
      </c>
      <c r="S689" s="307">
        <f t="shared" ca="1" si="311"/>
        <v>6.4679999999999849</v>
      </c>
      <c r="T689" s="304">
        <f t="shared" ca="1" si="291"/>
        <v>63.451079999999855</v>
      </c>
      <c r="U689" s="311">
        <f t="shared" ca="1" si="292"/>
        <v>0</v>
      </c>
      <c r="V689" s="306">
        <f t="shared" ca="1" si="293"/>
        <v>0.90236441947526957</v>
      </c>
      <c r="W689" s="304">
        <f t="shared" ca="1" si="294"/>
        <v>0.98413167700133453</v>
      </c>
      <c r="Y689" s="314" t="str">
        <f t="shared" ca="1" si="312"/>
        <v/>
      </c>
      <c r="Z689" s="315" t="str">
        <f t="shared" ca="1" si="313"/>
        <v/>
      </c>
      <c r="AA689" s="316" t="str">
        <f t="shared" ca="1" si="314"/>
        <v/>
      </c>
      <c r="AC689" s="310" t="e">
        <f t="shared" ca="1" si="315"/>
        <v>#N/A</v>
      </c>
      <c r="AD689" s="323" t="e">
        <f t="shared" ca="1" si="316"/>
        <v>#N/A</v>
      </c>
      <c r="AE689" s="324" t="e">
        <f t="shared" ca="1" si="295"/>
        <v>#N/A</v>
      </c>
      <c r="AG689" s="306">
        <f t="shared" ca="1" si="317"/>
        <v>5.8229015169817497</v>
      </c>
      <c r="AH689" s="304">
        <f t="shared" ca="1" si="318"/>
        <v>-0.14318584500172779</v>
      </c>
    </row>
    <row r="690" spans="1:34" x14ac:dyDescent="0.2">
      <c r="A690" s="347">
        <f t="shared" ca="1" si="296"/>
        <v>0.1</v>
      </c>
      <c r="B690" s="304">
        <f t="shared" ca="1" si="297"/>
        <v>23.600000000000005</v>
      </c>
      <c r="D690" s="306">
        <f t="shared" ca="1" si="298"/>
        <v>-0.11708895156320891</v>
      </c>
      <c r="E690" s="307">
        <f t="shared" ca="1" si="299"/>
        <v>-9.7128351989975723</v>
      </c>
      <c r="F690" s="304">
        <f t="shared" ca="1" si="300"/>
        <v>9.713540931373295</v>
      </c>
      <c r="G690" s="306">
        <f t="shared" ca="1" si="301"/>
        <v>15.387108896027982</v>
      </c>
      <c r="H690" s="307">
        <f t="shared" ca="1" si="302"/>
        <v>-13.749799736652689</v>
      </c>
      <c r="I690" s="304">
        <f t="shared" ca="1" si="303"/>
        <v>20.635409203024732</v>
      </c>
      <c r="J690" s="306">
        <f t="shared" ca="1" si="304"/>
        <v>493.24679235943273</v>
      </c>
      <c r="K690" s="307">
        <f t="shared" ca="1" si="305"/>
        <v>3031.8688146115232</v>
      </c>
      <c r="L690" s="304">
        <f t="shared" ca="1" si="290"/>
        <v>3071.7293023941343</v>
      </c>
      <c r="M690" s="306">
        <f t="shared" ca="1" si="306"/>
        <v>-0.72926355259744657</v>
      </c>
      <c r="N690" s="304">
        <f t="shared" ca="1" si="307"/>
        <v>-41.783723716550412</v>
      </c>
      <c r="P690" s="310">
        <f t="shared" ca="1" si="308"/>
        <v>23</v>
      </c>
      <c r="Q690" s="304">
        <f t="shared" ca="1" si="309"/>
        <v>0</v>
      </c>
      <c r="R690" s="306">
        <f t="shared" ca="1" si="310"/>
        <v>0</v>
      </c>
      <c r="S690" s="307">
        <f t="shared" ca="1" si="311"/>
        <v>6.4679999999999849</v>
      </c>
      <c r="T690" s="304">
        <f t="shared" ca="1" si="291"/>
        <v>63.451079999999855</v>
      </c>
      <c r="U690" s="311">
        <f t="shared" ca="1" si="292"/>
        <v>0</v>
      </c>
      <c r="V690" s="306">
        <f t="shared" ca="1" si="293"/>
        <v>0.90248693535950397</v>
      </c>
      <c r="W690" s="304">
        <f t="shared" ca="1" si="294"/>
        <v>1.0467163730260056</v>
      </c>
      <c r="Y690" s="314" t="str">
        <f t="shared" ca="1" si="312"/>
        <v/>
      </c>
      <c r="Z690" s="315" t="str">
        <f t="shared" ca="1" si="313"/>
        <v/>
      </c>
      <c r="AA690" s="316" t="str">
        <f t="shared" ca="1" si="314"/>
        <v/>
      </c>
      <c r="AC690" s="310" t="e">
        <f t="shared" ca="1" si="315"/>
        <v>#N/A</v>
      </c>
      <c r="AD690" s="323" t="e">
        <f t="shared" ca="1" si="316"/>
        <v>#N/A</v>
      </c>
      <c r="AE690" s="324" t="e">
        <f t="shared" ca="1" si="295"/>
        <v>#N/A</v>
      </c>
      <c r="AG690" s="306">
        <f t="shared" ca="1" si="317"/>
        <v>6.1124666455575127</v>
      </c>
      <c r="AH690" s="304">
        <f t="shared" ca="1" si="318"/>
        <v>-0.1521539389303242</v>
      </c>
    </row>
    <row r="691" spans="1:34" x14ac:dyDescent="0.2">
      <c r="A691" s="347">
        <f t="shared" ca="1" si="296"/>
        <v>0.1</v>
      </c>
      <c r="B691" s="304">
        <f t="shared" ca="1" si="297"/>
        <v>23.700000000000006</v>
      </c>
      <c r="D691" s="306">
        <f t="shared" ca="1" si="298"/>
        <v>-0.12067101014652078</v>
      </c>
      <c r="E691" s="307">
        <f t="shared" ca="1" si="299"/>
        <v>-9.7021693324752807</v>
      </c>
      <c r="F691" s="304">
        <f t="shared" ca="1" si="300"/>
        <v>9.702919728036175</v>
      </c>
      <c r="G691" s="306">
        <f t="shared" ca="1" si="301"/>
        <v>15.375041795013329</v>
      </c>
      <c r="H691" s="307">
        <f t="shared" ca="1" si="302"/>
        <v>-14.720016669900216</v>
      </c>
      <c r="I691" s="304">
        <f t="shared" ca="1" si="303"/>
        <v>21.285459848463386</v>
      </c>
      <c r="J691" s="306">
        <f t="shared" ca="1" si="304"/>
        <v>494.7848998939848</v>
      </c>
      <c r="K691" s="307">
        <f t="shared" ca="1" si="305"/>
        <v>3030.4453237911957</v>
      </c>
      <c r="L691" s="304">
        <f t="shared" ca="1" si="290"/>
        <v>3070.57176396368</v>
      </c>
      <c r="M691" s="306">
        <f t="shared" ca="1" si="306"/>
        <v>-0.7636363940517048</v>
      </c>
      <c r="N691" s="304">
        <f t="shared" ca="1" si="307"/>
        <v>-43.753142461751729</v>
      </c>
      <c r="P691" s="310">
        <f t="shared" ca="1" si="308"/>
        <v>23</v>
      </c>
      <c r="Q691" s="304">
        <f t="shared" ca="1" si="309"/>
        <v>0</v>
      </c>
      <c r="R691" s="306">
        <f t="shared" ca="1" si="310"/>
        <v>0</v>
      </c>
      <c r="S691" s="307">
        <f t="shared" ca="1" si="311"/>
        <v>6.4679999999999849</v>
      </c>
      <c r="T691" s="304">
        <f t="shared" ca="1" si="291"/>
        <v>63.451079999999855</v>
      </c>
      <c r="U691" s="311">
        <f t="shared" ca="1" si="292"/>
        <v>0</v>
      </c>
      <c r="V691" s="306">
        <f t="shared" ca="1" si="293"/>
        <v>0.90261843338658398</v>
      </c>
      <c r="W691" s="304">
        <f t="shared" ca="1" si="294"/>
        <v>1.1138640715010033</v>
      </c>
      <c r="Y691" s="314" t="str">
        <f t="shared" ca="1" si="312"/>
        <v/>
      </c>
      <c r="Z691" s="315" t="str">
        <f t="shared" ca="1" si="313"/>
        <v/>
      </c>
      <c r="AA691" s="316" t="str">
        <f t="shared" ca="1" si="314"/>
        <v/>
      </c>
      <c r="AC691" s="310" t="e">
        <f t="shared" ca="1" si="315"/>
        <v>#N/A</v>
      </c>
      <c r="AD691" s="323" t="e">
        <f t="shared" ca="1" si="316"/>
        <v>#N/A</v>
      </c>
      <c r="AE691" s="324" t="e">
        <f t="shared" ca="1" si="295"/>
        <v>#N/A</v>
      </c>
      <c r="AG691" s="306">
        <f t="shared" ca="1" si="317"/>
        <v>6.3747758071901091</v>
      </c>
      <c r="AH691" s="304">
        <f t="shared" ca="1" si="318"/>
        <v>-0.1618299896453321</v>
      </c>
    </row>
    <row r="692" spans="1:34" x14ac:dyDescent="0.2">
      <c r="A692" s="347">
        <f t="shared" ca="1" si="296"/>
        <v>0.1</v>
      </c>
      <c r="B692" s="304">
        <f t="shared" ca="1" si="297"/>
        <v>23.800000000000008</v>
      </c>
      <c r="D692" s="306">
        <f t="shared" ca="1" si="298"/>
        <v>-0.12439285980590904</v>
      </c>
      <c r="E692" s="307">
        <f t="shared" ca="1" si="299"/>
        <v>-9.6909066671575861</v>
      </c>
      <c r="F692" s="304">
        <f t="shared" ca="1" si="300"/>
        <v>9.6917049901000425</v>
      </c>
      <c r="G692" s="306">
        <f t="shared" ca="1" si="301"/>
        <v>15.362602509032738</v>
      </c>
      <c r="H692" s="307">
        <f t="shared" ca="1" si="302"/>
        <v>-15.689107336615976</v>
      </c>
      <c r="I692" s="304">
        <f t="shared" ca="1" si="303"/>
        <v>21.95808837012904</v>
      </c>
      <c r="J692" s="306">
        <f t="shared" ca="1" si="304"/>
        <v>496.3217821091871</v>
      </c>
      <c r="K692" s="307">
        <f t="shared" ca="1" si="305"/>
        <v>3028.9248675908698</v>
      </c>
      <c r="L692" s="304">
        <f t="shared" ca="1" si="290"/>
        <v>3069.319332507846</v>
      </c>
      <c r="M692" s="306">
        <f t="shared" ca="1" si="306"/>
        <v>-0.79591265026248748</v>
      </c>
      <c r="N692" s="304">
        <f t="shared" ca="1" si="307"/>
        <v>-45.602435721112485</v>
      </c>
      <c r="P692" s="310">
        <f t="shared" ca="1" si="308"/>
        <v>23</v>
      </c>
      <c r="Q692" s="304">
        <f t="shared" ca="1" si="309"/>
        <v>0</v>
      </c>
      <c r="R692" s="306">
        <f t="shared" ca="1" si="310"/>
        <v>0</v>
      </c>
      <c r="S692" s="307">
        <f t="shared" ca="1" si="311"/>
        <v>6.4679999999999849</v>
      </c>
      <c r="T692" s="304">
        <f t="shared" ca="1" si="291"/>
        <v>63.451079999999855</v>
      </c>
      <c r="U692" s="311">
        <f t="shared" ca="1" si="292"/>
        <v>0</v>
      </c>
      <c r="V692" s="306">
        <f t="shared" ca="1" si="293"/>
        <v>0.90275890675464465</v>
      </c>
      <c r="W692" s="304">
        <f t="shared" ca="1" si="294"/>
        <v>1.1855578817989074</v>
      </c>
      <c r="Y692" s="314" t="str">
        <f t="shared" ca="1" si="312"/>
        <v/>
      </c>
      <c r="Z692" s="315" t="str">
        <f t="shared" ca="1" si="313"/>
        <v/>
      </c>
      <c r="AA692" s="316" t="str">
        <f t="shared" ca="1" si="314"/>
        <v/>
      </c>
      <c r="AC692" s="310" t="e">
        <f t="shared" ca="1" si="315"/>
        <v>#N/A</v>
      </c>
      <c r="AD692" s="323" t="e">
        <f t="shared" ca="1" si="316"/>
        <v>#N/A</v>
      </c>
      <c r="AE692" s="324" t="e">
        <f t="shared" ca="1" si="295"/>
        <v>#N/A</v>
      </c>
      <c r="AG692" s="306">
        <f t="shared" ca="1" si="317"/>
        <v>6.6119202155103878</v>
      </c>
      <c r="AH692" s="304">
        <f t="shared" ca="1" si="318"/>
        <v>-0.17221151383750866</v>
      </c>
    </row>
    <row r="693" spans="1:34" x14ac:dyDescent="0.2">
      <c r="A693" s="347">
        <f t="shared" ca="1" si="296"/>
        <v>0.1</v>
      </c>
      <c r="B693" s="304">
        <f t="shared" ca="1" si="297"/>
        <v>23.900000000000009</v>
      </c>
      <c r="D693" s="306">
        <f t="shared" ca="1" si="298"/>
        <v>-0.12823985436221194</v>
      </c>
      <c r="E693" s="307">
        <f t="shared" ca="1" si="299"/>
        <v>-9.6790346353270706</v>
      </c>
      <c r="F693" s="304">
        <f t="shared" ca="1" si="300"/>
        <v>9.6798841383617749</v>
      </c>
      <c r="G693" s="306">
        <f t="shared" ca="1" si="301"/>
        <v>15.349778523596518</v>
      </c>
      <c r="H693" s="307">
        <f t="shared" ca="1" si="302"/>
        <v>-16.657010800148683</v>
      </c>
      <c r="I693" s="304">
        <f t="shared" ca="1" si="303"/>
        <v>22.651086276815395</v>
      </c>
      <c r="J693" s="306">
        <f t="shared" ca="1" si="304"/>
        <v>497.85740116081854</v>
      </c>
      <c r="K693" s="307">
        <f t="shared" ca="1" si="305"/>
        <v>3027.3075616840315</v>
      </c>
      <c r="L693" s="304">
        <f t="shared" ca="1" si="290"/>
        <v>3067.9721421355703</v>
      </c>
      <c r="M693" s="306">
        <f t="shared" ca="1" si="306"/>
        <v>-0.82621781970673691</v>
      </c>
      <c r="N693" s="304">
        <f t="shared" ca="1" si="307"/>
        <v>-47.3387940276968</v>
      </c>
      <c r="P693" s="310">
        <f t="shared" ca="1" si="308"/>
        <v>23</v>
      </c>
      <c r="Q693" s="304">
        <f t="shared" ca="1" si="309"/>
        <v>0</v>
      </c>
      <c r="R693" s="306">
        <f t="shared" ca="1" si="310"/>
        <v>0</v>
      </c>
      <c r="S693" s="307">
        <f t="shared" ca="1" si="311"/>
        <v>6.4679999999999849</v>
      </c>
      <c r="T693" s="304">
        <f t="shared" ca="1" si="291"/>
        <v>63.451079999999855</v>
      </c>
      <c r="U693" s="311">
        <f t="shared" ca="1" si="292"/>
        <v>0</v>
      </c>
      <c r="V693" s="306">
        <f t="shared" ca="1" si="293"/>
        <v>0.90290834832696065</v>
      </c>
      <c r="W693" s="304">
        <f t="shared" ca="1" si="294"/>
        <v>1.2617800607313301</v>
      </c>
      <c r="Y693" s="314" t="str">
        <f t="shared" ca="1" si="312"/>
        <v/>
      </c>
      <c r="Z693" s="315" t="str">
        <f t="shared" ca="1" si="313"/>
        <v/>
      </c>
      <c r="AA693" s="316" t="str">
        <f t="shared" ca="1" si="314"/>
        <v/>
      </c>
      <c r="AC693" s="310" t="e">
        <f t="shared" ca="1" si="315"/>
        <v>#N/A</v>
      </c>
      <c r="AD693" s="323" t="e">
        <f t="shared" ca="1" si="316"/>
        <v>#N/A</v>
      </c>
      <c r="AE693" s="324" t="e">
        <f t="shared" ca="1" si="295"/>
        <v>#N/A</v>
      </c>
      <c r="AG693" s="306">
        <f t="shared" ca="1" si="317"/>
        <v>6.8259728658340544</v>
      </c>
      <c r="AH693" s="304">
        <f t="shared" ca="1" si="318"/>
        <v>-0.18329590009259589</v>
      </c>
    </row>
    <row r="694" spans="1:34" x14ac:dyDescent="0.2">
      <c r="A694" s="347">
        <f t="shared" ca="1" si="296"/>
        <v>0.1</v>
      </c>
      <c r="B694" s="304">
        <f t="shared" ca="1" si="297"/>
        <v>24.000000000000011</v>
      </c>
      <c r="D694" s="306">
        <f t="shared" ca="1" si="298"/>
        <v>-0.13219856113195502</v>
      </c>
      <c r="E694" s="307">
        <f t="shared" ca="1" si="299"/>
        <v>-9.6665430206596135</v>
      </c>
      <c r="F694" s="304">
        <f t="shared" ca="1" si="300"/>
        <v>9.6674469447640856</v>
      </c>
      <c r="G694" s="306">
        <f t="shared" ca="1" si="301"/>
        <v>15.336558667483322</v>
      </c>
      <c r="H694" s="307">
        <f t="shared" ca="1" si="302"/>
        <v>-17.623665102214645</v>
      </c>
      <c r="I694" s="304">
        <f t="shared" ca="1" si="303"/>
        <v>23.362440013752334</v>
      </c>
      <c r="J694" s="306">
        <f t="shared" ca="1" si="304"/>
        <v>499.39171802037254</v>
      </c>
      <c r="K694" s="307">
        <f t="shared" ca="1" si="305"/>
        <v>3025.5935278889133</v>
      </c>
      <c r="L694" s="304">
        <f t="shared" ca="1" si="290"/>
        <v>3066.530333133951</v>
      </c>
      <c r="M694" s="306">
        <f t="shared" ca="1" si="306"/>
        <v>-0.85467700827950788</v>
      </c>
      <c r="N694" s="304">
        <f t="shared" ca="1" si="307"/>
        <v>-48.969385421283519</v>
      </c>
      <c r="P694" s="310">
        <f t="shared" ca="1" si="308"/>
        <v>23</v>
      </c>
      <c r="Q694" s="304">
        <f t="shared" ca="1" si="309"/>
        <v>0</v>
      </c>
      <c r="R694" s="306">
        <f t="shared" ca="1" si="310"/>
        <v>0</v>
      </c>
      <c r="S694" s="307">
        <f t="shared" ca="1" si="311"/>
        <v>6.4679999999999849</v>
      </c>
      <c r="T694" s="304">
        <f t="shared" ca="1" si="291"/>
        <v>63.451079999999855</v>
      </c>
      <c r="U694" s="311">
        <f t="shared" ca="1" si="292"/>
        <v>0</v>
      </c>
      <c r="V694" s="306">
        <f t="shared" ca="1" si="293"/>
        <v>0.90306675062037101</v>
      </c>
      <c r="W694" s="304">
        <f t="shared" ca="1" si="294"/>
        <v>1.3425119935259029</v>
      </c>
      <c r="Y694" s="314" t="str">
        <f t="shared" ca="1" si="312"/>
        <v/>
      </c>
      <c r="Z694" s="315" t="str">
        <f t="shared" ca="1" si="313"/>
        <v/>
      </c>
      <c r="AA694" s="316" t="str">
        <f t="shared" ca="1" si="314"/>
        <v/>
      </c>
      <c r="AC694" s="310">
        <f t="shared" ca="1" si="315"/>
        <v>24.000000000000011</v>
      </c>
      <c r="AD694" s="323">
        <f t="shared" ca="1" si="316"/>
        <v>499.39171802037254</v>
      </c>
      <c r="AE694" s="324" t="e">
        <f t="shared" ca="1" si="295"/>
        <v>#N/A</v>
      </c>
      <c r="AG694" s="306">
        <f t="shared" ca="1" si="317"/>
        <v>7.0189345852011797</v>
      </c>
      <c r="AH694" s="304">
        <f t="shared" ca="1" si="318"/>
        <v>-0.19508040518418879</v>
      </c>
    </row>
    <row r="695" spans="1:34" x14ac:dyDescent="0.2">
      <c r="A695" s="347">
        <f t="shared" ca="1" si="296"/>
        <v>0.1</v>
      </c>
      <c r="B695" s="304">
        <f t="shared" ca="1" si="297"/>
        <v>24.100000000000012</v>
      </c>
      <c r="D695" s="306">
        <f t="shared" ca="1" si="298"/>
        <v>-0.13625670546915916</v>
      </c>
      <c r="E695" s="307">
        <f t="shared" ca="1" si="299"/>
        <v>-9.6534236390846342</v>
      </c>
      <c r="F695" s="304">
        <f t="shared" ca="1" si="300"/>
        <v>9.6543852132294443</v>
      </c>
      <c r="G695" s="306">
        <f t="shared" ca="1" si="301"/>
        <v>15.322932996936407</v>
      </c>
      <c r="H695" s="307">
        <f t="shared" ca="1" si="302"/>
        <v>-18.589007466123107</v>
      </c>
      <c r="I695" s="304">
        <f t="shared" ca="1" si="303"/>
        <v>24.090319097184729</v>
      </c>
      <c r="J695" s="306">
        <f t="shared" ca="1" si="304"/>
        <v>500.92469260359354</v>
      </c>
      <c r="K695" s="307">
        <f t="shared" ca="1" si="305"/>
        <v>3023.7828942604965</v>
      </c>
      <c r="L695" s="304">
        <f t="shared" ca="1" si="290"/>
        <v>3064.9940520794471</v>
      </c>
      <c r="M695" s="306">
        <f t="shared" ca="1" si="306"/>
        <v>-0.88141248392065263</v>
      </c>
      <c r="N695" s="304">
        <f t="shared" ca="1" si="307"/>
        <v>-50.50121533879593</v>
      </c>
      <c r="P695" s="310">
        <f t="shared" ca="1" si="308"/>
        <v>23</v>
      </c>
      <c r="Q695" s="304">
        <f t="shared" ca="1" si="309"/>
        <v>0</v>
      </c>
      <c r="R695" s="306">
        <f t="shared" ca="1" si="310"/>
        <v>0</v>
      </c>
      <c r="S695" s="307">
        <f t="shared" ca="1" si="311"/>
        <v>6.4679999999999849</v>
      </c>
      <c r="T695" s="304">
        <f t="shared" ca="1" si="291"/>
        <v>63.451079999999855</v>
      </c>
      <c r="U695" s="311">
        <f t="shared" ca="1" si="292"/>
        <v>0</v>
      </c>
      <c r="V695" s="306">
        <f t="shared" ca="1" si="293"/>
        <v>0.90323410579566421</v>
      </c>
      <c r="W695" s="304">
        <f t="shared" ca="1" si="294"/>
        <v>1.4277341791075013</v>
      </c>
      <c r="Y695" s="314" t="str">
        <f t="shared" ca="1" si="312"/>
        <v/>
      </c>
      <c r="Z695" s="315" t="str">
        <f t="shared" ca="1" si="313"/>
        <v/>
      </c>
      <c r="AA695" s="316" t="str">
        <f t="shared" ca="1" si="314"/>
        <v/>
      </c>
      <c r="AC695" s="310" t="e">
        <f t="shared" ca="1" si="315"/>
        <v>#N/A</v>
      </c>
      <c r="AD695" s="323" t="e">
        <f t="shared" ca="1" si="316"/>
        <v>#N/A</v>
      </c>
      <c r="AE695" s="324" t="e">
        <f t="shared" ca="1" si="295"/>
        <v>#N/A</v>
      </c>
      <c r="AG695" s="306">
        <f t="shared" ca="1" si="317"/>
        <v>7.192698889707053</v>
      </c>
      <c r="AH695" s="304">
        <f t="shared" ca="1" si="318"/>
        <v>-0.20756215113263854</v>
      </c>
    </row>
    <row r="696" spans="1:34" x14ac:dyDescent="0.2">
      <c r="A696" s="347">
        <f t="shared" ca="1" si="296"/>
        <v>0.1</v>
      </c>
      <c r="B696" s="304">
        <f t="shared" ca="1" si="297"/>
        <v>24.200000000000014</v>
      </c>
      <c r="D696" s="306">
        <f t="shared" ca="1" si="298"/>
        <v>-0.14040309943060597</v>
      </c>
      <c r="E696" s="307">
        <f t="shared" ca="1" si="299"/>
        <v>-9.6396700596351774</v>
      </c>
      <c r="F696" s="304">
        <f t="shared" ca="1" si="300"/>
        <v>9.6406925004875337</v>
      </c>
      <c r="G696" s="306">
        <f t="shared" ca="1" si="301"/>
        <v>15.308892686993346</v>
      </c>
      <c r="H696" s="307">
        <f t="shared" ca="1" si="302"/>
        <v>-19.552974472086625</v>
      </c>
      <c r="I696" s="304">
        <f t="shared" ca="1" si="303"/>
        <v>24.833062759312423</v>
      </c>
      <c r="J696" s="306">
        <f t="shared" ca="1" si="304"/>
        <v>502.45628388779005</v>
      </c>
      <c r="K696" s="307">
        <f t="shared" ca="1" si="305"/>
        <v>3021.8757951635862</v>
      </c>
      <c r="L696" s="304">
        <f t="shared" ca="1" si="290"/>
        <v>3063.3634519289226</v>
      </c>
      <c r="M696" s="306">
        <f t="shared" ca="1" si="306"/>
        <v>-0.90654198007055709</v>
      </c>
      <c r="N696" s="304">
        <f t="shared" ca="1" si="307"/>
        <v>-51.941029409475711</v>
      </c>
      <c r="P696" s="310">
        <f t="shared" ca="1" si="308"/>
        <v>23</v>
      </c>
      <c r="Q696" s="304">
        <f t="shared" ca="1" si="309"/>
        <v>0</v>
      </c>
      <c r="R696" s="306">
        <f t="shared" ca="1" si="310"/>
        <v>0</v>
      </c>
      <c r="S696" s="307">
        <f t="shared" ca="1" si="311"/>
        <v>6.4679999999999849</v>
      </c>
      <c r="T696" s="304">
        <f t="shared" ca="1" si="291"/>
        <v>63.451079999999855</v>
      </c>
      <c r="U696" s="311">
        <f t="shared" ca="1" si="292"/>
        <v>0</v>
      </c>
      <c r="V696" s="306">
        <f t="shared" ca="1" si="293"/>
        <v>0.90341040564965058</v>
      </c>
      <c r="W696" s="304">
        <f t="shared" ca="1" si="294"/>
        <v>1.5174262191113499</v>
      </c>
      <c r="Y696" s="314" t="str">
        <f t="shared" ca="1" si="312"/>
        <v/>
      </c>
      <c r="Z696" s="315" t="str">
        <f t="shared" ca="1" si="313"/>
        <v/>
      </c>
      <c r="AA696" s="316" t="str">
        <f t="shared" ca="1" si="314"/>
        <v/>
      </c>
      <c r="AC696" s="310" t="e">
        <f t="shared" ca="1" si="315"/>
        <v>#N/A</v>
      </c>
      <c r="AD696" s="323" t="e">
        <f t="shared" ca="1" si="316"/>
        <v>#N/A</v>
      </c>
      <c r="AE696" s="324" t="e">
        <f t="shared" ca="1" si="295"/>
        <v>#N/A</v>
      </c>
      <c r="AG696" s="306">
        <f t="shared" ca="1" si="317"/>
        <v>7.3490313976403012</v>
      </c>
      <c r="AH696" s="304">
        <f t="shared" ca="1" si="318"/>
        <v>-0.22073812292942249</v>
      </c>
    </row>
    <row r="697" spans="1:34" x14ac:dyDescent="0.2">
      <c r="A697" s="347">
        <f t="shared" ca="1" si="296"/>
        <v>0.1</v>
      </c>
      <c r="B697" s="304">
        <f t="shared" ca="1" si="297"/>
        <v>24.300000000000015</v>
      </c>
      <c r="D697" s="306">
        <f t="shared" ca="1" si="298"/>
        <v>-0.14462756196264118</v>
      </c>
      <c r="E697" s="307">
        <f t="shared" ca="1" si="299"/>
        <v>-9.6252773629788226</v>
      </c>
      <c r="F697" s="304">
        <f t="shared" ca="1" si="300"/>
        <v>9.6263638745869056</v>
      </c>
      <c r="G697" s="306">
        <f t="shared" ca="1" si="301"/>
        <v>15.294429930797081</v>
      </c>
      <c r="H697" s="307">
        <f t="shared" ca="1" si="302"/>
        <v>-20.515502208384508</v>
      </c>
      <c r="I697" s="304">
        <f t="shared" ca="1" si="303"/>
        <v>25.589166023344553</v>
      </c>
      <c r="J697" s="306">
        <f t="shared" ca="1" si="304"/>
        <v>503.98645001867959</v>
      </c>
      <c r="K697" s="307">
        <f t="shared" ca="1" si="305"/>
        <v>3019.8723713295626</v>
      </c>
      <c r="L697" s="304">
        <f t="shared" ca="1" si="290"/>
        <v>3061.638692093185</v>
      </c>
      <c r="M697" s="306">
        <f t="shared" ca="1" si="306"/>
        <v>-0.93017758948867202</v>
      </c>
      <c r="N697" s="304">
        <f t="shared" ca="1" si="307"/>
        <v>-53.295250075353351</v>
      </c>
      <c r="P697" s="310">
        <f t="shared" ca="1" si="308"/>
        <v>23</v>
      </c>
      <c r="Q697" s="304">
        <f t="shared" ca="1" si="309"/>
        <v>0</v>
      </c>
      <c r="R697" s="306">
        <f t="shared" ca="1" si="310"/>
        <v>0</v>
      </c>
      <c r="S697" s="307">
        <f t="shared" ca="1" si="311"/>
        <v>6.4679999999999849</v>
      </c>
      <c r="T697" s="304">
        <f t="shared" ca="1" si="291"/>
        <v>63.451079999999855</v>
      </c>
      <c r="U697" s="311">
        <f t="shared" ca="1" si="292"/>
        <v>0</v>
      </c>
      <c r="V697" s="306">
        <f t="shared" ca="1" si="293"/>
        <v>0.90359564160867256</v>
      </c>
      <c r="W697" s="304">
        <f t="shared" ca="1" si="294"/>
        <v>1.6115668101304428</v>
      </c>
      <c r="Y697" s="314" t="str">
        <f t="shared" ca="1" si="312"/>
        <v/>
      </c>
      <c r="Z697" s="315" t="str">
        <f t="shared" ca="1" si="313"/>
        <v/>
      </c>
      <c r="AA697" s="316" t="str">
        <f t="shared" ca="1" si="314"/>
        <v/>
      </c>
      <c r="AC697" s="310" t="e">
        <f t="shared" ca="1" si="315"/>
        <v>#N/A</v>
      </c>
      <c r="AD697" s="323" t="e">
        <f t="shared" ca="1" si="316"/>
        <v>#N/A</v>
      </c>
      <c r="AE697" s="324" t="e">
        <f t="shared" ca="1" si="295"/>
        <v>#N/A</v>
      </c>
      <c r="AG697" s="306">
        <f t="shared" ca="1" si="317"/>
        <v>7.4895600491189773</v>
      </c>
      <c r="AH697" s="304">
        <f t="shared" ca="1" si="318"/>
        <v>-0.23460516683849003</v>
      </c>
    </row>
    <row r="698" spans="1:34" x14ac:dyDescent="0.2">
      <c r="A698" s="347">
        <f t="shared" ca="1" si="296"/>
        <v>0.1</v>
      </c>
      <c r="B698" s="304">
        <f t="shared" ca="1" si="297"/>
        <v>24.400000000000016</v>
      </c>
      <c r="D698" s="306">
        <f t="shared" ca="1" si="298"/>
        <v>-0.14892083598446448</v>
      </c>
      <c r="E698" s="307">
        <f t="shared" ca="1" si="299"/>
        <v>-9.6102419342638079</v>
      </c>
      <c r="F698" s="304">
        <f t="shared" ca="1" si="300"/>
        <v>9.6113957077249133</v>
      </c>
      <c r="G698" s="306">
        <f t="shared" ca="1" si="301"/>
        <v>15.279537847198634</v>
      </c>
      <c r="H698" s="307">
        <f t="shared" ca="1" si="302"/>
        <v>-21.476526401810887</v>
      </c>
      <c r="I698" s="304">
        <f t="shared" ca="1" si="303"/>
        <v>26.357265850456788</v>
      </c>
      <c r="J698" s="306">
        <f t="shared" ca="1" si="304"/>
        <v>505.51514840757937</v>
      </c>
      <c r="K698" s="307">
        <f t="shared" ca="1" si="305"/>
        <v>3017.7727698990529</v>
      </c>
      <c r="L698" s="304">
        <f t="shared" ca="1" si="290"/>
        <v>3059.8199384953582</v>
      </c>
      <c r="M698" s="306">
        <f t="shared" ca="1" si="306"/>
        <v>-0.95242511117983775</v>
      </c>
      <c r="N698" s="304">
        <f t="shared" ca="1" si="307"/>
        <v>-54.569939172882904</v>
      </c>
      <c r="P698" s="310">
        <f t="shared" ca="1" si="308"/>
        <v>23</v>
      </c>
      <c r="Q698" s="304">
        <f t="shared" ca="1" si="309"/>
        <v>0</v>
      </c>
      <c r="R698" s="306">
        <f t="shared" ca="1" si="310"/>
        <v>0</v>
      </c>
      <c r="S698" s="307">
        <f t="shared" ca="1" si="311"/>
        <v>6.4679999999999849</v>
      </c>
      <c r="T698" s="304">
        <f t="shared" ca="1" si="291"/>
        <v>63.451079999999855</v>
      </c>
      <c r="U698" s="311">
        <f t="shared" ca="1" si="292"/>
        <v>0</v>
      </c>
      <c r="V698" s="306">
        <f t="shared" ca="1" si="293"/>
        <v>0.90378980472335657</v>
      </c>
      <c r="W698" s="304">
        <f t="shared" ca="1" si="294"/>
        <v>1.7101337387686248</v>
      </c>
      <c r="Y698" s="314" t="str">
        <f t="shared" ca="1" si="312"/>
        <v/>
      </c>
      <c r="Z698" s="315" t="str">
        <f t="shared" ca="1" si="313"/>
        <v/>
      </c>
      <c r="AA698" s="316" t="str">
        <f t="shared" ca="1" si="314"/>
        <v/>
      </c>
      <c r="AC698" s="310" t="e">
        <f t="shared" ca="1" si="315"/>
        <v>#N/A</v>
      </c>
      <c r="AD698" s="323" t="e">
        <f t="shared" ca="1" si="316"/>
        <v>#N/A</v>
      </c>
      <c r="AE698" s="324" t="e">
        <f t="shared" ca="1" si="295"/>
        <v>#N/A</v>
      </c>
      <c r="AG698" s="306">
        <f t="shared" ca="1" si="317"/>
        <v>7.6157730250572309</v>
      </c>
      <c r="AH698" s="304">
        <f t="shared" ca="1" si="318"/>
        <v>-0.24915998919765717</v>
      </c>
    </row>
    <row r="699" spans="1:34" x14ac:dyDescent="0.2">
      <c r="A699" s="347">
        <f t="shared" ca="1" si="296"/>
        <v>0.1</v>
      </c>
      <c r="B699" s="304">
        <f t="shared" ca="1" si="297"/>
        <v>24.500000000000018</v>
      </c>
      <c r="D699" s="306">
        <f t="shared" ca="1" si="298"/>
        <v>-0.15327450610774307</v>
      </c>
      <c r="E699" s="307">
        <f t="shared" ca="1" si="299"/>
        <v>-9.5945612864690819</v>
      </c>
      <c r="F699" s="304">
        <f t="shared" ca="1" si="300"/>
        <v>9.5957854995843785</v>
      </c>
      <c r="G699" s="306">
        <f t="shared" ca="1" si="301"/>
        <v>15.26421039658786</v>
      </c>
      <c r="H699" s="307">
        <f t="shared" ca="1" si="302"/>
        <v>-22.435982530457796</v>
      </c>
      <c r="I699" s="304">
        <f t="shared" ca="1" si="303"/>
        <v>27.136127784529396</v>
      </c>
      <c r="J699" s="306">
        <f t="shared" ca="1" si="304"/>
        <v>507.04233581976871</v>
      </c>
      <c r="K699" s="307">
        <f t="shared" ca="1" si="305"/>
        <v>3015.5771444524394</v>
      </c>
      <c r="L699" s="304">
        <f t="shared" ca="1" si="290"/>
        <v>3057.9073636160883</v>
      </c>
      <c r="M699" s="306">
        <f t="shared" ca="1" si="306"/>
        <v>-0.97338373625014285</v>
      </c>
      <c r="N699" s="304">
        <f t="shared" ca="1" si="307"/>
        <v>-55.770779933808463</v>
      </c>
      <c r="P699" s="310">
        <f t="shared" ca="1" si="308"/>
        <v>23</v>
      </c>
      <c r="Q699" s="304">
        <f t="shared" ca="1" si="309"/>
        <v>0</v>
      </c>
      <c r="R699" s="306">
        <f t="shared" ca="1" si="310"/>
        <v>0</v>
      </c>
      <c r="S699" s="307">
        <f t="shared" ca="1" si="311"/>
        <v>6.4679999999999849</v>
      </c>
      <c r="T699" s="304">
        <f t="shared" ca="1" si="291"/>
        <v>63.451079999999855</v>
      </c>
      <c r="U699" s="311">
        <f t="shared" ca="1" si="292"/>
        <v>0</v>
      </c>
      <c r="V699" s="306">
        <f t="shared" ca="1" si="293"/>
        <v>0.9039928856644257</v>
      </c>
      <c r="W699" s="304">
        <f t="shared" ca="1" si="294"/>
        <v>1.813103879132399</v>
      </c>
      <c r="Y699" s="314" t="str">
        <f t="shared" ca="1" si="312"/>
        <v/>
      </c>
      <c r="Z699" s="315" t="str">
        <f t="shared" ca="1" si="313"/>
        <v/>
      </c>
      <c r="AA699" s="316" t="str">
        <f t="shared" ca="1" si="314"/>
        <v/>
      </c>
      <c r="AC699" s="310" t="e">
        <f t="shared" ca="1" si="315"/>
        <v>#N/A</v>
      </c>
      <c r="AD699" s="323" t="e">
        <f t="shared" ca="1" si="316"/>
        <v>#N/A</v>
      </c>
      <c r="AE699" s="324" t="e">
        <f t="shared" ca="1" si="295"/>
        <v>#N/A</v>
      </c>
      <c r="AG699" s="306">
        <f t="shared" ca="1" si="317"/>
        <v>7.7290219069528936</v>
      </c>
      <c r="AH699" s="304">
        <f t="shared" ca="1" si="318"/>
        <v>-0.26439915565377686</v>
      </c>
    </row>
    <row r="700" spans="1:34" x14ac:dyDescent="0.2">
      <c r="A700" s="347">
        <f t="shared" ca="1" si="296"/>
        <v>0.1</v>
      </c>
      <c r="B700" s="304">
        <f t="shared" ca="1" si="297"/>
        <v>24.600000000000019</v>
      </c>
      <c r="D700" s="306">
        <f t="shared" ca="1" si="298"/>
        <v>-0.15768091946443918</v>
      </c>
      <c r="E700" s="307">
        <f t="shared" ca="1" si="299"/>
        <v>-9.5782339103972589</v>
      </c>
      <c r="F700" s="304">
        <f t="shared" ca="1" si="300"/>
        <v>9.5795317273156471</v>
      </c>
      <c r="G700" s="306">
        <f t="shared" ca="1" si="301"/>
        <v>15.248442304641415</v>
      </c>
      <c r="H700" s="307">
        <f t="shared" ca="1" si="302"/>
        <v>-23.39380592149752</v>
      </c>
      <c r="I700" s="304">
        <f t="shared" ca="1" si="303"/>
        <v>27.92463335857197</v>
      </c>
      <c r="J700" s="306">
        <f t="shared" ca="1" si="304"/>
        <v>508.56796845483018</v>
      </c>
      <c r="K700" s="307">
        <f t="shared" ca="1" si="305"/>
        <v>3013.2856550298416</v>
      </c>
      <c r="L700" s="304">
        <f t="shared" ca="1" si="290"/>
        <v>3055.9011465273047</v>
      </c>
      <c r="M700" s="306">
        <f t="shared" ca="1" si="306"/>
        <v>-0.99314598059181813</v>
      </c>
      <c r="N700" s="304">
        <f t="shared" ca="1" si="307"/>
        <v>-56.903073128292746</v>
      </c>
      <c r="P700" s="310">
        <f t="shared" ca="1" si="308"/>
        <v>23</v>
      </c>
      <c r="Q700" s="304">
        <f t="shared" ca="1" si="309"/>
        <v>0</v>
      </c>
      <c r="R700" s="306">
        <f t="shared" ca="1" si="310"/>
        <v>0</v>
      </c>
      <c r="S700" s="307">
        <f t="shared" ca="1" si="311"/>
        <v>6.4679999999999849</v>
      </c>
      <c r="T700" s="304">
        <f t="shared" ca="1" si="291"/>
        <v>63.451079999999855</v>
      </c>
      <c r="U700" s="311">
        <f t="shared" ca="1" si="292"/>
        <v>0</v>
      </c>
      <c r="V700" s="306">
        <f t="shared" ca="1" si="293"/>
        <v>0.90420487471941824</v>
      </c>
      <c r="W700" s="304">
        <f t="shared" ca="1" si="294"/>
        <v>1.9204531924486892</v>
      </c>
      <c r="Y700" s="314" t="str">
        <f t="shared" ca="1" si="312"/>
        <v/>
      </c>
      <c r="Z700" s="315" t="str">
        <f t="shared" ca="1" si="313"/>
        <v/>
      </c>
      <c r="AA700" s="316" t="str">
        <f t="shared" ca="1" si="314"/>
        <v/>
      </c>
      <c r="AC700" s="310" t="e">
        <f t="shared" ca="1" si="315"/>
        <v>#N/A</v>
      </c>
      <c r="AD700" s="323" t="e">
        <f t="shared" ca="1" si="316"/>
        <v>#N/A</v>
      </c>
      <c r="AE700" s="324" t="e">
        <f t="shared" ca="1" si="295"/>
        <v>#N/A</v>
      </c>
      <c r="AG700" s="306">
        <f t="shared" ca="1" si="317"/>
        <v>7.830528203704203</v>
      </c>
      <c r="AH700" s="304">
        <f t="shared" ca="1" si="318"/>
        <v>-0.28031909077495409</v>
      </c>
    </row>
    <row r="701" spans="1:34" x14ac:dyDescent="0.2">
      <c r="A701" s="347">
        <f t="shared" ca="1" si="296"/>
        <v>0.1</v>
      </c>
      <c r="B701" s="304">
        <f t="shared" ca="1" si="297"/>
        <v>24.700000000000021</v>
      </c>
      <c r="D701" s="306">
        <f t="shared" ca="1" si="298"/>
        <v>-0.16213311116520798</v>
      </c>
      <c r="E701" s="307">
        <f t="shared" ca="1" si="299"/>
        <v>-9.5612591476381201</v>
      </c>
      <c r="F701" s="304">
        <f t="shared" ca="1" si="300"/>
        <v>9.5626337184914565</v>
      </c>
      <c r="G701" s="306">
        <f t="shared" ca="1" si="301"/>
        <v>15.232228993524894</v>
      </c>
      <c r="H701" s="307">
        <f t="shared" ca="1" si="302"/>
        <v>-24.349931836261334</v>
      </c>
      <c r="I701" s="304">
        <f t="shared" ca="1" si="303"/>
        <v>28.721768409026517</v>
      </c>
      <c r="J701" s="306">
        <f t="shared" ca="1" si="304"/>
        <v>510.09200201973852</v>
      </c>
      <c r="K701" s="307">
        <f t="shared" ca="1" si="305"/>
        <v>3010.8984681419538</v>
      </c>
      <c r="L701" s="304">
        <f t="shared" ca="1" si="290"/>
        <v>3053.8014729160227</v>
      </c>
      <c r="M701" s="306">
        <f t="shared" ca="1" si="306"/>
        <v>-1.0117977919290775</v>
      </c>
      <c r="N701" s="304">
        <f t="shared" ca="1" si="307"/>
        <v>-57.971743198191966</v>
      </c>
      <c r="P701" s="310">
        <f t="shared" ca="1" si="308"/>
        <v>23</v>
      </c>
      <c r="Q701" s="304">
        <f t="shared" ca="1" si="309"/>
        <v>0</v>
      </c>
      <c r="R701" s="306">
        <f t="shared" ca="1" si="310"/>
        <v>0</v>
      </c>
      <c r="S701" s="307">
        <f t="shared" ca="1" si="311"/>
        <v>6.4679999999999849</v>
      </c>
      <c r="T701" s="304">
        <f t="shared" ca="1" si="291"/>
        <v>63.451079999999855</v>
      </c>
      <c r="U701" s="311">
        <f t="shared" ca="1" si="292"/>
        <v>0</v>
      </c>
      <c r="V701" s="306">
        <f t="shared" ca="1" si="293"/>
        <v>0.90442576179019463</v>
      </c>
      <c r="W701" s="304">
        <f t="shared" ca="1" si="294"/>
        <v>2.0321567285427822</v>
      </c>
      <c r="Y701" s="314" t="str">
        <f t="shared" ca="1" si="312"/>
        <v/>
      </c>
      <c r="Z701" s="315" t="str">
        <f t="shared" ca="1" si="313"/>
        <v/>
      </c>
      <c r="AA701" s="316" t="str">
        <f t="shared" ca="1" si="314"/>
        <v/>
      </c>
      <c r="AC701" s="310" t="e">
        <f t="shared" ca="1" si="315"/>
        <v>#N/A</v>
      </c>
      <c r="AD701" s="323" t="e">
        <f t="shared" ca="1" si="316"/>
        <v>#N/A</v>
      </c>
      <c r="AE701" s="324" t="e">
        <f t="shared" ca="1" si="295"/>
        <v>#N/A</v>
      </c>
      <c r="AG701" s="306">
        <f t="shared" ca="1" si="317"/>
        <v>7.9213918633532359</v>
      </c>
      <c r="AH701" s="304">
        <f t="shared" ca="1" si="318"/>
        <v>-0.29691607799144926</v>
      </c>
    </row>
    <row r="702" spans="1:34" x14ac:dyDescent="0.2">
      <c r="A702" s="347">
        <f t="shared" ca="1" si="296"/>
        <v>0.1</v>
      </c>
      <c r="B702" s="304">
        <f t="shared" ca="1" si="297"/>
        <v>24.800000000000022</v>
      </c>
      <c r="D702" s="306">
        <f t="shared" ca="1" si="298"/>
        <v>-0.16662473522197738</v>
      </c>
      <c r="E702" s="307">
        <f t="shared" ca="1" si="299"/>
        <v>-9.5436370831468622</v>
      </c>
      <c r="F702" s="304">
        <f t="shared" ca="1" si="300"/>
        <v>9.5450915436785486</v>
      </c>
      <c r="G702" s="306">
        <f t="shared" ca="1" si="301"/>
        <v>15.215566520002696</v>
      </c>
      <c r="H702" s="307">
        <f t="shared" ca="1" si="302"/>
        <v>-25.304295544576021</v>
      </c>
      <c r="I702" s="304">
        <f t="shared" ca="1" si="303"/>
        <v>29.526612361256021</v>
      </c>
      <c r="J702" s="306">
        <f t="shared" ca="1" si="304"/>
        <v>511.61439179541492</v>
      </c>
      <c r="K702" s="307">
        <f t="shared" ca="1" si="305"/>
        <v>3008.4157567729121</v>
      </c>
      <c r="L702" s="304">
        <f t="shared" ca="1" si="290"/>
        <v>3051.6085350994358</v>
      </c>
      <c r="M702" s="306">
        <f t="shared" ca="1" si="306"/>
        <v>-1.0294187753999835</v>
      </c>
      <c r="N702" s="304">
        <f t="shared" ca="1" si="307"/>
        <v>-58.981351181944667</v>
      </c>
      <c r="P702" s="310">
        <f t="shared" ca="1" si="308"/>
        <v>23</v>
      </c>
      <c r="Q702" s="304">
        <f t="shared" ca="1" si="309"/>
        <v>0</v>
      </c>
      <c r="R702" s="306">
        <f t="shared" ca="1" si="310"/>
        <v>0</v>
      </c>
      <c r="S702" s="307">
        <f t="shared" ca="1" si="311"/>
        <v>6.4679999999999849</v>
      </c>
      <c r="T702" s="304">
        <f t="shared" ca="1" si="291"/>
        <v>63.451079999999855</v>
      </c>
      <c r="U702" s="311">
        <f t="shared" ca="1" si="292"/>
        <v>0</v>
      </c>
      <c r="V702" s="306">
        <f t="shared" ca="1" si="293"/>
        <v>0.90465553639111518</v>
      </c>
      <c r="W702" s="304">
        <f t="shared" ca="1" si="294"/>
        <v>2.1481886289507908</v>
      </c>
      <c r="Y702" s="314" t="str">
        <f t="shared" ca="1" si="312"/>
        <v/>
      </c>
      <c r="Z702" s="315" t="str">
        <f t="shared" ca="1" si="313"/>
        <v/>
      </c>
      <c r="AA702" s="316" t="str">
        <f t="shared" ca="1" si="314"/>
        <v/>
      </c>
      <c r="AC702" s="310" t="e">
        <f t="shared" ca="1" si="315"/>
        <v>#N/A</v>
      </c>
      <c r="AD702" s="323" t="e">
        <f t="shared" ca="1" si="316"/>
        <v>#N/A</v>
      </c>
      <c r="AE702" s="324" t="e">
        <f t="shared" ca="1" si="295"/>
        <v>#N/A</v>
      </c>
      <c r="AG702" s="306">
        <f t="shared" ca="1" si="317"/>
        <v>8.0026007816955929</v>
      </c>
      <c r="AH702" s="304">
        <f t="shared" ca="1" si="318"/>
        <v>-0.31418625982417858</v>
      </c>
    </row>
    <row r="703" spans="1:34" x14ac:dyDescent="0.2">
      <c r="A703" s="347">
        <f t="shared" ca="1" si="296"/>
        <v>0.1</v>
      </c>
      <c r="B703" s="304">
        <f t="shared" ca="1" si="297"/>
        <v>24.900000000000023</v>
      </c>
      <c r="D703" s="306">
        <f t="shared" ca="1" si="298"/>
        <v>-0.171150001284472</v>
      </c>
      <c r="E703" s="307">
        <f t="shared" ca="1" si="299"/>
        <v>-9.5253684544533108</v>
      </c>
      <c r="F703" s="304">
        <f t="shared" ca="1" si="300"/>
        <v>9.5269059256420672</v>
      </c>
      <c r="G703" s="306">
        <f t="shared" ca="1" si="301"/>
        <v>15.198451519874249</v>
      </c>
      <c r="H703" s="307">
        <f t="shared" ca="1" si="302"/>
        <v>-26.256832390021351</v>
      </c>
      <c r="I703" s="304">
        <f t="shared" ca="1" si="303"/>
        <v>30.338328493172497</v>
      </c>
      <c r="J703" s="306">
        <f t="shared" ca="1" si="304"/>
        <v>513.13509269740871</v>
      </c>
      <c r="K703" s="307">
        <f t="shared" ca="1" si="305"/>
        <v>3005.8377003761821</v>
      </c>
      <c r="L703" s="304">
        <f t="shared" ca="1" si="290"/>
        <v>3049.3225320323781</v>
      </c>
      <c r="M703" s="306">
        <f t="shared" ca="1" si="306"/>
        <v>-1.0460824954873009</v>
      </c>
      <c r="N703" s="304">
        <f t="shared" ca="1" si="307"/>
        <v>-59.936112013935329</v>
      </c>
      <c r="P703" s="310">
        <f t="shared" ca="1" si="308"/>
        <v>23</v>
      </c>
      <c r="Q703" s="304">
        <f t="shared" ca="1" si="309"/>
        <v>0</v>
      </c>
      <c r="R703" s="306">
        <f t="shared" ca="1" si="310"/>
        <v>0</v>
      </c>
      <c r="S703" s="307">
        <f t="shared" ca="1" si="311"/>
        <v>6.4679999999999849</v>
      </c>
      <c r="T703" s="304">
        <f t="shared" ca="1" si="291"/>
        <v>63.451079999999855</v>
      </c>
      <c r="U703" s="311">
        <f t="shared" ca="1" si="292"/>
        <v>0</v>
      </c>
      <c r="V703" s="306">
        <f t="shared" ca="1" si="293"/>
        <v>0.90489418764780627</v>
      </c>
      <c r="W703" s="304">
        <f t="shared" ca="1" si="294"/>
        <v>2.2685221314751427</v>
      </c>
      <c r="Y703" s="314" t="str">
        <f t="shared" ca="1" si="312"/>
        <v/>
      </c>
      <c r="Z703" s="315" t="str">
        <f t="shared" ca="1" si="313"/>
        <v/>
      </c>
      <c r="AA703" s="316" t="str">
        <f t="shared" ca="1" si="314"/>
        <v/>
      </c>
      <c r="AC703" s="310" t="e">
        <f t="shared" ca="1" si="315"/>
        <v>#N/A</v>
      </c>
      <c r="AD703" s="323" t="e">
        <f t="shared" ca="1" si="316"/>
        <v>#N/A</v>
      </c>
      <c r="AE703" s="324" t="e">
        <f t="shared" ca="1" si="295"/>
        <v>#N/A</v>
      </c>
      <c r="AG703" s="306">
        <f t="shared" ca="1" si="317"/>
        <v>8.0750406242297093</v>
      </c>
      <c r="AH703" s="304">
        <f t="shared" ca="1" si="318"/>
        <v>-0.3321256383659239</v>
      </c>
    </row>
    <row r="704" spans="1:34" x14ac:dyDescent="0.2">
      <c r="A704" s="347">
        <f t="shared" ca="1" si="296"/>
        <v>0.1</v>
      </c>
      <c r="B704" s="304">
        <f t="shared" ca="1" si="297"/>
        <v>25.000000000000025</v>
      </c>
      <c r="D704" s="306">
        <f t="shared" ca="1" si="298"/>
        <v>-0.1757036172124396</v>
      </c>
      <c r="E704" s="307">
        <f t="shared" ca="1" si="299"/>
        <v>-9.506454574899637</v>
      </c>
      <c r="F704" s="304">
        <f t="shared" ca="1" si="300"/>
        <v>9.5080781625800572</v>
      </c>
      <c r="G704" s="306">
        <f t="shared" ca="1" si="301"/>
        <v>15.180881158153005</v>
      </c>
      <c r="H704" s="307">
        <f t="shared" ca="1" si="302"/>
        <v>-27.207477847511313</v>
      </c>
      <c r="I704" s="304">
        <f t="shared" ca="1" si="303"/>
        <v>31.1561551472704</v>
      </c>
      <c r="J704" s="306">
        <f t="shared" ca="1" si="304"/>
        <v>514.65405933131012</v>
      </c>
      <c r="K704" s="307">
        <f t="shared" ca="1" si="305"/>
        <v>3003.1644848643055</v>
      </c>
      <c r="L704" s="304">
        <f t="shared" ca="1" si="290"/>
        <v>3046.9436693080634</v>
      </c>
      <c r="M704" s="306">
        <f t="shared" ca="1" si="306"/>
        <v>-1.0618568230038143</v>
      </c>
      <c r="N704" s="304">
        <f t="shared" ca="1" si="307"/>
        <v>-60.839914405288631</v>
      </c>
      <c r="P704" s="310">
        <f t="shared" ca="1" si="308"/>
        <v>23</v>
      </c>
      <c r="Q704" s="304">
        <f t="shared" ca="1" si="309"/>
        <v>0</v>
      </c>
      <c r="R704" s="306">
        <f t="shared" ca="1" si="310"/>
        <v>0</v>
      </c>
      <c r="S704" s="307">
        <f t="shared" ca="1" si="311"/>
        <v>6.4679999999999849</v>
      </c>
      <c r="T704" s="304">
        <f t="shared" ca="1" si="291"/>
        <v>63.451079999999855</v>
      </c>
      <c r="U704" s="311">
        <f t="shared" ca="1" si="292"/>
        <v>0</v>
      </c>
      <c r="V704" s="306">
        <f t="shared" ca="1" si="293"/>
        <v>0.90514170429643181</v>
      </c>
      <c r="W704" s="304">
        <f t="shared" ca="1" si="294"/>
        <v>2.3931295760204128</v>
      </c>
      <c r="Y704" s="314" t="str">
        <f t="shared" ca="1" si="312"/>
        <v/>
      </c>
      <c r="Z704" s="315" t="str">
        <f t="shared" ca="1" si="313"/>
        <v/>
      </c>
      <c r="AA704" s="316" t="str">
        <f t="shared" ca="1" si="314"/>
        <v/>
      </c>
      <c r="AC704" s="310">
        <f t="shared" ca="1" si="315"/>
        <v>25.000000000000025</v>
      </c>
      <c r="AD704" s="323">
        <f t="shared" ca="1" si="316"/>
        <v>514.65405933131012</v>
      </c>
      <c r="AE704" s="324" t="e">
        <f t="shared" ca="1" si="295"/>
        <v>#N/A</v>
      </c>
      <c r="AG704" s="306">
        <f t="shared" ca="1" si="317"/>
        <v>8.1395045064527576</v>
      </c>
      <c r="AH704" s="304">
        <f t="shared" ca="1" si="318"/>
        <v>-0.35073007598564443</v>
      </c>
    </row>
    <row r="705" spans="1:34" x14ac:dyDescent="0.2">
      <c r="A705" s="347">
        <f t="shared" ca="1" si="296"/>
        <v>0.1</v>
      </c>
      <c r="B705" s="304">
        <f t="shared" ca="1" si="297"/>
        <v>25.100000000000026</v>
      </c>
      <c r="D705" s="306">
        <f t="shared" ca="1" si="298"/>
        <v>-0.18028073729266159</v>
      </c>
      <c r="E705" s="307">
        <f t="shared" ca="1" si="299"/>
        <v>-9.4868972686681747</v>
      </c>
      <c r="F705" s="304">
        <f t="shared" ca="1" si="300"/>
        <v>9.488610063149526</v>
      </c>
      <c r="G705" s="306">
        <f t="shared" ca="1" si="301"/>
        <v>15.162853084423739</v>
      </c>
      <c r="H705" s="307">
        <f t="shared" ca="1" si="302"/>
        <v>-28.156167574378131</v>
      </c>
      <c r="I705" s="304">
        <f t="shared" ca="1" si="303"/>
        <v>31.979397838863086</v>
      </c>
      <c r="J705" s="306">
        <f t="shared" ca="1" si="304"/>
        <v>516.17124604343894</v>
      </c>
      <c r="K705" s="307">
        <f t="shared" ca="1" si="305"/>
        <v>3000.3963025932112</v>
      </c>
      <c r="L705" s="304">
        <f t="shared" ca="1" si="290"/>
        <v>3044.4721591528883</v>
      </c>
      <c r="M705" s="306">
        <f t="shared" ca="1" si="306"/>
        <v>-1.0768043043623003</v>
      </c>
      <c r="N705" s="304">
        <f t="shared" ca="1" si="307"/>
        <v>-61.696342001480353</v>
      </c>
      <c r="P705" s="310">
        <f t="shared" ca="1" si="308"/>
        <v>23</v>
      </c>
      <c r="Q705" s="304">
        <f t="shared" ca="1" si="309"/>
        <v>0</v>
      </c>
      <c r="R705" s="306">
        <f t="shared" ca="1" si="310"/>
        <v>0</v>
      </c>
      <c r="S705" s="307">
        <f t="shared" ca="1" si="311"/>
        <v>6.4679999999999849</v>
      </c>
      <c r="T705" s="304">
        <f t="shared" ca="1" si="291"/>
        <v>63.451079999999855</v>
      </c>
      <c r="U705" s="311">
        <f t="shared" ca="1" si="292"/>
        <v>0</v>
      </c>
      <c r="V705" s="306">
        <f t="shared" ca="1" si="293"/>
        <v>0.90539807468341016</v>
      </c>
      <c r="W705" s="304">
        <f t="shared" ca="1" si="294"/>
        <v>2.5219824115710394</v>
      </c>
      <c r="Y705" s="314" t="str">
        <f t="shared" ca="1" si="312"/>
        <v/>
      </c>
      <c r="Z705" s="315" t="str">
        <f t="shared" ca="1" si="313"/>
        <v/>
      </c>
      <c r="AA705" s="316" t="str">
        <f t="shared" ca="1" si="314"/>
        <v/>
      </c>
      <c r="AC705" s="310" t="e">
        <f t="shared" ca="1" si="315"/>
        <v>#N/A</v>
      </c>
      <c r="AD705" s="323" t="e">
        <f t="shared" ca="1" si="316"/>
        <v>#N/A</v>
      </c>
      <c r="AE705" s="324" t="e">
        <f t="shared" ca="1" si="295"/>
        <v>#N/A</v>
      </c>
      <c r="AG705" s="306">
        <f t="shared" ca="1" si="317"/>
        <v>8.1967022446713731</v>
      </c>
      <c r="AH705" s="304">
        <f t="shared" ca="1" si="318"/>
        <v>-0.36999529623073879</v>
      </c>
    </row>
    <row r="706" spans="1:34" x14ac:dyDescent="0.2">
      <c r="A706" s="347">
        <f t="shared" ca="1" si="296"/>
        <v>0.1</v>
      </c>
      <c r="B706" s="304">
        <f t="shared" ca="1" si="297"/>
        <v>25.200000000000028</v>
      </c>
      <c r="D706" s="306">
        <f t="shared" ca="1" si="298"/>
        <v>-0.1848769157804058</v>
      </c>
      <c r="E706" s="307">
        <f t="shared" ca="1" si="299"/>
        <v>-9.4666988156935563</v>
      </c>
      <c r="F706" s="304">
        <f t="shared" ca="1" si="300"/>
        <v>9.4685038913781021</v>
      </c>
      <c r="G706" s="306">
        <f t="shared" ca="1" si="301"/>
        <v>15.144365392845698</v>
      </c>
      <c r="H706" s="307">
        <f t="shared" ca="1" si="302"/>
        <v>-29.102837455947487</v>
      </c>
      <c r="I706" s="304">
        <f t="shared" ca="1" si="303"/>
        <v>32.807422195889188</v>
      </c>
      <c r="J706" s="306">
        <f t="shared" ca="1" si="304"/>
        <v>517.6866069673024</v>
      </c>
      <c r="K706" s="307">
        <f t="shared" ca="1" si="305"/>
        <v>2997.5333523416948</v>
      </c>
      <c r="L706" s="304">
        <f t="shared" ca="1" si="290"/>
        <v>3041.908220415954</v>
      </c>
      <c r="M706" s="306">
        <f t="shared" ca="1" si="306"/>
        <v>-1.0909825369200206</v>
      </c>
      <c r="N706" s="304">
        <f t="shared" ca="1" si="307"/>
        <v>-62.508694887992696</v>
      </c>
      <c r="P706" s="310">
        <f t="shared" ca="1" si="308"/>
        <v>23</v>
      </c>
      <c r="Q706" s="304">
        <f t="shared" ca="1" si="309"/>
        <v>0</v>
      </c>
      <c r="R706" s="306">
        <f t="shared" ca="1" si="310"/>
        <v>0</v>
      </c>
      <c r="S706" s="307">
        <f t="shared" ca="1" si="311"/>
        <v>6.4679999999999849</v>
      </c>
      <c r="T706" s="304">
        <f t="shared" ca="1" si="291"/>
        <v>63.451079999999855</v>
      </c>
      <c r="U706" s="311">
        <f t="shared" ca="1" si="292"/>
        <v>0</v>
      </c>
      <c r="V706" s="306">
        <f t="shared" ca="1" si="293"/>
        <v>0.90566328676551899</v>
      </c>
      <c r="W706" s="304">
        <f t="shared" ca="1" si="294"/>
        <v>2.6550512041927892</v>
      </c>
      <c r="Y706" s="314" t="str">
        <f t="shared" ca="1" si="312"/>
        <v/>
      </c>
      <c r="Z706" s="315" t="str">
        <f t="shared" ca="1" si="313"/>
        <v/>
      </c>
      <c r="AA706" s="316" t="str">
        <f t="shared" ca="1" si="314"/>
        <v/>
      </c>
      <c r="AC706" s="310" t="e">
        <f t="shared" ca="1" si="315"/>
        <v>#N/A</v>
      </c>
      <c r="AD706" s="323" t="e">
        <f t="shared" ca="1" si="316"/>
        <v>#N/A</v>
      </c>
      <c r="AE706" s="324" t="e">
        <f t="shared" ca="1" si="295"/>
        <v>#N/A</v>
      </c>
      <c r="AG706" s="306">
        <f t="shared" ca="1" si="317"/>
        <v>8.2472690088504663</v>
      </c>
      <c r="AH706" s="304">
        <f t="shared" ca="1" si="318"/>
        <v>-0.38991688490585114</v>
      </c>
    </row>
    <row r="707" spans="1:34" x14ac:dyDescent="0.2">
      <c r="A707" s="347">
        <f t="shared" ca="1" si="296"/>
        <v>0.1</v>
      </c>
      <c r="B707" s="304">
        <f t="shared" ca="1" si="297"/>
        <v>25.300000000000029</v>
      </c>
      <c r="D707" s="306">
        <f t="shared" ca="1" si="298"/>
        <v>-0.18948806537420049</v>
      </c>
      <c r="E707" s="307">
        <f t="shared" ca="1" si="299"/>
        <v>-9.4458619048486199</v>
      </c>
      <c r="F707" s="304">
        <f t="shared" ca="1" si="300"/>
        <v>9.4477623198506464</v>
      </c>
      <c r="G707" s="306">
        <f t="shared" ca="1" si="301"/>
        <v>15.125416586308278</v>
      </c>
      <c r="H707" s="307">
        <f t="shared" ca="1" si="302"/>
        <v>-30.04742364643235</v>
      </c>
      <c r="I707" s="304">
        <f t="shared" ca="1" si="303"/>
        <v>33.639647660127942</v>
      </c>
      <c r="J707" s="306">
        <f t="shared" ca="1" si="304"/>
        <v>519.20009606626013</v>
      </c>
      <c r="K707" s="307">
        <f t="shared" ca="1" si="305"/>
        <v>2994.575839286576</v>
      </c>
      <c r="L707" s="304">
        <f t="shared" ca="1" si="290"/>
        <v>3039.2520785538859</v>
      </c>
      <c r="M707" s="306">
        <f t="shared" ca="1" si="306"/>
        <v>-1.1044445391608646</v>
      </c>
      <c r="N707" s="304">
        <f t="shared" ca="1" si="307"/>
        <v>-63.280010800188712</v>
      </c>
      <c r="P707" s="310">
        <f t="shared" ca="1" si="308"/>
        <v>23</v>
      </c>
      <c r="Q707" s="304">
        <f t="shared" ca="1" si="309"/>
        <v>0</v>
      </c>
      <c r="R707" s="306">
        <f t="shared" ca="1" si="310"/>
        <v>0</v>
      </c>
      <c r="S707" s="307">
        <f t="shared" ca="1" si="311"/>
        <v>6.4679999999999849</v>
      </c>
      <c r="T707" s="304">
        <f t="shared" ca="1" si="291"/>
        <v>63.451079999999855</v>
      </c>
      <c r="U707" s="311">
        <f t="shared" ca="1" si="292"/>
        <v>0</v>
      </c>
      <c r="V707" s="306">
        <f t="shared" ca="1" si="293"/>
        <v>0.90593732811034378</v>
      </c>
      <c r="W707" s="304">
        <f t="shared" ca="1" si="294"/>
        <v>2.7923056459568092</v>
      </c>
      <c r="Y707" s="314" t="str">
        <f t="shared" ca="1" si="312"/>
        <v/>
      </c>
      <c r="Z707" s="315" t="str">
        <f t="shared" ca="1" si="313"/>
        <v/>
      </c>
      <c r="AA707" s="316" t="str">
        <f t="shared" ca="1" si="314"/>
        <v/>
      </c>
      <c r="AC707" s="310" t="e">
        <f t="shared" ca="1" si="315"/>
        <v>#N/A</v>
      </c>
      <c r="AD707" s="323" t="e">
        <f t="shared" ca="1" si="316"/>
        <v>#N/A</v>
      </c>
      <c r="AE707" s="324" t="e">
        <f t="shared" ca="1" si="295"/>
        <v>#N/A</v>
      </c>
      <c r="AG707" s="306">
        <f t="shared" ca="1" si="317"/>
        <v>8.2917732921610501</v>
      </c>
      <c r="AH707" s="304">
        <f t="shared" ca="1" si="318"/>
        <v>-0.41049029130995601</v>
      </c>
    </row>
    <row r="708" spans="1:34" x14ac:dyDescent="0.2">
      <c r="A708" s="347">
        <f t="shared" ca="1" si="296"/>
        <v>0.1</v>
      </c>
      <c r="B708" s="304">
        <f t="shared" ca="1" si="297"/>
        <v>25.400000000000031</v>
      </c>
      <c r="D708" s="306">
        <f t="shared" ca="1" si="298"/>
        <v>-0.1941104202022772</v>
      </c>
      <c r="E708" s="307">
        <f t="shared" ca="1" si="299"/>
        <v>-9.4243895940502895</v>
      </c>
      <c r="F708" s="304">
        <f t="shared" ca="1" si="300"/>
        <v>9.4263883898168803</v>
      </c>
      <c r="G708" s="306">
        <f t="shared" ca="1" si="301"/>
        <v>15.106005544288051</v>
      </c>
      <c r="H708" s="307">
        <f t="shared" ca="1" si="302"/>
        <v>-30.989862605837377</v>
      </c>
      <c r="I708" s="304">
        <f t="shared" ca="1" si="303"/>
        <v>34.475541878739762</v>
      </c>
      <c r="J708" s="306">
        <f t="shared" ca="1" si="304"/>
        <v>520.71166717278993</v>
      </c>
      <c r="K708" s="307">
        <f t="shared" ca="1" si="305"/>
        <v>2991.5239749739626</v>
      </c>
      <c r="L708" s="304">
        <f t="shared" ref="L708:L771" ca="1" si="319">SQRT(pos_x^2+pos_z^2)</f>
        <v>3036.5039656114209</v>
      </c>
      <c r="M708" s="306">
        <f t="shared" ca="1" si="306"/>
        <v>-1.1172391081972992</v>
      </c>
      <c r="N708" s="304">
        <f t="shared" ca="1" si="307"/>
        <v>-64.013085606665186</v>
      </c>
      <c r="P708" s="310">
        <f t="shared" ca="1" si="308"/>
        <v>23</v>
      </c>
      <c r="Q708" s="304">
        <f t="shared" ca="1" si="309"/>
        <v>0</v>
      </c>
      <c r="R708" s="306">
        <f t="shared" ca="1" si="310"/>
        <v>0</v>
      </c>
      <c r="S708" s="307">
        <f t="shared" ca="1" si="311"/>
        <v>6.4679999999999849</v>
      </c>
      <c r="T708" s="304">
        <f t="shared" ref="T708:T771" ca="1" si="320">m*g</f>
        <v>63.451079999999855</v>
      </c>
      <c r="U708" s="311">
        <f t="shared" ref="U708:U771" ca="1" si="321">IF(pos_xz&lt;L_rampe,Poids*COS(Beta),0)</f>
        <v>0</v>
      </c>
      <c r="V708" s="306">
        <f t="shared" ref="V708:V771" ca="1" si="322">Rho_moyen*(20000-Alt_rampe-pos_z)/(20000+Alt_rampe+pos_z)</f>
        <v>0.90622018589702868</v>
      </c>
      <c r="W708" s="304">
        <f t="shared" ref="W708:W771" ca="1" si="323">1/2*Rho*Sref*Cx*vit_xz^2</f>
        <v>2.9337145646993301</v>
      </c>
      <c r="Y708" s="314" t="str">
        <f t="shared" ca="1" si="312"/>
        <v/>
      </c>
      <c r="Z708" s="315" t="str">
        <f t="shared" ca="1" si="313"/>
        <v/>
      </c>
      <c r="AA708" s="316" t="str">
        <f t="shared" ca="1" si="314"/>
        <v/>
      </c>
      <c r="AC708" s="310" t="e">
        <f t="shared" ca="1" si="315"/>
        <v>#N/A</v>
      </c>
      <c r="AD708" s="323" t="e">
        <f t="shared" ca="1" si="316"/>
        <v>#N/A</v>
      </c>
      <c r="AE708" s="324" t="e">
        <f t="shared" ref="AE708:AE771" ca="1" si="324">IF(t&lt;T_para, pos_z, NA())</f>
        <v>#N/A</v>
      </c>
      <c r="AG708" s="306">
        <f t="shared" ca="1" si="317"/>
        <v>8.33072416820578</v>
      </c>
      <c r="AH708" s="304">
        <f t="shared" ca="1" si="318"/>
        <v>-0.43171082961608159</v>
      </c>
    </row>
    <row r="709" spans="1:34" x14ac:dyDescent="0.2">
      <c r="A709" s="347">
        <f t="shared" ref="A709:A772" ca="1" si="325">IF(B708+0.01&lt;=T_ini+ROUNDUP(Temps_fin_propu,0), 0.01, IF(K708&gt;0, 0.1, 0.0001))</f>
        <v>0.1</v>
      </c>
      <c r="B709" s="304">
        <f t="shared" ref="B709:B772" ca="1" si="326">B708+pas</f>
        <v>25.500000000000032</v>
      </c>
      <c r="D709" s="306">
        <f t="shared" ref="D709:D772" ca="1" si="327">IF(AND(L708&lt;L_rampe,Poussee&lt;Poids*SIN(M708)),0,(-W708+Poussee)/m*COS(M708)-U708/m*SIN(M708))</f>
        <v>-0.19874050289524769</v>
      </c>
      <c r="E709" s="307">
        <f t="shared" ref="E709:E772" ca="1" si="328">IF(AND(L708&lt;L_rampe,Poussee&lt;Poids*SIN(M708)),0,(-W708+Poussee)/m*SIN(M708)+U708/m*COS(M708)-Poids/m)</f>
        <v>-9.4022852761518028</v>
      </c>
      <c r="F709" s="304">
        <f t="shared" ref="F709:F772" ca="1" si="329">SQRT(acc_x^2+acc_z^2)</f>
        <v>9.4043854770863167</v>
      </c>
      <c r="G709" s="306">
        <f t="shared" ref="G709:G772" ca="1" si="330">G708+acc_x*pas</f>
        <v>15.086131493998526</v>
      </c>
      <c r="H709" s="307">
        <f t="shared" ref="H709:H772" ca="1" si="331">H708+acc_z*pas</f>
        <v>-31.930091133452557</v>
      </c>
      <c r="I709" s="304">
        <f t="shared" ref="I709:I772" ca="1" si="332">SQRT(vit_x^2+vit_z^2)</f>
        <v>35.314615717076684</v>
      </c>
      <c r="J709" s="306">
        <f t="shared" ref="J709:J772" ca="1" si="333">J708+0.5*(vit_x+G708)*pas*(K708&gt;=0)</f>
        <v>522.22127402470426</v>
      </c>
      <c r="K709" s="307">
        <f t="shared" ref="K709:K772" ca="1" si="334">K708+0.5*(vit_z+H708)*pas</f>
        <v>2988.377977286998</v>
      </c>
      <c r="L709" s="304">
        <f t="shared" ca="1" si="319"/>
        <v>3033.6641201981993</v>
      </c>
      <c r="M709" s="306">
        <f t="shared" ref="M709:M772" ca="1" si="335">IF(AND(L708&gt;L_rampe,G709&gt;0),ATAN2(G709,H709),$M$4)</f>
        <v>-1.129411159817763</v>
      </c>
      <c r="N709" s="304">
        <f t="shared" ref="N709:N772" ca="1" si="336">DEGREES(Beta)</f>
        <v>-64.710492792533131</v>
      </c>
      <c r="P709" s="310">
        <f t="shared" ref="P709:P772" ca="1" si="337">MATCH(t-pas/2-T_ini,CdP_t)</f>
        <v>23</v>
      </c>
      <c r="Q709" s="304">
        <f t="shared" ref="Q709:Q772" ca="1" si="338">(INDEX(CdP,2,i_P+1)-INDEX(CdP,2,i_P+0))/(INDEX(CdP,1,i_P+1)-INDEX(CdP,1,i_P+0))*(t-pas/2-T_ini-INDEX(CdP,1,i_P+0))+INDEX(CdP,2,i_P+0)</f>
        <v>0</v>
      </c>
      <c r="R709" s="306">
        <f t="shared" ref="R709:R772" ca="1" si="339">Poussee/(g*ISP)</f>
        <v>0</v>
      </c>
      <c r="S709" s="307">
        <f t="shared" ref="S709:S772" ca="1" si="340">S708-Débit*pas</f>
        <v>6.4679999999999849</v>
      </c>
      <c r="T709" s="304">
        <f t="shared" ca="1" si="320"/>
        <v>63.451079999999855</v>
      </c>
      <c r="U709" s="311">
        <f t="shared" ca="1" si="321"/>
        <v>0</v>
      </c>
      <c r="V709" s="306">
        <f t="shared" ca="1" si="322"/>
        <v>0.90651184691730047</v>
      </c>
      <c r="W709" s="304">
        <f t="shared" ca="1" si="323"/>
        <v>3.0792459345419125</v>
      </c>
      <c r="Y709" s="314" t="str">
        <f t="shared" ref="Y709:Y772" ca="1" si="341">IF(AND(pos_z&lt;=0,K708&gt;0),"Impact balistique","") &amp; IF(AND(H710&lt;0,vit_z&gt;=0),"Apogée","") &amp; IF(AND(Poussee=0,Q708&gt;0),"Fin de propulsion","") &amp; IF(AND(L710&gt;L_rampe,pos_xz&lt;=L_rampe),"Sortie de rampe","")</f>
        <v/>
      </c>
      <c r="Z709" s="315" t="str">
        <f t="shared" ref="Z709:Z772" ca="1" si="342">IF(ABS(t-T_para)&lt;pas/2,"Para","")</f>
        <v/>
      </c>
      <c r="AA709" s="316" t="str">
        <f t="shared" ref="AA709:AA772" ca="1" si="343">IF(ABS(t-T_satellite)&lt;pas/2,"Satellite","")</f>
        <v/>
      </c>
      <c r="AC709" s="310" t="e">
        <f t="shared" ref="AC709:AC772" ca="1" si="344">IF(ABS(t-ROUND(t,0))&lt;0.001,t,NA())</f>
        <v>#N/A</v>
      </c>
      <c r="AD709" s="323" t="e">
        <f t="shared" ref="AD709:AD772" ca="1" si="345">IF(ABS(t-ROUND(t,0))&lt;0.001,pos_x,NA())</f>
        <v>#N/A</v>
      </c>
      <c r="AE709" s="324" t="e">
        <f t="shared" ca="1" si="324"/>
        <v>#N/A</v>
      </c>
      <c r="AG709" s="306">
        <f t="shared" ref="AG709:AG772" ca="1" si="346">IF(AND(L708&lt;L_rampe,Poussee&lt;Poids*SIN(M708)),0,(-W708+Poussee)/m-Poids*SIN(M708)/m)</f>
        <v>8.364577843751162</v>
      </c>
      <c r="AH709" s="304">
        <f t="shared" ref="AH709:AH772" ca="1" si="347">IF(AND(L708&lt;L_rampe,Poussee&lt;Poids*SIN(M708)), g*SIN(M708), (-W708+Poussee)/m)</f>
        <v>-0.45357368038023144</v>
      </c>
    </row>
    <row r="710" spans="1:34" x14ac:dyDescent="0.2">
      <c r="A710" s="347">
        <f t="shared" ca="1" si="325"/>
        <v>0.1</v>
      </c>
      <c r="B710" s="304">
        <f t="shared" ca="1" si="326"/>
        <v>25.600000000000033</v>
      </c>
      <c r="D710" s="306">
        <f t="shared" ca="1" si="327"/>
        <v>-0.20337509533287959</v>
      </c>
      <c r="E710" s="307">
        <f t="shared" ca="1" si="328"/>
        <v>-9.3795526496745207</v>
      </c>
      <c r="F710" s="304">
        <f t="shared" ca="1" si="329"/>
        <v>9.3817572627636228</v>
      </c>
      <c r="G710" s="306">
        <f t="shared" ca="1" si="330"/>
        <v>15.065793984465238</v>
      </c>
      <c r="H710" s="307">
        <f t="shared" ca="1" si="331"/>
        <v>-32.868046398420006</v>
      </c>
      <c r="I710" s="304">
        <f t="shared" ca="1" si="332"/>
        <v>36.156418827519957</v>
      </c>
      <c r="J710" s="306">
        <f t="shared" ca="1" si="333"/>
        <v>523.7288702986275</v>
      </c>
      <c r="K710" s="307">
        <f t="shared" ca="1" si="334"/>
        <v>2985.1380704104045</v>
      </c>
      <c r="L710" s="304">
        <f t="shared" ca="1" si="319"/>
        <v>3030.7327874621064</v>
      </c>
      <c r="M710" s="306">
        <f t="shared" ca="1" si="335"/>
        <v>-1.1410020483001433</v>
      </c>
      <c r="N710" s="304">
        <f t="shared" ca="1" si="336"/>
        <v>-65.374601783380314</v>
      </c>
      <c r="P710" s="310">
        <f t="shared" ca="1" si="337"/>
        <v>23</v>
      </c>
      <c r="Q710" s="304">
        <f t="shared" ca="1" si="338"/>
        <v>0</v>
      </c>
      <c r="R710" s="306">
        <f t="shared" ca="1" si="339"/>
        <v>0</v>
      </c>
      <c r="S710" s="307">
        <f t="shared" ca="1" si="340"/>
        <v>6.4679999999999849</v>
      </c>
      <c r="T710" s="304">
        <f t="shared" ca="1" si="320"/>
        <v>63.451079999999855</v>
      </c>
      <c r="U710" s="311">
        <f t="shared" ca="1" si="321"/>
        <v>0</v>
      </c>
      <c r="V710" s="306">
        <f t="shared" ca="1" si="322"/>
        <v>0.90681229757673121</v>
      </c>
      <c r="W710" s="304">
        <f t="shared" ca="1" si="323"/>
        <v>3.2288668871070549</v>
      </c>
      <c r="Y710" s="314" t="str">
        <f t="shared" ca="1" si="341"/>
        <v/>
      </c>
      <c r="Z710" s="315" t="str">
        <f t="shared" ca="1" si="342"/>
        <v/>
      </c>
      <c r="AA710" s="316" t="str">
        <f t="shared" ca="1" si="343"/>
        <v/>
      </c>
      <c r="AC710" s="310" t="e">
        <f t="shared" ca="1" si="344"/>
        <v>#N/A</v>
      </c>
      <c r="AD710" s="323" t="e">
        <f t="shared" ca="1" si="345"/>
        <v>#N/A</v>
      </c>
      <c r="AE710" s="324" t="e">
        <f t="shared" ca="1" si="324"/>
        <v>#N/A</v>
      </c>
      <c r="AG710" s="306">
        <f t="shared" ca="1" si="346"/>
        <v>8.3937435377780485</v>
      </c>
      <c r="AH710" s="304">
        <f t="shared" ca="1" si="347"/>
        <v>-0.47607389216789109</v>
      </c>
    </row>
    <row r="711" spans="1:34" x14ac:dyDescent="0.2">
      <c r="A711" s="347">
        <f t="shared" ca="1" si="325"/>
        <v>0.1</v>
      </c>
      <c r="B711" s="304">
        <f t="shared" ca="1" si="326"/>
        <v>25.700000000000035</v>
      </c>
      <c r="D711" s="306">
        <f t="shared" ca="1" si="327"/>
        <v>-0.20801121267638342</v>
      </c>
      <c r="E711" s="307">
        <f t="shared" ca="1" si="328"/>
        <v>-9.3561956935898163</v>
      </c>
      <c r="F711" s="304">
        <f t="shared" ca="1" si="329"/>
        <v>9.3585077080348515</v>
      </c>
      <c r="G711" s="306">
        <f t="shared" ca="1" si="330"/>
        <v>15.044992863197599</v>
      </c>
      <c r="H711" s="307">
        <f t="shared" ca="1" si="331"/>
        <v>-33.80366596777899</v>
      </c>
      <c r="I711" s="304">
        <f t="shared" ca="1" si="332"/>
        <v>37.000535713889953</v>
      </c>
      <c r="J711" s="306">
        <f t="shared" ca="1" si="333"/>
        <v>525.23440964101064</v>
      </c>
      <c r="K711" s="307">
        <f t="shared" ca="1" si="334"/>
        <v>2981.8044847920946</v>
      </c>
      <c r="L711" s="304">
        <f t="shared" ca="1" si="319"/>
        <v>3027.7102190594778</v>
      </c>
      <c r="M711" s="306">
        <f t="shared" ca="1" si="335"/>
        <v>-1.1520498646392741</v>
      </c>
      <c r="N711" s="304">
        <f t="shared" ca="1" si="336"/>
        <v>-66.007595032448179</v>
      </c>
      <c r="P711" s="310">
        <f t="shared" ca="1" si="337"/>
        <v>23</v>
      </c>
      <c r="Q711" s="304">
        <f t="shared" ca="1" si="338"/>
        <v>0</v>
      </c>
      <c r="R711" s="306">
        <f t="shared" ca="1" si="339"/>
        <v>0</v>
      </c>
      <c r="S711" s="307">
        <f t="shared" ca="1" si="340"/>
        <v>6.4679999999999849</v>
      </c>
      <c r="T711" s="304">
        <f t="shared" ca="1" si="320"/>
        <v>63.451079999999855</v>
      </c>
      <c r="U711" s="311">
        <f t="shared" ca="1" si="321"/>
        <v>0</v>
      </c>
      <c r="V711" s="306">
        <f t="shared" ca="1" si="322"/>
        <v>0.90712152389622436</v>
      </c>
      <c r="W711" s="304">
        <f t="shared" ca="1" si="323"/>
        <v>3.3825437233722373</v>
      </c>
      <c r="Y711" s="314" t="str">
        <f t="shared" ca="1" si="341"/>
        <v/>
      </c>
      <c r="Z711" s="315" t="str">
        <f t="shared" ca="1" si="342"/>
        <v/>
      </c>
      <c r="AA711" s="316" t="str">
        <f t="shared" ca="1" si="343"/>
        <v/>
      </c>
      <c r="AC711" s="310" t="e">
        <f t="shared" ca="1" si="344"/>
        <v>#N/A</v>
      </c>
      <c r="AD711" s="323" t="e">
        <f t="shared" ca="1" si="345"/>
        <v>#N/A</v>
      </c>
      <c r="AE711" s="324" t="e">
        <f t="shared" ca="1" si="324"/>
        <v>#N/A</v>
      </c>
      <c r="AG711" s="306">
        <f t="shared" ca="1" si="346"/>
        <v>8.4185887309527239</v>
      </c>
      <c r="AH711" s="304">
        <f t="shared" ca="1" si="347"/>
        <v>-0.49920638328804307</v>
      </c>
    </row>
    <row r="712" spans="1:34" x14ac:dyDescent="0.2">
      <c r="A712" s="347">
        <f t="shared" ca="1" si="325"/>
        <v>0.1</v>
      </c>
      <c r="B712" s="304">
        <f t="shared" ca="1" si="326"/>
        <v>25.800000000000036</v>
      </c>
      <c r="D712" s="306">
        <f t="shared" ca="1" si="327"/>
        <v>-0.21264608032670299</v>
      </c>
      <c r="E712" s="307">
        <f t="shared" ca="1" si="328"/>
        <v>-9.332218645493354</v>
      </c>
      <c r="F712" s="304">
        <f t="shared" ca="1" si="329"/>
        <v>9.3346410323467772</v>
      </c>
      <c r="G712" s="306">
        <f t="shared" ca="1" si="330"/>
        <v>15.023728255164929</v>
      </c>
      <c r="H712" s="307">
        <f t="shared" ca="1" si="331"/>
        <v>-34.736887832328328</v>
      </c>
      <c r="I712" s="304">
        <f t="shared" ca="1" si="332"/>
        <v>37.846582236191431</v>
      </c>
      <c r="J712" s="306">
        <f t="shared" ca="1" si="333"/>
        <v>526.73784569692873</v>
      </c>
      <c r="K712" s="307">
        <f t="shared" ca="1" si="334"/>
        <v>2978.3774571020895</v>
      </c>
      <c r="L712" s="304">
        <f t="shared" ca="1" si="319"/>
        <v>3024.596673122443</v>
      </c>
      <c r="M712" s="306">
        <f t="shared" ca="1" si="335"/>
        <v>-1.162589712837631</v>
      </c>
      <c r="N712" s="304">
        <f t="shared" ca="1" si="336"/>
        <v>-66.611483850922596</v>
      </c>
      <c r="P712" s="310">
        <f t="shared" ca="1" si="337"/>
        <v>23</v>
      </c>
      <c r="Q712" s="304">
        <f t="shared" ca="1" si="338"/>
        <v>0</v>
      </c>
      <c r="R712" s="306">
        <f t="shared" ca="1" si="339"/>
        <v>0</v>
      </c>
      <c r="S712" s="307">
        <f t="shared" ca="1" si="340"/>
        <v>6.4679999999999849</v>
      </c>
      <c r="T712" s="304">
        <f t="shared" ca="1" si="320"/>
        <v>63.451079999999855</v>
      </c>
      <c r="U712" s="311">
        <f t="shared" ca="1" si="321"/>
        <v>0</v>
      </c>
      <c r="V712" s="306">
        <f t="shared" ca="1" si="322"/>
        <v>0.9074395115136914</v>
      </c>
      <c r="W712" s="304">
        <f t="shared" ca="1" si="323"/>
        <v>3.5402419261123992</v>
      </c>
      <c r="Y712" s="314" t="str">
        <f t="shared" ca="1" si="341"/>
        <v/>
      </c>
      <c r="Z712" s="315" t="str">
        <f t="shared" ca="1" si="342"/>
        <v/>
      </c>
      <c r="AA712" s="316" t="str">
        <f t="shared" ca="1" si="343"/>
        <v/>
      </c>
      <c r="AC712" s="310" t="e">
        <f t="shared" ca="1" si="344"/>
        <v>#N/A</v>
      </c>
      <c r="AD712" s="323" t="e">
        <f t="shared" ca="1" si="345"/>
        <v>#N/A</v>
      </c>
      <c r="AE712" s="324" t="e">
        <f t="shared" ca="1" si="324"/>
        <v>#N/A</v>
      </c>
      <c r="AG712" s="306">
        <f t="shared" ca="1" si="346"/>
        <v>8.4394438362796613</v>
      </c>
      <c r="AH712" s="304">
        <f t="shared" ca="1" si="347"/>
        <v>-0.52296594362588822</v>
      </c>
    </row>
    <row r="713" spans="1:34" x14ac:dyDescent="0.2">
      <c r="A713" s="347">
        <f t="shared" ca="1" si="325"/>
        <v>0.1</v>
      </c>
      <c r="B713" s="304">
        <f t="shared" ca="1" si="326"/>
        <v>25.900000000000038</v>
      </c>
      <c r="D713" s="306">
        <f t="shared" ca="1" si="327"/>
        <v>-0.2172771134807428</v>
      </c>
      <c r="E713" s="307">
        <f t="shared" ca="1" si="328"/>
        <v>-9.3076259826239927</v>
      </c>
      <c r="F713" s="304">
        <f t="shared" ca="1" si="329"/>
        <v>9.3101616944315086</v>
      </c>
      <c r="G713" s="306">
        <f t="shared" ca="1" si="330"/>
        <v>15.002000543816855</v>
      </c>
      <c r="H713" s="307">
        <f t="shared" ca="1" si="331"/>
        <v>-35.667650430590726</v>
      </c>
      <c r="I713" s="304">
        <f t="shared" ca="1" si="332"/>
        <v>38.694202505743675</v>
      </c>
      <c r="J713" s="306">
        <f t="shared" ca="1" si="333"/>
        <v>528.23913213687786</v>
      </c>
      <c r="K713" s="307">
        <f t="shared" ca="1" si="334"/>
        <v>2974.8572301889435</v>
      </c>
      <c r="L713" s="304">
        <f t="shared" ca="1" si="319"/>
        <v>3021.3924142236401</v>
      </c>
      <c r="M713" s="306">
        <f t="shared" ca="1" si="335"/>
        <v>-1.1726539645930993</v>
      </c>
      <c r="N713" s="304">
        <f t="shared" ca="1" si="336"/>
        <v>-67.188123000468067</v>
      </c>
      <c r="P713" s="310">
        <f t="shared" ca="1" si="337"/>
        <v>23</v>
      </c>
      <c r="Q713" s="304">
        <f t="shared" ca="1" si="338"/>
        <v>0</v>
      </c>
      <c r="R713" s="306">
        <f t="shared" ca="1" si="339"/>
        <v>0</v>
      </c>
      <c r="S713" s="307">
        <f t="shared" ca="1" si="340"/>
        <v>6.4679999999999849</v>
      </c>
      <c r="T713" s="304">
        <f t="shared" ca="1" si="320"/>
        <v>63.451079999999855</v>
      </c>
      <c r="U713" s="311">
        <f t="shared" ca="1" si="321"/>
        <v>0</v>
      </c>
      <c r="V713" s="306">
        <f t="shared" ca="1" si="322"/>
        <v>0.90776624568591624</v>
      </c>
      <c r="W713" s="304">
        <f t="shared" ca="1" si="323"/>
        <v>3.7019261728866231</v>
      </c>
      <c r="Y713" s="314" t="str">
        <f t="shared" ca="1" si="341"/>
        <v/>
      </c>
      <c r="Z713" s="315" t="str">
        <f t="shared" ca="1" si="342"/>
        <v/>
      </c>
      <c r="AA713" s="316" t="str">
        <f t="shared" ca="1" si="343"/>
        <v/>
      </c>
      <c r="AC713" s="310" t="e">
        <f t="shared" ca="1" si="344"/>
        <v>#N/A</v>
      </c>
      <c r="AD713" s="323" t="e">
        <f t="shared" ca="1" si="345"/>
        <v>#N/A</v>
      </c>
      <c r="AE713" s="324" t="e">
        <f t="shared" ca="1" si="324"/>
        <v>#N/A</v>
      </c>
      <c r="AG713" s="306">
        <f t="shared" ca="1" si="346"/>
        <v>8.4566063439307442</v>
      </c>
      <c r="AH713" s="304">
        <f t="shared" ca="1" si="347"/>
        <v>-0.54734723656654416</v>
      </c>
    </row>
    <row r="714" spans="1:34" x14ac:dyDescent="0.2">
      <c r="A714" s="347">
        <f t="shared" ca="1" si="325"/>
        <v>0.1</v>
      </c>
      <c r="B714" s="304">
        <f t="shared" ca="1" si="326"/>
        <v>26.000000000000039</v>
      </c>
      <c r="D714" s="306">
        <f t="shared" ca="1" si="327"/>
        <v>-0.22190189898916851</v>
      </c>
      <c r="E714" s="307">
        <f t="shared" ca="1" si="328"/>
        <v>-9.2824224052710083</v>
      </c>
      <c r="F714" s="304">
        <f t="shared" ca="1" si="329"/>
        <v>9.2850743757200025</v>
      </c>
      <c r="G714" s="306">
        <f t="shared" ca="1" si="330"/>
        <v>14.979810353917939</v>
      </c>
      <c r="H714" s="307">
        <f t="shared" ca="1" si="331"/>
        <v>-36.595892671117824</v>
      </c>
      <c r="I714" s="304">
        <f t="shared" ca="1" si="332"/>
        <v>39.543066125874994</v>
      </c>
      <c r="J714" s="306">
        <f t="shared" ca="1" si="333"/>
        <v>529.73822268176457</v>
      </c>
      <c r="K714" s="307">
        <f t="shared" ca="1" si="334"/>
        <v>2971.2440530338581</v>
      </c>
      <c r="L714" s="304">
        <f t="shared" ca="1" si="319"/>
        <v>3018.0977133385036</v>
      </c>
      <c r="M714" s="306">
        <f t="shared" ca="1" si="335"/>
        <v>-1.182272493169557</v>
      </c>
      <c r="N714" s="304">
        <f t="shared" ca="1" si="336"/>
        <v>-67.739224093025058</v>
      </c>
      <c r="P714" s="310">
        <f t="shared" ca="1" si="337"/>
        <v>23</v>
      </c>
      <c r="Q714" s="304">
        <f t="shared" ca="1" si="338"/>
        <v>0</v>
      </c>
      <c r="R714" s="306">
        <f t="shared" ca="1" si="339"/>
        <v>0</v>
      </c>
      <c r="S714" s="307">
        <f t="shared" ca="1" si="340"/>
        <v>6.4679999999999849</v>
      </c>
      <c r="T714" s="304">
        <f t="shared" ca="1" si="320"/>
        <v>63.451079999999855</v>
      </c>
      <c r="U714" s="311">
        <f t="shared" ca="1" si="321"/>
        <v>0</v>
      </c>
      <c r="V714" s="306">
        <f t="shared" ca="1" si="322"/>
        <v>0.9081017112905766</v>
      </c>
      <c r="W714" s="304">
        <f t="shared" ca="1" si="323"/>
        <v>3.867560349529652</v>
      </c>
      <c r="Y714" s="314" t="str">
        <f t="shared" ca="1" si="341"/>
        <v/>
      </c>
      <c r="Z714" s="315" t="str">
        <f t="shared" ca="1" si="342"/>
        <v/>
      </c>
      <c r="AA714" s="316" t="str">
        <f t="shared" ca="1" si="343"/>
        <v/>
      </c>
      <c r="AC714" s="310">
        <f t="shared" ca="1" si="344"/>
        <v>26.000000000000039</v>
      </c>
      <c r="AD714" s="323">
        <f t="shared" ca="1" si="345"/>
        <v>529.73822268176457</v>
      </c>
      <c r="AE714" s="324" t="e">
        <f t="shared" ca="1" si="324"/>
        <v>#N/A</v>
      </c>
      <c r="AG714" s="306">
        <f t="shared" ca="1" si="346"/>
        <v>8.4703444926233864</v>
      </c>
      <c r="AH714" s="304">
        <f t="shared" ca="1" si="347"/>
        <v>-0.57234480100288065</v>
      </c>
    </row>
    <row r="715" spans="1:34" x14ac:dyDescent="0.2">
      <c r="A715" s="347">
        <f t="shared" ca="1" si="325"/>
        <v>0.1</v>
      </c>
      <c r="B715" s="304">
        <f t="shared" ca="1" si="326"/>
        <v>26.100000000000041</v>
      </c>
      <c r="D715" s="306">
        <f t="shared" ca="1" si="327"/>
        <v>-0.22651817925008308</v>
      </c>
      <c r="E715" s="307">
        <f t="shared" ca="1" si="328"/>
        <v>-9.2566128221893731</v>
      </c>
      <c r="F715" s="304">
        <f t="shared" ca="1" si="329"/>
        <v>9.2593839657642185</v>
      </c>
      <c r="G715" s="306">
        <f t="shared" ca="1" si="330"/>
        <v>14.957158535992932</v>
      </c>
      <c r="H715" s="307">
        <f t="shared" ca="1" si="331"/>
        <v>-37.521553953336763</v>
      </c>
      <c r="I715" s="304">
        <f t="shared" ca="1" si="332"/>
        <v>40.39286573819674</v>
      </c>
      <c r="J715" s="306">
        <f t="shared" ca="1" si="333"/>
        <v>531.2350711262601</v>
      </c>
      <c r="K715" s="307">
        <f t="shared" ca="1" si="334"/>
        <v>2967.5381807026356</v>
      </c>
      <c r="L715" s="304">
        <f t="shared" ca="1" si="319"/>
        <v>3014.7128478053151</v>
      </c>
      <c r="M715" s="306">
        <f t="shared" ca="1" si="335"/>
        <v>-1.1914728875185212</v>
      </c>
      <c r="N715" s="304">
        <f t="shared" ca="1" si="336"/>
        <v>-68.266367859076723</v>
      </c>
      <c r="P715" s="310">
        <f t="shared" ca="1" si="337"/>
        <v>23</v>
      </c>
      <c r="Q715" s="304">
        <f t="shared" ca="1" si="338"/>
        <v>0</v>
      </c>
      <c r="R715" s="306">
        <f t="shared" ca="1" si="339"/>
        <v>0</v>
      </c>
      <c r="S715" s="307">
        <f t="shared" ca="1" si="340"/>
        <v>6.4679999999999849</v>
      </c>
      <c r="T715" s="304">
        <f t="shared" ca="1" si="320"/>
        <v>63.451079999999855</v>
      </c>
      <c r="U715" s="311">
        <f t="shared" ca="1" si="321"/>
        <v>0</v>
      </c>
      <c r="V715" s="306">
        <f t="shared" ca="1" si="322"/>
        <v>0.90844589282842192</v>
      </c>
      <c r="W715" s="304">
        <f t="shared" ca="1" si="323"/>
        <v>4.0371075641129393</v>
      </c>
      <c r="Y715" s="314" t="str">
        <f t="shared" ca="1" si="341"/>
        <v/>
      </c>
      <c r="Z715" s="315" t="str">
        <f t="shared" ca="1" si="342"/>
        <v/>
      </c>
      <c r="AA715" s="316" t="str">
        <f t="shared" ca="1" si="343"/>
        <v/>
      </c>
      <c r="AC715" s="310" t="e">
        <f t="shared" ca="1" si="344"/>
        <v>#N/A</v>
      </c>
      <c r="AD715" s="323" t="e">
        <f t="shared" ca="1" si="345"/>
        <v>#N/A</v>
      </c>
      <c r="AE715" s="324" t="e">
        <f t="shared" ca="1" si="324"/>
        <v>#N/A</v>
      </c>
      <c r="AG715" s="306">
        <f t="shared" ca="1" si="346"/>
        <v>8.4809005175400678</v>
      </c>
      <c r="AH715" s="304">
        <f t="shared" ca="1" si="347"/>
        <v>-0.59795305342140703</v>
      </c>
    </row>
    <row r="716" spans="1:34" x14ac:dyDescent="0.2">
      <c r="A716" s="347">
        <f t="shared" ca="1" si="325"/>
        <v>0.1</v>
      </c>
      <c r="B716" s="304">
        <f t="shared" ca="1" si="326"/>
        <v>26.200000000000042</v>
      </c>
      <c r="D716" s="306">
        <f t="shared" ca="1" si="327"/>
        <v>-0.23112383790172758</v>
      </c>
      <c r="E716" s="307">
        <f t="shared" ca="1" si="328"/>
        <v>-9.2302023377058351</v>
      </c>
      <c r="F716" s="304">
        <f t="shared" ca="1" si="329"/>
        <v>9.2330955493505371</v>
      </c>
      <c r="G716" s="306">
        <f t="shared" ca="1" si="330"/>
        <v>14.934046152202759</v>
      </c>
      <c r="H716" s="307">
        <f t="shared" ca="1" si="331"/>
        <v>-38.444574187107349</v>
      </c>
      <c r="I716" s="304">
        <f t="shared" ca="1" si="332"/>
        <v>41.243314838942361</v>
      </c>
      <c r="J716" s="306">
        <f t="shared" ca="1" si="333"/>
        <v>532.72963136066983</v>
      </c>
      <c r="K716" s="307">
        <f t="shared" ca="1" si="334"/>
        <v>2963.7398742956134</v>
      </c>
      <c r="L716" s="304">
        <f t="shared" ca="1" si="319"/>
        <v>3011.238101283167</v>
      </c>
      <c r="M716" s="306">
        <f t="shared" ca="1" si="335"/>
        <v>-1.2002806478809431</v>
      </c>
      <c r="N716" s="304">
        <f t="shared" ca="1" si="336"/>
        <v>-68.771015354806124</v>
      </c>
      <c r="P716" s="310">
        <f t="shared" ca="1" si="337"/>
        <v>23</v>
      </c>
      <c r="Q716" s="304">
        <f t="shared" ca="1" si="338"/>
        <v>0</v>
      </c>
      <c r="R716" s="306">
        <f t="shared" ca="1" si="339"/>
        <v>0</v>
      </c>
      <c r="S716" s="307">
        <f t="shared" ca="1" si="340"/>
        <v>6.4679999999999849</v>
      </c>
      <c r="T716" s="304">
        <f t="shared" ca="1" si="320"/>
        <v>63.451079999999855</v>
      </c>
      <c r="U716" s="311">
        <f t="shared" ca="1" si="321"/>
        <v>0</v>
      </c>
      <c r="V716" s="306">
        <f t="shared" ca="1" si="322"/>
        <v>0.90879877442558865</v>
      </c>
      <c r="W716" s="304">
        <f t="shared" ca="1" si="323"/>
        <v>4.2105301613433026</v>
      </c>
      <c r="Y716" s="314" t="str">
        <f t="shared" ca="1" si="341"/>
        <v/>
      </c>
      <c r="Z716" s="315" t="str">
        <f t="shared" ca="1" si="342"/>
        <v/>
      </c>
      <c r="AA716" s="316" t="str">
        <f t="shared" ca="1" si="343"/>
        <v/>
      </c>
      <c r="AC716" s="310" t="e">
        <f t="shared" ca="1" si="344"/>
        <v>#N/A</v>
      </c>
      <c r="AD716" s="323" t="e">
        <f t="shared" ca="1" si="345"/>
        <v>#N/A</v>
      </c>
      <c r="AE716" s="324" t="e">
        <f t="shared" ca="1" si="324"/>
        <v>#N/A</v>
      </c>
      <c r="AG716" s="306">
        <f t="shared" ca="1" si="346"/>
        <v>8.4884935214009474</v>
      </c>
      <c r="AH716" s="304">
        <f t="shared" ca="1" si="347"/>
        <v>-0.62416629006075275</v>
      </c>
    </row>
    <row r="717" spans="1:34" x14ac:dyDescent="0.2">
      <c r="A717" s="347">
        <f t="shared" ca="1" si="325"/>
        <v>0.1</v>
      </c>
      <c r="B717" s="304">
        <f t="shared" ca="1" si="326"/>
        <v>26.300000000000043</v>
      </c>
      <c r="D717" s="306">
        <f t="shared" ca="1" si="327"/>
        <v>-0.23571688710396865</v>
      </c>
      <c r="E717" s="307">
        <f t="shared" ca="1" si="328"/>
        <v>-9.2031962402509464</v>
      </c>
      <c r="F717" s="304">
        <f t="shared" ca="1" si="329"/>
        <v>9.2062143950396429</v>
      </c>
      <c r="G717" s="306">
        <f t="shared" ca="1" si="330"/>
        <v>14.910474463492362</v>
      </c>
      <c r="H717" s="307">
        <f t="shared" ca="1" si="331"/>
        <v>-39.364893811132447</v>
      </c>
      <c r="I717" s="304">
        <f t="shared" ca="1" si="332"/>
        <v>42.094145833930298</v>
      </c>
      <c r="J717" s="306">
        <f t="shared" ca="1" si="333"/>
        <v>534.22185739145459</v>
      </c>
      <c r="K717" s="307">
        <f t="shared" ca="1" si="334"/>
        <v>2959.8494008957014</v>
      </c>
      <c r="L717" s="304">
        <f t="shared" ca="1" si="319"/>
        <v>3007.673763707995</v>
      </c>
      <c r="M717" s="306">
        <f t="shared" ca="1" si="335"/>
        <v>-1.2087193641729739</v>
      </c>
      <c r="N717" s="304">
        <f t="shared" ca="1" si="336"/>
        <v>-69.254518182847761</v>
      </c>
      <c r="P717" s="310">
        <f t="shared" ca="1" si="337"/>
        <v>23</v>
      </c>
      <c r="Q717" s="304">
        <f t="shared" ca="1" si="338"/>
        <v>0</v>
      </c>
      <c r="R717" s="306">
        <f t="shared" ca="1" si="339"/>
        <v>0</v>
      </c>
      <c r="S717" s="307">
        <f t="shared" ca="1" si="340"/>
        <v>6.4679999999999849</v>
      </c>
      <c r="T717" s="304">
        <f t="shared" ca="1" si="320"/>
        <v>63.451079999999855</v>
      </c>
      <c r="U717" s="311">
        <f t="shared" ca="1" si="321"/>
        <v>0</v>
      </c>
      <c r="V717" s="306">
        <f t="shared" ca="1" si="322"/>
        <v>0.90916033983604561</v>
      </c>
      <c r="W717" s="304">
        <f t="shared" ca="1" si="323"/>
        <v>4.3877897373701975</v>
      </c>
      <c r="Y717" s="314" t="str">
        <f t="shared" ca="1" si="341"/>
        <v/>
      </c>
      <c r="Z717" s="315" t="str">
        <f t="shared" ca="1" si="342"/>
        <v/>
      </c>
      <c r="AA717" s="316" t="str">
        <f t="shared" ca="1" si="343"/>
        <v/>
      </c>
      <c r="AC717" s="310" t="e">
        <f t="shared" ca="1" si="344"/>
        <v>#N/A</v>
      </c>
      <c r="AD717" s="323" t="e">
        <f t="shared" ca="1" si="345"/>
        <v>#N/A</v>
      </c>
      <c r="AE717" s="324" t="e">
        <f t="shared" ca="1" si="324"/>
        <v>#N/A</v>
      </c>
      <c r="AG717" s="306">
        <f t="shared" ca="1" si="346"/>
        <v>8.4933220114310686</v>
      </c>
      <c r="AH717" s="304">
        <f t="shared" ca="1" si="347"/>
        <v>-0.65097868913780343</v>
      </c>
    </row>
    <row r="718" spans="1:34" x14ac:dyDescent="0.2">
      <c r="A718" s="347">
        <f t="shared" ca="1" si="325"/>
        <v>0.1</v>
      </c>
      <c r="B718" s="304">
        <f t="shared" ca="1" si="326"/>
        <v>26.400000000000045</v>
      </c>
      <c r="D718" s="306">
        <f t="shared" ca="1" si="327"/>
        <v>-0.24029545622255999</v>
      </c>
      <c r="E718" s="307">
        <f t="shared" ca="1" si="328"/>
        <v>-9.1755999920955471</v>
      </c>
      <c r="F718" s="304">
        <f t="shared" ca="1" si="329"/>
        <v>9.1787459449112667</v>
      </c>
      <c r="G718" s="306">
        <f t="shared" ca="1" si="330"/>
        <v>14.886444917870106</v>
      </c>
      <c r="H718" s="307">
        <f t="shared" ca="1" si="331"/>
        <v>-40.282453810341998</v>
      </c>
      <c r="I718" s="304">
        <f t="shared" ca="1" si="332"/>
        <v>42.945108304382202</v>
      </c>
      <c r="J718" s="306">
        <f t="shared" ca="1" si="333"/>
        <v>535.71170336052273</v>
      </c>
      <c r="K718" s="307">
        <f t="shared" ca="1" si="334"/>
        <v>2955.8670335146276</v>
      </c>
      <c r="L718" s="304">
        <f t="shared" ca="1" si="319"/>
        <v>3004.020131246793</v>
      </c>
      <c r="M718" s="306">
        <f t="shared" ca="1" si="335"/>
        <v>-1.2168108784745097</v>
      </c>
      <c r="N718" s="304">
        <f t="shared" ca="1" si="336"/>
        <v>-69.718127802195525</v>
      </c>
      <c r="P718" s="310">
        <f t="shared" ca="1" si="337"/>
        <v>23</v>
      </c>
      <c r="Q718" s="304">
        <f t="shared" ca="1" si="338"/>
        <v>0</v>
      </c>
      <c r="R718" s="306">
        <f t="shared" ca="1" si="339"/>
        <v>0</v>
      </c>
      <c r="S718" s="307">
        <f t="shared" ca="1" si="340"/>
        <v>6.4679999999999849</v>
      </c>
      <c r="T718" s="304">
        <f t="shared" ca="1" si="320"/>
        <v>63.451079999999855</v>
      </c>
      <c r="U718" s="311">
        <f t="shared" ca="1" si="321"/>
        <v>0</v>
      </c>
      <c r="V718" s="306">
        <f t="shared" ca="1" si="322"/>
        <v>0.90953057244416013</v>
      </c>
      <c r="W718" s="304">
        <f t="shared" ca="1" si="323"/>
        <v>4.5688471549749732</v>
      </c>
      <c r="Y718" s="314" t="str">
        <f t="shared" ca="1" si="341"/>
        <v/>
      </c>
      <c r="Z718" s="315" t="str">
        <f t="shared" ca="1" si="342"/>
        <v/>
      </c>
      <c r="AA718" s="316" t="str">
        <f t="shared" ca="1" si="343"/>
        <v/>
      </c>
      <c r="AC718" s="310" t="e">
        <f t="shared" ca="1" si="344"/>
        <v>#N/A</v>
      </c>
      <c r="AD718" s="323" t="e">
        <f t="shared" ca="1" si="345"/>
        <v>#N/A</v>
      </c>
      <c r="AE718" s="324" t="e">
        <f t="shared" ca="1" si="324"/>
        <v>#N/A</v>
      </c>
      <c r="AG718" s="306">
        <f t="shared" ca="1" si="346"/>
        <v>8.4955661409409604</v>
      </c>
      <c r="AH718" s="304">
        <f t="shared" ca="1" si="347"/>
        <v>-0.67838431313701419</v>
      </c>
    </row>
    <row r="719" spans="1:34" x14ac:dyDescent="0.2">
      <c r="A719" s="347">
        <f t="shared" ca="1" si="325"/>
        <v>0.1</v>
      </c>
      <c r="B719" s="304">
        <f t="shared" ca="1" si="326"/>
        <v>26.500000000000046</v>
      </c>
      <c r="D719" s="306">
        <f t="shared" ca="1" si="327"/>
        <v>-0.24485778175197573</v>
      </c>
      <c r="E719" s="307">
        <f t="shared" ca="1" si="328"/>
        <v>-9.1474192201063147</v>
      </c>
      <c r="F719" s="304">
        <f t="shared" ca="1" si="329"/>
        <v>9.1506958053284073</v>
      </c>
      <c r="G719" s="306">
        <f t="shared" ca="1" si="330"/>
        <v>14.861959139694909</v>
      </c>
      <c r="H719" s="307">
        <f t="shared" ca="1" si="331"/>
        <v>-41.197195732352633</v>
      </c>
      <c r="I719" s="304">
        <f t="shared" ca="1" si="332"/>
        <v>43.795967459113569</v>
      </c>
      <c r="J719" s="306">
        <f t="shared" ca="1" si="333"/>
        <v>537.19912356340103</v>
      </c>
      <c r="K719" s="307">
        <f t="shared" ca="1" si="334"/>
        <v>2951.7930510374927</v>
      </c>
      <c r="L719" s="304">
        <f t="shared" ca="1" si="319"/>
        <v>3000.2775062501332</v>
      </c>
      <c r="M719" s="306">
        <f t="shared" ca="1" si="335"/>
        <v>-1.2245754329139045</v>
      </c>
      <c r="N719" s="304">
        <f t="shared" ca="1" si="336"/>
        <v>-70.1630040013724</v>
      </c>
      <c r="P719" s="310">
        <f t="shared" ca="1" si="337"/>
        <v>23</v>
      </c>
      <c r="Q719" s="304">
        <f t="shared" ca="1" si="338"/>
        <v>0</v>
      </c>
      <c r="R719" s="306">
        <f t="shared" ca="1" si="339"/>
        <v>0</v>
      </c>
      <c r="S719" s="307">
        <f t="shared" ca="1" si="340"/>
        <v>6.4679999999999849</v>
      </c>
      <c r="T719" s="304">
        <f t="shared" ca="1" si="320"/>
        <v>63.451079999999855</v>
      </c>
      <c r="U719" s="311">
        <f t="shared" ca="1" si="321"/>
        <v>0</v>
      </c>
      <c r="V719" s="306">
        <f t="shared" ca="1" si="322"/>
        <v>0.9099094552673761</v>
      </c>
      <c r="W719" s="304">
        <f t="shared" ca="1" si="323"/>
        <v>4.753662559117557</v>
      </c>
      <c r="Y719" s="314" t="str">
        <f t="shared" ca="1" si="341"/>
        <v/>
      </c>
      <c r="Z719" s="315" t="str">
        <f t="shared" ca="1" si="342"/>
        <v/>
      </c>
      <c r="AA719" s="316" t="str">
        <f t="shared" ca="1" si="343"/>
        <v/>
      </c>
      <c r="AC719" s="310" t="e">
        <f t="shared" ca="1" si="344"/>
        <v>#N/A</v>
      </c>
      <c r="AD719" s="323" t="e">
        <f t="shared" ca="1" si="345"/>
        <v>#N/A</v>
      </c>
      <c r="AE719" s="324" t="e">
        <f t="shared" ca="1" si="324"/>
        <v>#N/A</v>
      </c>
      <c r="AG719" s="306">
        <f t="shared" ca="1" si="346"/>
        <v>8.4953896902799535</v>
      </c>
      <c r="AH719" s="304">
        <f t="shared" ca="1" si="347"/>
        <v>-0.70637711115877921</v>
      </c>
    </row>
    <row r="720" spans="1:34" x14ac:dyDescent="0.2">
      <c r="A720" s="347">
        <f t="shared" ca="1" si="325"/>
        <v>0.1</v>
      </c>
      <c r="B720" s="304">
        <f t="shared" ca="1" si="326"/>
        <v>26.600000000000048</v>
      </c>
      <c r="D720" s="306">
        <f t="shared" ca="1" si="327"/>
        <v>-0.24940219833211003</v>
      </c>
      <c r="E720" s="307">
        <f t="shared" ca="1" si="328"/>
        <v>-9.1186597073649409</v>
      </c>
      <c r="F720" s="304">
        <f t="shared" ca="1" si="329"/>
        <v>9.1220697385655729</v>
      </c>
      <c r="G720" s="306">
        <f t="shared" ca="1" si="330"/>
        <v>14.837018919861698</v>
      </c>
      <c r="H720" s="307">
        <f t="shared" ca="1" si="331"/>
        <v>-42.109061703089125</v>
      </c>
      <c r="I720" s="304">
        <f t="shared" ca="1" si="332"/>
        <v>44.646502751535884</v>
      </c>
      <c r="J720" s="306">
        <f t="shared" ca="1" si="333"/>
        <v>538.68407246637889</v>
      </c>
      <c r="K720" s="307">
        <f t="shared" ca="1" si="334"/>
        <v>2947.6277381657205</v>
      </c>
      <c r="L720" s="304">
        <f t="shared" ca="1" si="319"/>
        <v>2996.4461972031013</v>
      </c>
      <c r="M720" s="306">
        <f t="shared" ca="1" si="335"/>
        <v>-1.232031804190495</v>
      </c>
      <c r="N720" s="304">
        <f t="shared" ca="1" si="336"/>
        <v>-70.590222606003607</v>
      </c>
      <c r="P720" s="310">
        <f t="shared" ca="1" si="337"/>
        <v>23</v>
      </c>
      <c r="Q720" s="304">
        <f t="shared" ca="1" si="338"/>
        <v>0</v>
      </c>
      <c r="R720" s="306">
        <f t="shared" ca="1" si="339"/>
        <v>0</v>
      </c>
      <c r="S720" s="307">
        <f t="shared" ca="1" si="340"/>
        <v>6.4679999999999849</v>
      </c>
      <c r="T720" s="304">
        <f t="shared" ca="1" si="320"/>
        <v>63.451079999999855</v>
      </c>
      <c r="U720" s="311">
        <f t="shared" ca="1" si="321"/>
        <v>0</v>
      </c>
      <c r="V720" s="306">
        <f t="shared" ca="1" si="322"/>
        <v>0.91029697095900053</v>
      </c>
      <c r="W720" s="304">
        <f t="shared" ca="1" si="323"/>
        <v>4.9421953928177498</v>
      </c>
      <c r="Y720" s="314" t="str">
        <f t="shared" ca="1" si="341"/>
        <v/>
      </c>
      <c r="Z720" s="315" t="str">
        <f t="shared" ca="1" si="342"/>
        <v/>
      </c>
      <c r="AA720" s="316" t="str">
        <f t="shared" ca="1" si="343"/>
        <v/>
      </c>
      <c r="AC720" s="310" t="e">
        <f t="shared" ca="1" si="344"/>
        <v>#N/A</v>
      </c>
      <c r="AD720" s="323" t="e">
        <f t="shared" ca="1" si="345"/>
        <v>#N/A</v>
      </c>
      <c r="AE720" s="324" t="e">
        <f t="shared" ca="1" si="324"/>
        <v>#N/A</v>
      </c>
      <c r="AG720" s="306">
        <f t="shared" ca="1" si="346"/>
        <v>8.4929418181551775</v>
      </c>
      <c r="AH720" s="304">
        <f t="shared" ca="1" si="347"/>
        <v>-0.7349509213230625</v>
      </c>
    </row>
    <row r="721" spans="1:34" x14ac:dyDescent="0.2">
      <c r="A721" s="347">
        <f t="shared" ca="1" si="325"/>
        <v>0.1</v>
      </c>
      <c r="B721" s="304">
        <f t="shared" ca="1" si="326"/>
        <v>26.700000000000049</v>
      </c>
      <c r="D721" s="306">
        <f t="shared" ca="1" si="327"/>
        <v>-0.25392713073146922</v>
      </c>
      <c r="E721" s="307">
        <f t="shared" ca="1" si="328"/>
        <v>-9.0893273855204146</v>
      </c>
      <c r="F721" s="304">
        <f t="shared" ca="1" si="329"/>
        <v>9.0928736551704539</v>
      </c>
      <c r="G721" s="306">
        <f t="shared" ca="1" si="330"/>
        <v>14.811626206788551</v>
      </c>
      <c r="H721" s="307">
        <f t="shared" ca="1" si="331"/>
        <v>-43.017994441641164</v>
      </c>
      <c r="I721" s="304">
        <f t="shared" ca="1" si="332"/>
        <v>45.496506642496144</v>
      </c>
      <c r="J721" s="306">
        <f t="shared" ca="1" si="333"/>
        <v>540.16650472271135</v>
      </c>
      <c r="K721" s="307">
        <f t="shared" ca="1" si="334"/>
        <v>2943.3713853584841</v>
      </c>
      <c r="L721" s="304">
        <f t="shared" ca="1" si="319"/>
        <v>2992.5265186747256</v>
      </c>
      <c r="M721" s="306">
        <f t="shared" ca="1" si="335"/>
        <v>-1.2391974259087188</v>
      </c>
      <c r="N721" s="304">
        <f t="shared" ca="1" si="336"/>
        <v>-71.000782488045118</v>
      </c>
      <c r="P721" s="310">
        <f t="shared" ca="1" si="337"/>
        <v>23</v>
      </c>
      <c r="Q721" s="304">
        <f t="shared" ca="1" si="338"/>
        <v>0</v>
      </c>
      <c r="R721" s="306">
        <f t="shared" ca="1" si="339"/>
        <v>0</v>
      </c>
      <c r="S721" s="307">
        <f t="shared" ca="1" si="340"/>
        <v>6.4679999999999849</v>
      </c>
      <c r="T721" s="304">
        <f t="shared" ca="1" si="320"/>
        <v>63.451079999999855</v>
      </c>
      <c r="U721" s="311">
        <f t="shared" ca="1" si="321"/>
        <v>0</v>
      </c>
      <c r="V721" s="306">
        <f t="shared" ca="1" si="322"/>
        <v>0.91069310181108709</v>
      </c>
      <c r="W721" s="304">
        <f t="shared" ca="1" si="323"/>
        <v>5.1344044133497411</v>
      </c>
      <c r="Y721" s="314" t="str">
        <f t="shared" ca="1" si="341"/>
        <v/>
      </c>
      <c r="Z721" s="315" t="str">
        <f t="shared" ca="1" si="342"/>
        <v/>
      </c>
      <c r="AA721" s="316" t="str">
        <f t="shared" ca="1" si="343"/>
        <v/>
      </c>
      <c r="AC721" s="310" t="e">
        <f t="shared" ca="1" si="344"/>
        <v>#N/A</v>
      </c>
      <c r="AD721" s="323" t="e">
        <f t="shared" ca="1" si="345"/>
        <v>#N/A</v>
      </c>
      <c r="AE721" s="324" t="e">
        <f t="shared" ca="1" si="324"/>
        <v>#N/A</v>
      </c>
      <c r="AG721" s="306">
        <f t="shared" ca="1" si="346"/>
        <v>8.4883586108094597</v>
      </c>
      <c r="AH721" s="304">
        <f t="shared" ca="1" si="347"/>
        <v>-0.76409947322476213</v>
      </c>
    </row>
    <row r="722" spans="1:34" x14ac:dyDescent="0.2">
      <c r="A722" s="347">
        <f t="shared" ca="1" si="325"/>
        <v>0.1</v>
      </c>
      <c r="B722" s="304">
        <f t="shared" ca="1" si="326"/>
        <v>26.80000000000005</v>
      </c>
      <c r="D722" s="306">
        <f t="shared" ca="1" si="327"/>
        <v>-0.25843108668479731</v>
      </c>
      <c r="E722" s="307">
        <f t="shared" ca="1" si="328"/>
        <v>-9.0594283277646728</v>
      </c>
      <c r="F722" s="304">
        <f t="shared" ca="1" si="329"/>
        <v>9.0631136069493312</v>
      </c>
      <c r="G722" s="306">
        <f t="shared" ca="1" si="330"/>
        <v>14.785783098120071</v>
      </c>
      <c r="H722" s="307">
        <f t="shared" ca="1" si="331"/>
        <v>-43.923937274417632</v>
      </c>
      <c r="I722" s="304">
        <f t="shared" ca="1" si="332"/>
        <v>46.345783492262029</v>
      </c>
      <c r="J722" s="306">
        <f t="shared" ca="1" si="333"/>
        <v>541.64637518795678</v>
      </c>
      <c r="K722" s="307">
        <f t="shared" ca="1" si="334"/>
        <v>2939.0242887726813</v>
      </c>
      <c r="L722" s="304">
        <f t="shared" ca="1" si="319"/>
        <v>2988.518791266004</v>
      </c>
      <c r="M722" s="306">
        <f t="shared" ca="1" si="335"/>
        <v>-1.2460884998207964</v>
      </c>
      <c r="N722" s="304">
        <f t="shared" ca="1" si="336"/>
        <v>-71.395611939519867</v>
      </c>
      <c r="P722" s="310">
        <f t="shared" ca="1" si="337"/>
        <v>23</v>
      </c>
      <c r="Q722" s="304">
        <f t="shared" ca="1" si="338"/>
        <v>0</v>
      </c>
      <c r="R722" s="306">
        <f t="shared" ca="1" si="339"/>
        <v>0</v>
      </c>
      <c r="S722" s="307">
        <f t="shared" ca="1" si="340"/>
        <v>6.4679999999999849</v>
      </c>
      <c r="T722" s="304">
        <f t="shared" ca="1" si="320"/>
        <v>63.451079999999855</v>
      </c>
      <c r="U722" s="311">
        <f t="shared" ca="1" si="321"/>
        <v>0</v>
      </c>
      <c r="V722" s="306">
        <f t="shared" ca="1" si="322"/>
        <v>0.91109782975741693</v>
      </c>
      <c r="W722" s="304">
        <f t="shared" ca="1" si="323"/>
        <v>5.330247708729777</v>
      </c>
      <c r="Y722" s="314" t="str">
        <f t="shared" ca="1" si="341"/>
        <v/>
      </c>
      <c r="Z722" s="315" t="str">
        <f t="shared" ca="1" si="342"/>
        <v/>
      </c>
      <c r="AA722" s="316" t="str">
        <f t="shared" ca="1" si="343"/>
        <v/>
      </c>
      <c r="AC722" s="310" t="e">
        <f t="shared" ca="1" si="344"/>
        <v>#N/A</v>
      </c>
      <c r="AD722" s="323" t="e">
        <f t="shared" ca="1" si="345"/>
        <v>#N/A</v>
      </c>
      <c r="AE722" s="324" t="e">
        <f t="shared" ca="1" si="324"/>
        <v>#N/A</v>
      </c>
      <c r="AG722" s="306">
        <f t="shared" ca="1" si="346"/>
        <v>8.4817644533524597</v>
      </c>
      <c r="AH722" s="304">
        <f t="shared" ca="1" si="347"/>
        <v>-0.79381639043750052</v>
      </c>
    </row>
    <row r="723" spans="1:34" x14ac:dyDescent="0.2">
      <c r="A723" s="347">
        <f t="shared" ca="1" si="325"/>
        <v>0.1</v>
      </c>
      <c r="B723" s="304">
        <f t="shared" ca="1" si="326"/>
        <v>26.900000000000052</v>
      </c>
      <c r="D723" s="306">
        <f t="shared" ca="1" si="327"/>
        <v>-0.2629126504866065</v>
      </c>
      <c r="E723" s="307">
        <f t="shared" ca="1" si="328"/>
        <v>-9.0289687423391953</v>
      </c>
      <c r="F723" s="304">
        <f t="shared" ca="1" si="329"/>
        <v>9.0327957804836991</v>
      </c>
      <c r="G723" s="306">
        <f t="shared" ca="1" si="330"/>
        <v>14.75949183307141</v>
      </c>
      <c r="H723" s="307">
        <f t="shared" ca="1" si="331"/>
        <v>-44.82683414865155</v>
      </c>
      <c r="I723" s="304">
        <f t="shared" ca="1" si="332"/>
        <v>47.194148566969766</v>
      </c>
      <c r="J723" s="306">
        <f t="shared" ca="1" si="333"/>
        <v>543.12363893451641</v>
      </c>
      <c r="K723" s="307">
        <f t="shared" ca="1" si="334"/>
        <v>2934.586750201528</v>
      </c>
      <c r="L723" s="304">
        <f t="shared" ca="1" si="319"/>
        <v>2984.4233415565955</v>
      </c>
      <c r="M723" s="306">
        <f t="shared" ca="1" si="335"/>
        <v>-1.2527200969943482</v>
      </c>
      <c r="N723" s="304">
        <f t="shared" ca="1" si="336"/>
        <v>-71.775574468995273</v>
      </c>
      <c r="P723" s="310">
        <f t="shared" ca="1" si="337"/>
        <v>23</v>
      </c>
      <c r="Q723" s="304">
        <f t="shared" ca="1" si="338"/>
        <v>0</v>
      </c>
      <c r="R723" s="306">
        <f t="shared" ca="1" si="339"/>
        <v>0</v>
      </c>
      <c r="S723" s="307">
        <f t="shared" ca="1" si="340"/>
        <v>6.4679999999999849</v>
      </c>
      <c r="T723" s="304">
        <f t="shared" ca="1" si="320"/>
        <v>63.451079999999855</v>
      </c>
      <c r="U723" s="311">
        <f t="shared" ca="1" si="321"/>
        <v>0</v>
      </c>
      <c r="V723" s="306">
        <f t="shared" ca="1" si="322"/>
        <v>0.911511136376566</v>
      </c>
      <c r="W723" s="304">
        <f t="shared" ca="1" si="323"/>
        <v>5.5296827144778646</v>
      </c>
      <c r="Y723" s="314" t="str">
        <f t="shared" ca="1" si="341"/>
        <v/>
      </c>
      <c r="Z723" s="315" t="str">
        <f t="shared" ca="1" si="342"/>
        <v/>
      </c>
      <c r="AA723" s="316" t="str">
        <f t="shared" ca="1" si="343"/>
        <v/>
      </c>
      <c r="AC723" s="310" t="e">
        <f t="shared" ca="1" si="344"/>
        <v>#N/A</v>
      </c>
      <c r="AD723" s="323" t="e">
        <f t="shared" ca="1" si="345"/>
        <v>#N/A</v>
      </c>
      <c r="AE723" s="324" t="e">
        <f t="shared" ca="1" si="324"/>
        <v>#N/A</v>
      </c>
      <c r="AG723" s="306">
        <f t="shared" ca="1" si="346"/>
        <v>8.4732732446502581</v>
      </c>
      <c r="AH723" s="304">
        <f t="shared" ca="1" si="347"/>
        <v>-0.82409519306273804</v>
      </c>
    </row>
    <row r="724" spans="1:34" x14ac:dyDescent="0.2">
      <c r="A724" s="347">
        <f t="shared" ca="1" si="325"/>
        <v>0.1</v>
      </c>
      <c r="B724" s="304">
        <f t="shared" ca="1" si="326"/>
        <v>27.000000000000053</v>
      </c>
      <c r="D724" s="306">
        <f t="shared" ca="1" si="327"/>
        <v>-0.2673704772539604</v>
      </c>
      <c r="E724" s="307">
        <f t="shared" ca="1" si="328"/>
        <v>-8.9979549664946035</v>
      </c>
      <c r="F724" s="304">
        <f t="shared" ca="1" si="329"/>
        <v>9.0019264911002193</v>
      </c>
      <c r="G724" s="306">
        <f t="shared" ca="1" si="330"/>
        <v>14.732754785346014</v>
      </c>
      <c r="H724" s="307">
        <f t="shared" ca="1" si="331"/>
        <v>-45.72662964530101</v>
      </c>
      <c r="I724" s="304">
        <f t="shared" ca="1" si="332"/>
        <v>48.041427146616464</v>
      </c>
      <c r="J724" s="306">
        <f t="shared" ca="1" si="333"/>
        <v>544.59825126543728</v>
      </c>
      <c r="K724" s="307">
        <f t="shared" ca="1" si="334"/>
        <v>2930.0590770118306</v>
      </c>
      <c r="L724" s="304">
        <f t="shared" ca="1" si="319"/>
        <v>2980.2405020502611</v>
      </c>
      <c r="M724" s="306">
        <f t="shared" ca="1" si="335"/>
        <v>-1.2591062498403796</v>
      </c>
      <c r="N724" s="304">
        <f t="shared" ca="1" si="336"/>
        <v>-72.141474074398332</v>
      </c>
      <c r="P724" s="310">
        <f t="shared" ca="1" si="337"/>
        <v>23</v>
      </c>
      <c r="Q724" s="304">
        <f t="shared" ca="1" si="338"/>
        <v>0</v>
      </c>
      <c r="R724" s="306">
        <f t="shared" ca="1" si="339"/>
        <v>0</v>
      </c>
      <c r="S724" s="307">
        <f t="shared" ca="1" si="340"/>
        <v>6.4679999999999849</v>
      </c>
      <c r="T724" s="304">
        <f t="shared" ca="1" si="320"/>
        <v>63.451079999999855</v>
      </c>
      <c r="U724" s="311">
        <f t="shared" ca="1" si="321"/>
        <v>0</v>
      </c>
      <c r="V724" s="306">
        <f t="shared" ca="1" si="322"/>
        <v>0.9119330028950593</v>
      </c>
      <c r="W724" s="304">
        <f t="shared" ca="1" si="323"/>
        <v>5.732666230635421</v>
      </c>
      <c r="Y724" s="314" t="str">
        <f t="shared" ca="1" si="341"/>
        <v/>
      </c>
      <c r="Z724" s="315" t="str">
        <f t="shared" ca="1" si="342"/>
        <v/>
      </c>
      <c r="AA724" s="316" t="str">
        <f t="shared" ca="1" si="343"/>
        <v/>
      </c>
      <c r="AC724" s="310">
        <f t="shared" ca="1" si="344"/>
        <v>27.000000000000053</v>
      </c>
      <c r="AD724" s="323">
        <f t="shared" ca="1" si="345"/>
        <v>544.59825126543728</v>
      </c>
      <c r="AE724" s="324" t="e">
        <f t="shared" ca="1" si="324"/>
        <v>#N/A</v>
      </c>
      <c r="AG724" s="306">
        <f t="shared" ca="1" si="346"/>
        <v>8.4629894745932432</v>
      </c>
      <c r="AH724" s="304">
        <f t="shared" ca="1" si="347"/>
        <v>-0.85492930032125503</v>
      </c>
    </row>
    <row r="725" spans="1:34" x14ac:dyDescent="0.2">
      <c r="A725" s="347">
        <f t="shared" ca="1" si="325"/>
        <v>0.1</v>
      </c>
      <c r="B725" s="304">
        <f t="shared" ca="1" si="326"/>
        <v>27.100000000000055</v>
      </c>
      <c r="D725" s="306">
        <f t="shared" ca="1" si="327"/>
        <v>-0.27180328778230323</v>
      </c>
      <c r="E725" s="307">
        <f t="shared" ca="1" si="328"/>
        <v>-8.9663934608374305</v>
      </c>
      <c r="F725" s="304">
        <f t="shared" ca="1" si="329"/>
        <v>8.9705121772280929</v>
      </c>
      <c r="G725" s="306">
        <f t="shared" ca="1" si="330"/>
        <v>14.705574456567783</v>
      </c>
      <c r="H725" s="307">
        <f t="shared" ca="1" si="331"/>
        <v>-46.623268991384755</v>
      </c>
      <c r="I725" s="304">
        <f t="shared" ca="1" si="332"/>
        <v>48.887453723227168</v>
      </c>
      <c r="J725" s="306">
        <f t="shared" ca="1" si="333"/>
        <v>546.07016772753298</v>
      </c>
      <c r="K725" s="307">
        <f t="shared" ca="1" si="334"/>
        <v>2925.4415820799964</v>
      </c>
      <c r="L725" s="304">
        <f t="shared" ca="1" si="319"/>
        <v>2975.9706111191167</v>
      </c>
      <c r="M725" s="306">
        <f t="shared" ca="1" si="335"/>
        <v>-1.2652600358581312</v>
      </c>
      <c r="N725" s="304">
        <f t="shared" ca="1" si="336"/>
        <v>-72.494060041242122</v>
      </c>
      <c r="P725" s="310">
        <f t="shared" ca="1" si="337"/>
        <v>23</v>
      </c>
      <c r="Q725" s="304">
        <f t="shared" ca="1" si="338"/>
        <v>0</v>
      </c>
      <c r="R725" s="306">
        <f t="shared" ca="1" si="339"/>
        <v>0</v>
      </c>
      <c r="S725" s="307">
        <f t="shared" ca="1" si="340"/>
        <v>6.4679999999999849</v>
      </c>
      <c r="T725" s="304">
        <f t="shared" ca="1" si="320"/>
        <v>63.451079999999855</v>
      </c>
      <c r="U725" s="311">
        <f t="shared" ca="1" si="321"/>
        <v>0</v>
      </c>
      <c r="V725" s="306">
        <f t="shared" ca="1" si="322"/>
        <v>0.91236341019060518</v>
      </c>
      <c r="W725" s="304">
        <f t="shared" ca="1" si="323"/>
        <v>5.9391544390214959</v>
      </c>
      <c r="Y725" s="314" t="str">
        <f t="shared" ca="1" si="341"/>
        <v/>
      </c>
      <c r="Z725" s="315" t="str">
        <f t="shared" ca="1" si="342"/>
        <v/>
      </c>
      <c r="AA725" s="316" t="str">
        <f t="shared" ca="1" si="343"/>
        <v/>
      </c>
      <c r="AC725" s="310" t="e">
        <f t="shared" ca="1" si="344"/>
        <v>#N/A</v>
      </c>
      <c r="AD725" s="323" t="e">
        <f t="shared" ca="1" si="345"/>
        <v>#N/A</v>
      </c>
      <c r="AE725" s="324" t="e">
        <f t="shared" ca="1" si="324"/>
        <v>#N/A</v>
      </c>
      <c r="AG725" s="306">
        <f t="shared" ca="1" si="346"/>
        <v>8.4510091802634708</v>
      </c>
      <c r="AH725" s="304">
        <f t="shared" ca="1" si="347"/>
        <v>-0.88631203318420448</v>
      </c>
    </row>
    <row r="726" spans="1:34" x14ac:dyDescent="0.2">
      <c r="A726" s="347">
        <f t="shared" ca="1" si="325"/>
        <v>0.1</v>
      </c>
      <c r="B726" s="304">
        <f t="shared" ca="1" si="326"/>
        <v>27.200000000000056</v>
      </c>
      <c r="D726" s="306">
        <f t="shared" ca="1" si="327"/>
        <v>-0.27620986392728619</v>
      </c>
      <c r="E726" s="307">
        <f t="shared" ca="1" si="328"/>
        <v>-8.9342908040083966</v>
      </c>
      <c r="F726" s="304">
        <f t="shared" ca="1" si="329"/>
        <v>8.9385593950882107</v>
      </c>
      <c r="G726" s="306">
        <f t="shared" ca="1" si="330"/>
        <v>14.677953470175055</v>
      </c>
      <c r="H726" s="307">
        <f t="shared" ca="1" si="331"/>
        <v>-47.516698071785598</v>
      </c>
      <c r="I726" s="304">
        <f t="shared" ca="1" si="332"/>
        <v>49.73207127918419</v>
      </c>
      <c r="J726" s="306">
        <f t="shared" ca="1" si="333"/>
        <v>547.53934412387014</v>
      </c>
      <c r="K726" s="307">
        <f t="shared" ca="1" si="334"/>
        <v>2920.7345837268376</v>
      </c>
      <c r="L726" s="304">
        <f t="shared" ca="1" si="319"/>
        <v>2971.6140129467658</v>
      </c>
      <c r="M726" s="306">
        <f t="shared" ca="1" si="335"/>
        <v>-1.271193653877887</v>
      </c>
      <c r="N726" s="304">
        <f t="shared" ca="1" si="336"/>
        <v>-72.834031311016901</v>
      </c>
      <c r="P726" s="310">
        <f t="shared" ca="1" si="337"/>
        <v>23</v>
      </c>
      <c r="Q726" s="304">
        <f t="shared" ca="1" si="338"/>
        <v>0</v>
      </c>
      <c r="R726" s="306">
        <f t="shared" ca="1" si="339"/>
        <v>0</v>
      </c>
      <c r="S726" s="307">
        <f t="shared" ca="1" si="340"/>
        <v>6.4679999999999849</v>
      </c>
      <c r="T726" s="304">
        <f t="shared" ca="1" si="320"/>
        <v>63.451079999999855</v>
      </c>
      <c r="U726" s="311">
        <f t="shared" ca="1" si="321"/>
        <v>0</v>
      </c>
      <c r="V726" s="306">
        <f t="shared" ca="1" si="322"/>
        <v>0.91280233879540695</v>
      </c>
      <c r="W726" s="304">
        <f t="shared" ca="1" si="323"/>
        <v>6.1491029207108783</v>
      </c>
      <c r="Y726" s="314" t="str">
        <f t="shared" ca="1" si="341"/>
        <v/>
      </c>
      <c r="Z726" s="315" t="str">
        <f t="shared" ca="1" si="342"/>
        <v/>
      </c>
      <c r="AA726" s="316" t="str">
        <f t="shared" ca="1" si="343"/>
        <v/>
      </c>
      <c r="AC726" s="310" t="e">
        <f t="shared" ca="1" si="344"/>
        <v>#N/A</v>
      </c>
      <c r="AD726" s="323" t="e">
        <f t="shared" ca="1" si="345"/>
        <v>#N/A</v>
      </c>
      <c r="AE726" s="324" t="e">
        <f t="shared" ca="1" si="324"/>
        <v>#N/A</v>
      </c>
      <c r="AG726" s="306">
        <f t="shared" ca="1" si="346"/>
        <v>8.4374207954901141</v>
      </c>
      <c r="AH726" s="304">
        <f t="shared" ca="1" si="347"/>
        <v>-0.91823661704104975</v>
      </c>
    </row>
    <row r="727" spans="1:34" x14ac:dyDescent="0.2">
      <c r="A727" s="347">
        <f t="shared" ca="1" si="325"/>
        <v>0.1</v>
      </c>
      <c r="B727" s="304">
        <f t="shared" ca="1" si="326"/>
        <v>27.300000000000058</v>
      </c>
      <c r="D727" s="306">
        <f t="shared" ca="1" si="327"/>
        <v>-0.28058904445356136</v>
      </c>
      <c r="E727" s="307">
        <f t="shared" ca="1" si="328"/>
        <v>-8.9016536876450747</v>
      </c>
      <c r="F727" s="304">
        <f t="shared" ca="1" si="329"/>
        <v>8.906074813666935</v>
      </c>
      <c r="G727" s="306">
        <f t="shared" ca="1" si="330"/>
        <v>14.649894565729699</v>
      </c>
      <c r="H727" s="307">
        <f t="shared" ca="1" si="331"/>
        <v>-48.406863440550104</v>
      </c>
      <c r="I727" s="304">
        <f t="shared" ca="1" si="332"/>
        <v>50.575130636895665</v>
      </c>
      <c r="J727" s="306">
        <f t="shared" ca="1" si="333"/>
        <v>549.00573652566538</v>
      </c>
      <c r="K727" s="307">
        <f t="shared" ca="1" si="334"/>
        <v>2915.9384056512208</v>
      </c>
      <c r="L727" s="304">
        <f t="shared" ca="1" si="319"/>
        <v>2967.1710574703761</v>
      </c>
      <c r="M727" s="306">
        <f t="shared" ca="1" si="335"/>
        <v>-1.2769184935118301</v>
      </c>
      <c r="N727" s="304">
        <f t="shared" ca="1" si="336"/>
        <v>-73.162040460431058</v>
      </c>
      <c r="P727" s="310">
        <f t="shared" ca="1" si="337"/>
        <v>23</v>
      </c>
      <c r="Q727" s="304">
        <f t="shared" ca="1" si="338"/>
        <v>0</v>
      </c>
      <c r="R727" s="306">
        <f t="shared" ca="1" si="339"/>
        <v>0</v>
      </c>
      <c r="S727" s="307">
        <f t="shared" ca="1" si="340"/>
        <v>6.4679999999999849</v>
      </c>
      <c r="T727" s="304">
        <f t="shared" ca="1" si="320"/>
        <v>63.451079999999855</v>
      </c>
      <c r="U727" s="311">
        <f t="shared" ca="1" si="321"/>
        <v>0</v>
      </c>
      <c r="V727" s="306">
        <f t="shared" ca="1" si="322"/>
        <v>0.91324976889954801</v>
      </c>
      <c r="W727" s="304">
        <f t="shared" ca="1" si="323"/>
        <v>6.3624666737179849</v>
      </c>
      <c r="Y727" s="314" t="str">
        <f t="shared" ca="1" si="341"/>
        <v/>
      </c>
      <c r="Z727" s="315" t="str">
        <f t="shared" ca="1" si="342"/>
        <v/>
      </c>
      <c r="AA727" s="316" t="str">
        <f t="shared" ca="1" si="343"/>
        <v/>
      </c>
      <c r="AC727" s="310" t="e">
        <f t="shared" ca="1" si="344"/>
        <v>#N/A</v>
      </c>
      <c r="AD727" s="323" t="e">
        <f t="shared" ca="1" si="345"/>
        <v>#N/A</v>
      </c>
      <c r="AE727" s="324" t="e">
        <f t="shared" ca="1" si="324"/>
        <v>#N/A</v>
      </c>
      <c r="AG727" s="306">
        <f t="shared" ca="1" si="346"/>
        <v>8.4223059064908625</v>
      </c>
      <c r="AH727" s="304">
        <f t="shared" ca="1" si="347"/>
        <v>-0.95069618440180781</v>
      </c>
    </row>
    <row r="728" spans="1:34" x14ac:dyDescent="0.2">
      <c r="A728" s="347">
        <f t="shared" ca="1" si="325"/>
        <v>0.1</v>
      </c>
      <c r="B728" s="304">
        <f t="shared" ca="1" si="326"/>
        <v>27.400000000000059</v>
      </c>
      <c r="D728" s="306">
        <f t="shared" ca="1" si="327"/>
        <v>-0.28493972129854228</v>
      </c>
      <c r="E728" s="307">
        <f t="shared" ca="1" si="328"/>
        <v>-8.8684889115889742</v>
      </c>
      <c r="F728" s="304">
        <f t="shared" ca="1" si="329"/>
        <v>8.8730652099345164</v>
      </c>
      <c r="G728" s="306">
        <f t="shared" ca="1" si="330"/>
        <v>14.621400593599844</v>
      </c>
      <c r="H728" s="307">
        <f t="shared" ca="1" si="331"/>
        <v>-49.293712331709003</v>
      </c>
      <c r="I728" s="304">
        <f t="shared" ca="1" si="332"/>
        <v>51.416489872022595</v>
      </c>
      <c r="J728" s="306">
        <f t="shared" ca="1" si="333"/>
        <v>550.46930128363181</v>
      </c>
      <c r="K728" s="307">
        <f t="shared" ca="1" si="334"/>
        <v>2911.0533768626078</v>
      </c>
      <c r="L728" s="304">
        <f t="shared" ca="1" si="319"/>
        <v>2962.642100321752</v>
      </c>
      <c r="M728" s="306">
        <f t="shared" ca="1" si="335"/>
        <v>-1.2824451984569269</v>
      </c>
      <c r="N728" s="304">
        <f t="shared" ca="1" si="336"/>
        <v>-73.478697328399193</v>
      </c>
      <c r="P728" s="310">
        <f t="shared" ca="1" si="337"/>
        <v>23</v>
      </c>
      <c r="Q728" s="304">
        <f t="shared" ca="1" si="338"/>
        <v>0</v>
      </c>
      <c r="R728" s="306">
        <f t="shared" ca="1" si="339"/>
        <v>0</v>
      </c>
      <c r="S728" s="307">
        <f t="shared" ca="1" si="340"/>
        <v>6.4679999999999849</v>
      </c>
      <c r="T728" s="304">
        <f t="shared" ca="1" si="320"/>
        <v>63.451079999999855</v>
      </c>
      <c r="U728" s="311">
        <f t="shared" ca="1" si="321"/>
        <v>0</v>
      </c>
      <c r="V728" s="306">
        <f t="shared" ca="1" si="322"/>
        <v>0.91370568035444732</v>
      </c>
      <c r="W728" s="304">
        <f t="shared" ca="1" si="323"/>
        <v>6.5792001308709622</v>
      </c>
      <c r="Y728" s="314" t="str">
        <f t="shared" ca="1" si="341"/>
        <v/>
      </c>
      <c r="Z728" s="315" t="str">
        <f t="shared" ca="1" si="342"/>
        <v/>
      </c>
      <c r="AA728" s="316" t="str">
        <f t="shared" ca="1" si="343"/>
        <v/>
      </c>
      <c r="AC728" s="310" t="e">
        <f t="shared" ca="1" si="344"/>
        <v>#N/A</v>
      </c>
      <c r="AD728" s="323" t="e">
        <f t="shared" ca="1" si="345"/>
        <v>#N/A</v>
      </c>
      <c r="AE728" s="324" t="e">
        <f t="shared" ca="1" si="324"/>
        <v>#N/A</v>
      </c>
      <c r="AG728" s="306">
        <f t="shared" ca="1" si="346"/>
        <v>8.4057399247244433</v>
      </c>
      <c r="AH728" s="304">
        <f t="shared" ca="1" si="347"/>
        <v>-0.98368377763110693</v>
      </c>
    </row>
    <row r="729" spans="1:34" x14ac:dyDescent="0.2">
      <c r="A729" s="347">
        <f t="shared" ca="1" si="325"/>
        <v>0.1</v>
      </c>
      <c r="B729" s="304">
        <f t="shared" ca="1" si="326"/>
        <v>27.50000000000006</v>
      </c>
      <c r="D729" s="306">
        <f t="shared" ca="1" si="327"/>
        <v>-0.28926083620528853</v>
      </c>
      <c r="E729" s="307">
        <f t="shared" ca="1" si="328"/>
        <v>-8.8348033793031782</v>
      </c>
      <c r="F729" s="304">
        <f t="shared" ca="1" si="329"/>
        <v>8.8395374642743061</v>
      </c>
      <c r="G729" s="306">
        <f t="shared" ca="1" si="330"/>
        <v>14.592474509979315</v>
      </c>
      <c r="H729" s="307">
        <f t="shared" ca="1" si="331"/>
        <v>-50.177192669639318</v>
      </c>
      <c r="I729" s="304">
        <f t="shared" ca="1" si="332"/>
        <v>52.256013783396277</v>
      </c>
      <c r="J729" s="306">
        <f t="shared" ca="1" si="333"/>
        <v>551.92999503881072</v>
      </c>
      <c r="K729" s="307">
        <f t="shared" ca="1" si="334"/>
        <v>2906.0798316125406</v>
      </c>
      <c r="L729" s="304">
        <f t="shared" ca="1" si="319"/>
        <v>2958.0275027674634</v>
      </c>
      <c r="M729" s="306">
        <f t="shared" ca="1" si="335"/>
        <v>-1.2877837242327737</v>
      </c>
      <c r="N729" s="304">
        <f t="shared" ca="1" si="336"/>
        <v>-73.784572324177006</v>
      </c>
      <c r="P729" s="310">
        <f t="shared" ca="1" si="337"/>
        <v>23</v>
      </c>
      <c r="Q729" s="304">
        <f t="shared" ca="1" si="338"/>
        <v>0</v>
      </c>
      <c r="R729" s="306">
        <f t="shared" ca="1" si="339"/>
        <v>0</v>
      </c>
      <c r="S729" s="307">
        <f t="shared" ca="1" si="340"/>
        <v>6.4679999999999849</v>
      </c>
      <c r="T729" s="304">
        <f t="shared" ca="1" si="320"/>
        <v>63.451079999999855</v>
      </c>
      <c r="U729" s="311">
        <f t="shared" ca="1" si="321"/>
        <v>0</v>
      </c>
      <c r="V729" s="306">
        <f t="shared" ca="1" si="322"/>
        <v>0.91417005267638163</v>
      </c>
      <c r="W729" s="304">
        <f t="shared" ca="1" si="323"/>
        <v>6.7992571778608131</v>
      </c>
      <c r="Y729" s="314" t="str">
        <f t="shared" ca="1" si="341"/>
        <v/>
      </c>
      <c r="Z729" s="315" t="str">
        <f t="shared" ca="1" si="342"/>
        <v/>
      </c>
      <c r="AA729" s="316" t="str">
        <f t="shared" ca="1" si="343"/>
        <v/>
      </c>
      <c r="AC729" s="310" t="e">
        <f t="shared" ca="1" si="344"/>
        <v>#N/A</v>
      </c>
      <c r="AD729" s="323" t="e">
        <f t="shared" ca="1" si="345"/>
        <v>#N/A</v>
      </c>
      <c r="AE729" s="324" t="e">
        <f t="shared" ca="1" si="324"/>
        <v>#N/A</v>
      </c>
      <c r="AG729" s="306">
        <f t="shared" ca="1" si="346"/>
        <v>8.3877926867009442</v>
      </c>
      <c r="AH729" s="304">
        <f t="shared" ca="1" si="347"/>
        <v>-1.0171923517116539</v>
      </c>
    </row>
    <row r="730" spans="1:34" x14ac:dyDescent="0.2">
      <c r="A730" s="347">
        <f t="shared" ca="1" si="325"/>
        <v>0.1</v>
      </c>
      <c r="B730" s="304">
        <f t="shared" ca="1" si="326"/>
        <v>27.600000000000062</v>
      </c>
      <c r="D730" s="306">
        <f t="shared" ca="1" si="327"/>
        <v>-0.29355137768406225</v>
      </c>
      <c r="E730" s="307">
        <f t="shared" ca="1" si="328"/>
        <v>-8.8006040934717298</v>
      </c>
      <c r="F730" s="304">
        <f t="shared" ca="1" si="329"/>
        <v>8.8054985560938892</v>
      </c>
      <c r="G730" s="306">
        <f t="shared" ca="1" si="330"/>
        <v>14.56311937221091</v>
      </c>
      <c r="H730" s="307">
        <f t="shared" ca="1" si="331"/>
        <v>-51.057253078986491</v>
      </c>
      <c r="I730" s="304">
        <f t="shared" ca="1" si="332"/>
        <v>53.093573413558637</v>
      </c>
      <c r="J730" s="306">
        <f t="shared" ca="1" si="333"/>
        <v>553.38777473292021</v>
      </c>
      <c r="K730" s="307">
        <f t="shared" ca="1" si="334"/>
        <v>2901.0181093251094</v>
      </c>
      <c r="L730" s="304">
        <f t="shared" ca="1" si="319"/>
        <v>2953.3276316480847</v>
      </c>
      <c r="M730" s="306">
        <f t="shared" ca="1" si="335"/>
        <v>-1.2929433908813428</v>
      </c>
      <c r="N730" s="304">
        <f t="shared" ca="1" si="336"/>
        <v>-74.080199446834428</v>
      </c>
      <c r="P730" s="310">
        <f t="shared" ca="1" si="337"/>
        <v>23</v>
      </c>
      <c r="Q730" s="304">
        <f t="shared" ca="1" si="338"/>
        <v>0</v>
      </c>
      <c r="R730" s="306">
        <f t="shared" ca="1" si="339"/>
        <v>0</v>
      </c>
      <c r="S730" s="307">
        <f t="shared" ca="1" si="340"/>
        <v>6.4679999999999849</v>
      </c>
      <c r="T730" s="304">
        <f t="shared" ca="1" si="320"/>
        <v>63.451079999999855</v>
      </c>
      <c r="U730" s="311">
        <f t="shared" ca="1" si="321"/>
        <v>0</v>
      </c>
      <c r="V730" s="306">
        <f t="shared" ca="1" si="322"/>
        <v>0.91464286505007386</v>
      </c>
      <c r="W730" s="304">
        <f t="shared" ca="1" si="323"/>
        <v>7.0225911714508689</v>
      </c>
      <c r="Y730" s="314" t="str">
        <f t="shared" ca="1" si="341"/>
        <v/>
      </c>
      <c r="Z730" s="315" t="str">
        <f t="shared" ca="1" si="342"/>
        <v/>
      </c>
      <c r="AA730" s="316" t="str">
        <f t="shared" ca="1" si="343"/>
        <v/>
      </c>
      <c r="AC730" s="310" t="e">
        <f t="shared" ca="1" si="344"/>
        <v>#N/A</v>
      </c>
      <c r="AD730" s="323" t="e">
        <f t="shared" ca="1" si="345"/>
        <v>#N/A</v>
      </c>
      <c r="AE730" s="324" t="e">
        <f t="shared" ca="1" si="324"/>
        <v>#N/A</v>
      </c>
      <c r="AG730" s="306">
        <f t="shared" ca="1" si="346"/>
        <v>8.3685289892906489</v>
      </c>
      <c r="AH730" s="304">
        <f t="shared" ca="1" si="347"/>
        <v>-1.0512147770347602</v>
      </c>
    </row>
    <row r="731" spans="1:34" x14ac:dyDescent="0.2">
      <c r="A731" s="347">
        <f t="shared" ca="1" si="325"/>
        <v>0.1</v>
      </c>
      <c r="B731" s="304">
        <f t="shared" ca="1" si="326"/>
        <v>27.700000000000063</v>
      </c>
      <c r="D731" s="306">
        <f t="shared" ca="1" si="327"/>
        <v>-0.29781037826682932</v>
      </c>
      <c r="E731" s="307">
        <f t="shared" ca="1" si="328"/>
        <v>-8.7658981517563586</v>
      </c>
      <c r="F731" s="304">
        <f t="shared" ca="1" si="329"/>
        <v>8.7709555595937765</v>
      </c>
      <c r="G731" s="306">
        <f t="shared" ca="1" si="330"/>
        <v>14.533338334384228</v>
      </c>
      <c r="H731" s="307">
        <f t="shared" ca="1" si="331"/>
        <v>-51.933842894162126</v>
      </c>
      <c r="I731" s="304">
        <f t="shared" ca="1" si="332"/>
        <v>53.929045614559101</v>
      </c>
      <c r="J731" s="306">
        <f t="shared" ca="1" si="333"/>
        <v>554.84259761825001</v>
      </c>
      <c r="K731" s="307">
        <f t="shared" ca="1" si="334"/>
        <v>2895.868554526452</v>
      </c>
      <c r="L731" s="304">
        <f t="shared" ca="1" si="319"/>
        <v>2948.5428593165962</v>
      </c>
      <c r="M731" s="306">
        <f t="shared" ca="1" si="335"/>
        <v>-1.2979329311044552</v>
      </c>
      <c r="N731" s="304">
        <f t="shared" ca="1" si="336"/>
        <v>-74.366079043329535</v>
      </c>
      <c r="P731" s="310">
        <f t="shared" ca="1" si="337"/>
        <v>23</v>
      </c>
      <c r="Q731" s="304">
        <f t="shared" ca="1" si="338"/>
        <v>0</v>
      </c>
      <c r="R731" s="306">
        <f t="shared" ca="1" si="339"/>
        <v>0</v>
      </c>
      <c r="S731" s="307">
        <f t="shared" ca="1" si="340"/>
        <v>6.4679999999999849</v>
      </c>
      <c r="T731" s="304">
        <f t="shared" ca="1" si="320"/>
        <v>63.451079999999855</v>
      </c>
      <c r="U731" s="311">
        <f t="shared" ca="1" si="321"/>
        <v>0</v>
      </c>
      <c r="V731" s="306">
        <f t="shared" ca="1" si="322"/>
        <v>0.9151240963323416</v>
      </c>
      <c r="W731" s="304">
        <f t="shared" ca="1" si="323"/>
        <v>7.2491549578321255</v>
      </c>
      <c r="Y731" s="314" t="str">
        <f t="shared" ca="1" si="341"/>
        <v/>
      </c>
      <c r="Z731" s="315" t="str">
        <f t="shared" ca="1" si="342"/>
        <v/>
      </c>
      <c r="AA731" s="316" t="str">
        <f t="shared" ca="1" si="343"/>
        <v/>
      </c>
      <c r="AC731" s="310" t="e">
        <f t="shared" ca="1" si="344"/>
        <v>#N/A</v>
      </c>
      <c r="AD731" s="323" t="e">
        <f t="shared" ca="1" si="345"/>
        <v>#N/A</v>
      </c>
      <c r="AE731" s="324" t="e">
        <f t="shared" ca="1" si="324"/>
        <v>#N/A</v>
      </c>
      <c r="AG731" s="306">
        <f t="shared" ca="1" si="346"/>
        <v>8.3480090680178929</v>
      </c>
      <c r="AH731" s="304">
        <f t="shared" ca="1" si="347"/>
        <v>-1.0857438422156593</v>
      </c>
    </row>
    <row r="732" spans="1:34" x14ac:dyDescent="0.2">
      <c r="A732" s="347">
        <f t="shared" ca="1" si="325"/>
        <v>0.1</v>
      </c>
      <c r="B732" s="304">
        <f t="shared" ca="1" si="326"/>
        <v>27.800000000000065</v>
      </c>
      <c r="D732" s="306">
        <f t="shared" ca="1" si="327"/>
        <v>-0.30203691202311422</v>
      </c>
      <c r="E732" s="307">
        <f t="shared" ca="1" si="328"/>
        <v>-8.730692742689742</v>
      </c>
      <c r="F732" s="304">
        <f t="shared" ca="1" si="329"/>
        <v>8.7359156396727986</v>
      </c>
      <c r="G732" s="306">
        <f t="shared" ca="1" si="330"/>
        <v>14.503134643181916</v>
      </c>
      <c r="H732" s="307">
        <f t="shared" ca="1" si="331"/>
        <v>-52.806912168431097</v>
      </c>
      <c r="I732" s="304">
        <f t="shared" ca="1" si="332"/>
        <v>54.762312654257585</v>
      </c>
      <c r="J732" s="306">
        <f t="shared" ca="1" si="333"/>
        <v>556.29442126712831</v>
      </c>
      <c r="K732" s="307">
        <f t="shared" ca="1" si="334"/>
        <v>2890.6315167733223</v>
      </c>
      <c r="L732" s="304">
        <f t="shared" ca="1" si="319"/>
        <v>2943.6735635759901</v>
      </c>
      <c r="M732" s="306">
        <f t="shared" ca="1" si="335"/>
        <v>-1.3027605342683282</v>
      </c>
      <c r="N732" s="304">
        <f t="shared" ca="1" si="336"/>
        <v>-74.64268032978346</v>
      </c>
      <c r="P732" s="310">
        <f t="shared" ca="1" si="337"/>
        <v>23</v>
      </c>
      <c r="Q732" s="304">
        <f t="shared" ca="1" si="338"/>
        <v>0</v>
      </c>
      <c r="R732" s="306">
        <f t="shared" ca="1" si="339"/>
        <v>0</v>
      </c>
      <c r="S732" s="307">
        <f t="shared" ca="1" si="340"/>
        <v>6.4679999999999849</v>
      </c>
      <c r="T732" s="304">
        <f t="shared" ca="1" si="320"/>
        <v>63.451079999999855</v>
      </c>
      <c r="U732" s="311">
        <f t="shared" ca="1" si="321"/>
        <v>0</v>
      </c>
      <c r="V732" s="306">
        <f t="shared" ca="1" si="322"/>
        <v>0.91561372505580707</v>
      </c>
      <c r="W732" s="304">
        <f t="shared" ca="1" si="323"/>
        <v>7.4789008911104355</v>
      </c>
      <c r="Y732" s="314" t="str">
        <f t="shared" ca="1" si="341"/>
        <v/>
      </c>
      <c r="Z732" s="315" t="str">
        <f t="shared" ca="1" si="342"/>
        <v/>
      </c>
      <c r="AA732" s="316" t="str">
        <f t="shared" ca="1" si="343"/>
        <v/>
      </c>
      <c r="AC732" s="310" t="e">
        <f t="shared" ca="1" si="344"/>
        <v>#N/A</v>
      </c>
      <c r="AD732" s="323" t="e">
        <f t="shared" ca="1" si="345"/>
        <v>#N/A</v>
      </c>
      <c r="AE732" s="324" t="e">
        <f t="shared" ca="1" si="324"/>
        <v>#N/A</v>
      </c>
      <c r="AG732" s="306">
        <f t="shared" ca="1" si="346"/>
        <v>8.3262890249057673</v>
      </c>
      <c r="AH732" s="304">
        <f t="shared" ca="1" si="347"/>
        <v>-1.1207722569313763</v>
      </c>
    </row>
    <row r="733" spans="1:34" x14ac:dyDescent="0.2">
      <c r="A733" s="347">
        <f t="shared" ca="1" si="325"/>
        <v>0.1</v>
      </c>
      <c r="B733" s="304">
        <f t="shared" ca="1" si="326"/>
        <v>27.900000000000066</v>
      </c>
      <c r="D733" s="306">
        <f t="shared" ca="1" si="327"/>
        <v>-0.30623009230925968</v>
      </c>
      <c r="E733" s="307">
        <f t="shared" ca="1" si="328"/>
        <v>-8.6949951416876754</v>
      </c>
      <c r="F733" s="304">
        <f t="shared" ca="1" si="329"/>
        <v>8.7003860479525859</v>
      </c>
      <c r="G733" s="306">
        <f t="shared" ca="1" si="330"/>
        <v>14.47251163395099</v>
      </c>
      <c r="H733" s="307">
        <f t="shared" ca="1" si="331"/>
        <v>-53.676411682599863</v>
      </c>
      <c r="I733" s="304">
        <f t="shared" ca="1" si="332"/>
        <v>55.593261858923064</v>
      </c>
      <c r="J733" s="306">
        <f t="shared" ca="1" si="333"/>
        <v>557.74320358098498</v>
      </c>
      <c r="K733" s="307">
        <f t="shared" ca="1" si="334"/>
        <v>2885.3073505807706</v>
      </c>
      <c r="L733" s="304">
        <f t="shared" ca="1" si="319"/>
        <v>2938.7201276161372</v>
      </c>
      <c r="M733" s="306">
        <f t="shared" ca="1" si="335"/>
        <v>-1.3074338866624406</v>
      </c>
      <c r="N733" s="304">
        <f t="shared" ca="1" si="336"/>
        <v>-74.910443698143467</v>
      </c>
      <c r="P733" s="310">
        <f t="shared" ca="1" si="337"/>
        <v>23</v>
      </c>
      <c r="Q733" s="304">
        <f t="shared" ca="1" si="338"/>
        <v>0</v>
      </c>
      <c r="R733" s="306">
        <f t="shared" ca="1" si="339"/>
        <v>0</v>
      </c>
      <c r="S733" s="307">
        <f t="shared" ca="1" si="340"/>
        <v>6.4679999999999849</v>
      </c>
      <c r="T733" s="304">
        <f t="shared" ca="1" si="320"/>
        <v>63.451079999999855</v>
      </c>
      <c r="U733" s="311">
        <f t="shared" ca="1" si="321"/>
        <v>0</v>
      </c>
      <c r="V733" s="306">
        <f t="shared" ca="1" si="322"/>
        <v>0.91611172943266195</v>
      </c>
      <c r="W733" s="304">
        <f t="shared" ca="1" si="323"/>
        <v>7.7117808519117093</v>
      </c>
      <c r="Y733" s="314" t="str">
        <f t="shared" ca="1" si="341"/>
        <v/>
      </c>
      <c r="Z733" s="315" t="str">
        <f t="shared" ca="1" si="342"/>
        <v/>
      </c>
      <c r="AA733" s="316" t="str">
        <f t="shared" ca="1" si="343"/>
        <v/>
      </c>
      <c r="AC733" s="310" t="e">
        <f t="shared" ca="1" si="344"/>
        <v>#N/A</v>
      </c>
      <c r="AD733" s="323" t="e">
        <f t="shared" ca="1" si="345"/>
        <v>#N/A</v>
      </c>
      <c r="AE733" s="324" t="e">
        <f t="shared" ca="1" si="324"/>
        <v>#N/A</v>
      </c>
      <c r="AG733" s="306">
        <f t="shared" ca="1" si="346"/>
        <v>8.3034212116337365</v>
      </c>
      <c r="AH733" s="304">
        <f t="shared" ca="1" si="347"/>
        <v>-1.1562926547789816</v>
      </c>
    </row>
    <row r="734" spans="1:34" x14ac:dyDescent="0.2">
      <c r="A734" s="347">
        <f t="shared" ca="1" si="325"/>
        <v>0.1</v>
      </c>
      <c r="B734" s="304">
        <f t="shared" ca="1" si="326"/>
        <v>28.000000000000068</v>
      </c>
      <c r="D734" s="306">
        <f t="shared" ca="1" si="327"/>
        <v>-0.31038906972632185</v>
      </c>
      <c r="E734" s="307">
        <f t="shared" ca="1" si="328"/>
        <v>-8.6588127071651275</v>
      </c>
      <c r="F734" s="304">
        <f t="shared" ca="1" si="329"/>
        <v>8.6643741189060997</v>
      </c>
      <c r="G734" s="306">
        <f t="shared" ca="1" si="330"/>
        <v>14.441472726978358</v>
      </c>
      <c r="H734" s="307">
        <f t="shared" ca="1" si="331"/>
        <v>-54.542292953316377</v>
      </c>
      <c r="I734" s="304">
        <f t="shared" ca="1" si="332"/>
        <v>56.421785288392329</v>
      </c>
      <c r="J734" s="306">
        <f t="shared" ca="1" si="333"/>
        <v>559.18890279903144</v>
      </c>
      <c r="K734" s="307">
        <f t="shared" ca="1" si="334"/>
        <v>2879.8964153489746</v>
      </c>
      <c r="L734" s="304">
        <f t="shared" ca="1" si="319"/>
        <v>2933.6829399499634</v>
      </c>
      <c r="M734" s="306">
        <f t="shared" ca="1" si="335"/>
        <v>-1.3119602083618775</v>
      </c>
      <c r="N734" s="304">
        <f t="shared" ca="1" si="336"/>
        <v>-75.169782828239676</v>
      </c>
      <c r="P734" s="310">
        <f t="shared" ca="1" si="337"/>
        <v>23</v>
      </c>
      <c r="Q734" s="304">
        <f t="shared" ca="1" si="338"/>
        <v>0</v>
      </c>
      <c r="R734" s="306">
        <f t="shared" ca="1" si="339"/>
        <v>0</v>
      </c>
      <c r="S734" s="307">
        <f t="shared" ca="1" si="340"/>
        <v>6.4679999999999849</v>
      </c>
      <c r="T734" s="304">
        <f t="shared" ca="1" si="320"/>
        <v>63.451079999999855</v>
      </c>
      <c r="U734" s="311">
        <f t="shared" ca="1" si="321"/>
        <v>0</v>
      </c>
      <c r="V734" s="306">
        <f t="shared" ca="1" si="322"/>
        <v>0.91661808735848804</v>
      </c>
      <c r="W734" s="304">
        <f t="shared" ca="1" si="323"/>
        <v>7.9477462660916025</v>
      </c>
      <c r="Y734" s="314" t="str">
        <f t="shared" ca="1" si="341"/>
        <v/>
      </c>
      <c r="Z734" s="315" t="str">
        <f t="shared" ca="1" si="342"/>
        <v/>
      </c>
      <c r="AA734" s="316" t="str">
        <f t="shared" ca="1" si="343"/>
        <v/>
      </c>
      <c r="AC734" s="310">
        <f t="shared" ca="1" si="344"/>
        <v>28.000000000000068</v>
      </c>
      <c r="AD734" s="323">
        <f t="shared" ca="1" si="345"/>
        <v>559.18890279903144</v>
      </c>
      <c r="AE734" s="324" t="e">
        <f t="shared" ca="1" si="324"/>
        <v>#N/A</v>
      </c>
      <c r="AG734" s="306">
        <f t="shared" ca="1" si="346"/>
        <v>8.2794545730685325</v>
      </c>
      <c r="AH734" s="304">
        <f t="shared" ca="1" si="347"/>
        <v>-1.1922975961520914</v>
      </c>
    </row>
    <row r="735" spans="1:34" x14ac:dyDescent="0.2">
      <c r="A735" s="347">
        <f t="shared" ca="1" si="325"/>
        <v>0.1</v>
      </c>
      <c r="B735" s="304">
        <f t="shared" ca="1" si="326"/>
        <v>28.100000000000069</v>
      </c>
      <c r="D735" s="306">
        <f t="shared" ca="1" si="327"/>
        <v>-0.31451303026463595</v>
      </c>
      <c r="E735" s="307">
        <f t="shared" ca="1" si="328"/>
        <v>-8.6221528767434599</v>
      </c>
      <c r="F735" s="304">
        <f t="shared" ca="1" si="329"/>
        <v>8.6278872660774706</v>
      </c>
      <c r="G735" s="306">
        <f t="shared" ca="1" si="330"/>
        <v>14.410021423951894</v>
      </c>
      <c r="H735" s="307">
        <f t="shared" ca="1" si="331"/>
        <v>-55.404508240990722</v>
      </c>
      <c r="I735" s="304">
        <f t="shared" ca="1" si="332"/>
        <v>57.247779440470538</v>
      </c>
      <c r="J735" s="306">
        <f t="shared" ca="1" si="333"/>
        <v>560.63147750657799</v>
      </c>
      <c r="K735" s="307">
        <f t="shared" ca="1" si="334"/>
        <v>2874.3990752892591</v>
      </c>
      <c r="L735" s="304">
        <f t="shared" ca="1" si="319"/>
        <v>2928.5623943489677</v>
      </c>
      <c r="M735" s="306">
        <f t="shared" ca="1" si="335"/>
        <v>-1.3163462870079565</v>
      </c>
      <c r="N735" s="304">
        <f t="shared" ca="1" si="336"/>
        <v>-75.421086623272458</v>
      </c>
      <c r="P735" s="310">
        <f t="shared" ca="1" si="337"/>
        <v>23</v>
      </c>
      <c r="Q735" s="304">
        <f t="shared" ca="1" si="338"/>
        <v>0</v>
      </c>
      <c r="R735" s="306">
        <f t="shared" ca="1" si="339"/>
        <v>0</v>
      </c>
      <c r="S735" s="307">
        <f t="shared" ca="1" si="340"/>
        <v>6.4679999999999849</v>
      </c>
      <c r="T735" s="304">
        <f t="shared" ca="1" si="320"/>
        <v>63.451079999999855</v>
      </c>
      <c r="U735" s="311">
        <f t="shared" ca="1" si="321"/>
        <v>0</v>
      </c>
      <c r="V735" s="306">
        <f t="shared" ca="1" si="322"/>
        <v>0.91713277641613267</v>
      </c>
      <c r="W735" s="304">
        <f t="shared" ca="1" si="323"/>
        <v>8.1867481235364217</v>
      </c>
      <c r="Y735" s="314" t="str">
        <f t="shared" ca="1" si="341"/>
        <v/>
      </c>
      <c r="Z735" s="315" t="str">
        <f t="shared" ca="1" si="342"/>
        <v/>
      </c>
      <c r="AA735" s="316" t="str">
        <f t="shared" ca="1" si="343"/>
        <v/>
      </c>
      <c r="AC735" s="310" t="e">
        <f t="shared" ca="1" si="344"/>
        <v>#N/A</v>
      </c>
      <c r="AD735" s="323" t="e">
        <f t="shared" ca="1" si="345"/>
        <v>#N/A</v>
      </c>
      <c r="AE735" s="324" t="e">
        <f t="shared" ca="1" si="324"/>
        <v>#N/A</v>
      </c>
      <c r="AG735" s="306">
        <f t="shared" ca="1" si="346"/>
        <v>8.2544349556161603</v>
      </c>
      <c r="AH735" s="304">
        <f t="shared" ca="1" si="347"/>
        <v>-1.2287795711335221</v>
      </c>
    </row>
    <row r="736" spans="1:34" x14ac:dyDescent="0.2">
      <c r="A736" s="347">
        <f t="shared" ca="1" si="325"/>
        <v>0.1</v>
      </c>
      <c r="B736" s="304">
        <f t="shared" ca="1" si="326"/>
        <v>28.20000000000007</v>
      </c>
      <c r="D736" s="306">
        <f t="shared" ca="1" si="327"/>
        <v>-0.31860119361554912</v>
      </c>
      <c r="E736" s="307">
        <f t="shared" ca="1" si="328"/>
        <v>-8.5850231635380041</v>
      </c>
      <c r="F736" s="304">
        <f t="shared" ca="1" si="329"/>
        <v>8.5909329783823445</v>
      </c>
      <c r="G736" s="306">
        <f t="shared" ca="1" si="330"/>
        <v>14.378161304590339</v>
      </c>
      <c r="H736" s="307">
        <f t="shared" ca="1" si="331"/>
        <v>-56.263010557344522</v>
      </c>
      <c r="I736" s="304">
        <f t="shared" ca="1" si="332"/>
        <v>58.071144981623014</v>
      </c>
      <c r="J736" s="306">
        <f t="shared" ca="1" si="333"/>
        <v>562.07088664300511</v>
      </c>
      <c r="K736" s="307">
        <f t="shared" ca="1" si="334"/>
        <v>2868.8156993493426</v>
      </c>
      <c r="L736" s="304">
        <f t="shared" ca="1" si="319"/>
        <v>2923.3588897781456</v>
      </c>
      <c r="M736" s="306">
        <f t="shared" ca="1" si="335"/>
        <v>-1.320598508790974</v>
      </c>
      <c r="N736" s="304">
        <f t="shared" ca="1" si="336"/>
        <v>-75.664720984992954</v>
      </c>
      <c r="P736" s="310">
        <f t="shared" ca="1" si="337"/>
        <v>23</v>
      </c>
      <c r="Q736" s="304">
        <f t="shared" ca="1" si="338"/>
        <v>0</v>
      </c>
      <c r="R736" s="306">
        <f t="shared" ca="1" si="339"/>
        <v>0</v>
      </c>
      <c r="S736" s="307">
        <f t="shared" ca="1" si="340"/>
        <v>6.4679999999999849</v>
      </c>
      <c r="T736" s="304">
        <f t="shared" ca="1" si="320"/>
        <v>63.451079999999855</v>
      </c>
      <c r="U736" s="311">
        <f t="shared" ca="1" si="321"/>
        <v>0</v>
      </c>
      <c r="V736" s="306">
        <f t="shared" ca="1" si="322"/>
        <v>0.91765577387963015</v>
      </c>
      <c r="W736" s="304">
        <f t="shared" ca="1" si="323"/>
        <v>8.4287369970421082</v>
      </c>
      <c r="Y736" s="314" t="str">
        <f t="shared" ca="1" si="341"/>
        <v/>
      </c>
      <c r="Z736" s="315" t="str">
        <f t="shared" ca="1" si="342"/>
        <v/>
      </c>
      <c r="AA736" s="316" t="str">
        <f t="shared" ca="1" si="343"/>
        <v/>
      </c>
      <c r="AC736" s="310" t="e">
        <f t="shared" ca="1" si="344"/>
        <v>#N/A</v>
      </c>
      <c r="AD736" s="323" t="e">
        <f t="shared" ca="1" si="345"/>
        <v>#N/A</v>
      </c>
      <c r="AE736" s="324" t="e">
        <f t="shared" ca="1" si="324"/>
        <v>#N/A</v>
      </c>
      <c r="AG736" s="306">
        <f t="shared" ca="1" si="346"/>
        <v>8.2284053843079352</v>
      </c>
      <c r="AH736" s="304">
        <f t="shared" ca="1" si="347"/>
        <v>-1.2657310024020472</v>
      </c>
    </row>
    <row r="737" spans="1:34" x14ac:dyDescent="0.2">
      <c r="A737" s="347">
        <f t="shared" ca="1" si="325"/>
        <v>0.1</v>
      </c>
      <c r="B737" s="304">
        <f t="shared" ca="1" si="326"/>
        <v>28.300000000000072</v>
      </c>
      <c r="D737" s="306">
        <f t="shared" ca="1" si="327"/>
        <v>-0.32265281163298576</v>
      </c>
      <c r="E737" s="307">
        <f t="shared" ca="1" si="328"/>
        <v>-8.5474311525168414</v>
      </c>
      <c r="F737" s="304">
        <f t="shared" ca="1" si="329"/>
        <v>8.5535188164795688</v>
      </c>
      <c r="G737" s="306">
        <f t="shared" ca="1" si="330"/>
        <v>14.345896023427041</v>
      </c>
      <c r="H737" s="307">
        <f t="shared" ca="1" si="331"/>
        <v>-57.117753672596209</v>
      </c>
      <c r="I737" s="304">
        <f t="shared" ca="1" si="332"/>
        <v>58.891786501331048</v>
      </c>
      <c r="J737" s="306">
        <f t="shared" ca="1" si="333"/>
        <v>563.507089509406</v>
      </c>
      <c r="K737" s="307">
        <f t="shared" ca="1" si="334"/>
        <v>2863.1466611378455</v>
      </c>
      <c r="L737" s="304">
        <f t="shared" ca="1" si="319"/>
        <v>2918.0728303303458</v>
      </c>
      <c r="M737" s="306">
        <f t="shared" ca="1" si="335"/>
        <v>-1.3247228868910443</v>
      </c>
      <c r="N737" s="304">
        <f t="shared" ca="1" si="336"/>
        <v>-75.901030443243172</v>
      </c>
      <c r="P737" s="310">
        <f t="shared" ca="1" si="337"/>
        <v>23</v>
      </c>
      <c r="Q737" s="304">
        <f t="shared" ca="1" si="338"/>
        <v>0</v>
      </c>
      <c r="R737" s="306">
        <f t="shared" ca="1" si="339"/>
        <v>0</v>
      </c>
      <c r="S737" s="307">
        <f t="shared" ca="1" si="340"/>
        <v>6.4679999999999849</v>
      </c>
      <c r="T737" s="304">
        <f t="shared" ca="1" si="320"/>
        <v>63.451079999999855</v>
      </c>
      <c r="U737" s="311">
        <f t="shared" ca="1" si="321"/>
        <v>0</v>
      </c>
      <c r="V737" s="306">
        <f t="shared" ca="1" si="322"/>
        <v>0.91818705671817558</v>
      </c>
      <c r="W737" s="304">
        <f t="shared" ca="1" si="323"/>
        <v>8.6736630612585355</v>
      </c>
      <c r="Y737" s="314" t="str">
        <f t="shared" ca="1" si="341"/>
        <v/>
      </c>
      <c r="Z737" s="315" t="str">
        <f t="shared" ca="1" si="342"/>
        <v/>
      </c>
      <c r="AA737" s="316" t="str">
        <f t="shared" ca="1" si="343"/>
        <v/>
      </c>
      <c r="AC737" s="310" t="e">
        <f t="shared" ca="1" si="344"/>
        <v>#N/A</v>
      </c>
      <c r="AD737" s="323" t="e">
        <f t="shared" ca="1" si="345"/>
        <v>#N/A</v>
      </c>
      <c r="AE737" s="324" t="e">
        <f t="shared" ca="1" si="324"/>
        <v>#N/A</v>
      </c>
      <c r="AG737" s="306">
        <f t="shared" ca="1" si="346"/>
        <v>8.2014063120661564</v>
      </c>
      <c r="AH737" s="304">
        <f t="shared" ca="1" si="347"/>
        <v>-1.3031442481512256</v>
      </c>
    </row>
    <row r="738" spans="1:34" x14ac:dyDescent="0.2">
      <c r="A738" s="347">
        <f t="shared" ca="1" si="325"/>
        <v>0.1</v>
      </c>
      <c r="B738" s="304">
        <f t="shared" ca="1" si="326"/>
        <v>28.400000000000073</v>
      </c>
      <c r="D738" s="306">
        <f t="shared" ca="1" si="327"/>
        <v>-0.32666716692941822</v>
      </c>
      <c r="E738" s="307">
        <f t="shared" ca="1" si="328"/>
        <v>-8.5093844969230368</v>
      </c>
      <c r="F738" s="304">
        <f t="shared" ca="1" si="329"/>
        <v>8.5156524092064618</v>
      </c>
      <c r="G738" s="306">
        <f t="shared" ca="1" si="330"/>
        <v>14.313229306734099</v>
      </c>
      <c r="H738" s="307">
        <f t="shared" ca="1" si="331"/>
        <v>-57.968692122288509</v>
      </c>
      <c r="I738" s="304">
        <f t="shared" ca="1" si="332"/>
        <v>59.709612287770099</v>
      </c>
      <c r="J738" s="306">
        <f t="shared" ca="1" si="333"/>
        <v>564.94004577591409</v>
      </c>
      <c r="K738" s="307">
        <f t="shared" ca="1" si="334"/>
        <v>2857.3923388481012</v>
      </c>
      <c r="L738" s="304">
        <f t="shared" ca="1" si="319"/>
        <v>2912.7046251601128</v>
      </c>
      <c r="M738" s="306">
        <f t="shared" ca="1" si="335"/>
        <v>-1.3287250876079362</v>
      </c>
      <c r="N738" s="304">
        <f t="shared" ca="1" si="336"/>
        <v>-76.130339653085301</v>
      </c>
      <c r="P738" s="310">
        <f t="shared" ca="1" si="337"/>
        <v>23</v>
      </c>
      <c r="Q738" s="304">
        <f t="shared" ca="1" si="338"/>
        <v>0</v>
      </c>
      <c r="R738" s="306">
        <f t="shared" ca="1" si="339"/>
        <v>0</v>
      </c>
      <c r="S738" s="307">
        <f t="shared" ca="1" si="340"/>
        <v>6.4679999999999849</v>
      </c>
      <c r="T738" s="304">
        <f t="shared" ca="1" si="320"/>
        <v>63.451079999999855</v>
      </c>
      <c r="U738" s="311">
        <f t="shared" ca="1" si="321"/>
        <v>0</v>
      </c>
      <c r="V738" s="306">
        <f t="shared" ca="1" si="322"/>
        <v>0.91872660160014363</v>
      </c>
      <c r="W738" s="304">
        <f t="shared" ca="1" si="323"/>
        <v>8.9214761116863777</v>
      </c>
      <c r="Y738" s="314" t="str">
        <f t="shared" ca="1" si="341"/>
        <v/>
      </c>
      <c r="Z738" s="315" t="str">
        <f t="shared" ca="1" si="342"/>
        <v/>
      </c>
      <c r="AA738" s="316" t="str">
        <f t="shared" ca="1" si="343"/>
        <v/>
      </c>
      <c r="AC738" s="310" t="e">
        <f t="shared" ca="1" si="344"/>
        <v>#N/A</v>
      </c>
      <c r="AD738" s="323" t="e">
        <f t="shared" ca="1" si="345"/>
        <v>#N/A</v>
      </c>
      <c r="AE738" s="324" t="e">
        <f t="shared" ca="1" si="324"/>
        <v>#N/A</v>
      </c>
      <c r="AG738" s="306">
        <f t="shared" ca="1" si="346"/>
        <v>8.1734758441865729</v>
      </c>
      <c r="AH738" s="304">
        <f t="shared" ca="1" si="347"/>
        <v>-1.3410116050183296</v>
      </c>
    </row>
    <row r="739" spans="1:34" x14ac:dyDescent="0.2">
      <c r="A739" s="347">
        <f t="shared" ca="1" si="325"/>
        <v>0.1</v>
      </c>
      <c r="B739" s="304">
        <f t="shared" ca="1" si="326"/>
        <v>28.500000000000075</v>
      </c>
      <c r="D739" s="306">
        <f t="shared" ca="1" si="327"/>
        <v>-0.33064357159249769</v>
      </c>
      <c r="E739" s="307">
        <f t="shared" ca="1" si="328"/>
        <v>-8.4708909147538307</v>
      </c>
      <c r="F739" s="304">
        <f t="shared" ca="1" si="329"/>
        <v>8.4773414500711493</v>
      </c>
      <c r="G739" s="306">
        <f t="shared" ca="1" si="330"/>
        <v>14.28016494957485</v>
      </c>
      <c r="H739" s="307">
        <f t="shared" ca="1" si="331"/>
        <v>-58.815781213763891</v>
      </c>
      <c r="I739" s="304">
        <f t="shared" ca="1" si="332"/>
        <v>60.524534122720908</v>
      </c>
      <c r="J739" s="306">
        <f t="shared" ca="1" si="333"/>
        <v>566.36971548872953</v>
      </c>
      <c r="K739" s="307">
        <f t="shared" ca="1" si="334"/>
        <v>2851.5531151812984</v>
      </c>
      <c r="L739" s="304">
        <f t="shared" ca="1" si="319"/>
        <v>2907.2546884170556</v>
      </c>
      <c r="M739" s="306">
        <f t="shared" ca="1" si="335"/>
        <v>-1.3326104543882746</v>
      </c>
      <c r="N739" s="304">
        <f t="shared" ca="1" si="336"/>
        <v>-76.352954771459025</v>
      </c>
      <c r="P739" s="310">
        <f t="shared" ca="1" si="337"/>
        <v>23</v>
      </c>
      <c r="Q739" s="304">
        <f t="shared" ca="1" si="338"/>
        <v>0</v>
      </c>
      <c r="R739" s="306">
        <f t="shared" ca="1" si="339"/>
        <v>0</v>
      </c>
      <c r="S739" s="307">
        <f t="shared" ca="1" si="340"/>
        <v>6.4679999999999849</v>
      </c>
      <c r="T739" s="304">
        <f t="shared" ca="1" si="320"/>
        <v>63.451079999999855</v>
      </c>
      <c r="U739" s="311">
        <f t="shared" ca="1" si="321"/>
        <v>0</v>
      </c>
      <c r="V739" s="306">
        <f t="shared" ca="1" si="322"/>
        <v>0.91927438489715319</v>
      </c>
      <c r="W739" s="304">
        <f t="shared" ca="1" si="323"/>
        <v>9.1721255837141928</v>
      </c>
      <c r="Y739" s="314" t="str">
        <f t="shared" ca="1" si="341"/>
        <v/>
      </c>
      <c r="Z739" s="315" t="str">
        <f t="shared" ca="1" si="342"/>
        <v/>
      </c>
      <c r="AA739" s="316" t="str">
        <f t="shared" ca="1" si="343"/>
        <v/>
      </c>
      <c r="AC739" s="310" t="e">
        <f t="shared" ca="1" si="344"/>
        <v>#N/A</v>
      </c>
      <c r="AD739" s="323" t="e">
        <f t="shared" ca="1" si="345"/>
        <v>#N/A</v>
      </c>
      <c r="AE739" s="324" t="e">
        <f t="shared" ca="1" si="324"/>
        <v>#N/A</v>
      </c>
      <c r="AG739" s="306">
        <f t="shared" ca="1" si="346"/>
        <v>8.144649940717553</v>
      </c>
      <c r="AH739" s="304">
        <f t="shared" ca="1" si="347"/>
        <v>-1.3793253110213974</v>
      </c>
    </row>
    <row r="740" spans="1:34" x14ac:dyDescent="0.2">
      <c r="A740" s="347">
        <f t="shared" ca="1" si="325"/>
        <v>0.1</v>
      </c>
      <c r="B740" s="304">
        <f t="shared" ca="1" si="326"/>
        <v>28.600000000000076</v>
      </c>
      <c r="D740" s="306">
        <f t="shared" ca="1" si="327"/>
        <v>-0.33458136601009425</v>
      </c>
      <c r="E740" s="307">
        <f t="shared" ca="1" si="328"/>
        <v>-8.4319581852912826</v>
      </c>
      <c r="F740" s="304">
        <f t="shared" ca="1" si="329"/>
        <v>8.4385936937964878</v>
      </c>
      <c r="G740" s="306">
        <f t="shared" ca="1" si="330"/>
        <v>14.246706812973841</v>
      </c>
      <c r="H740" s="307">
        <f t="shared" ca="1" si="331"/>
        <v>-59.658977032293016</v>
      </c>
      <c r="I740" s="304">
        <f t="shared" ca="1" si="332"/>
        <v>61.336467093846387</v>
      </c>
      <c r="J740" s="306">
        <f t="shared" ca="1" si="333"/>
        <v>567.79605907685698</v>
      </c>
      <c r="K740" s="307">
        <f t="shared" ca="1" si="334"/>
        <v>2845.6293772689955</v>
      </c>
      <c r="L740" s="304">
        <f t="shared" ca="1" si="319"/>
        <v>2901.7234391787824</v>
      </c>
      <c r="M740" s="306">
        <f t="shared" ca="1" si="335"/>
        <v>-1.3363840299382361</v>
      </c>
      <c r="N740" s="304">
        <f t="shared" ca="1" si="336"/>
        <v>-76.56916472414558</v>
      </c>
      <c r="P740" s="310">
        <f t="shared" ca="1" si="337"/>
        <v>23</v>
      </c>
      <c r="Q740" s="304">
        <f t="shared" ca="1" si="338"/>
        <v>0</v>
      </c>
      <c r="R740" s="306">
        <f t="shared" ca="1" si="339"/>
        <v>0</v>
      </c>
      <c r="S740" s="307">
        <f t="shared" ca="1" si="340"/>
        <v>6.4679999999999849</v>
      </c>
      <c r="T740" s="304">
        <f t="shared" ca="1" si="320"/>
        <v>63.451079999999855</v>
      </c>
      <c r="U740" s="311">
        <f t="shared" ca="1" si="321"/>
        <v>0</v>
      </c>
      <c r="V740" s="306">
        <f t="shared" ca="1" si="322"/>
        <v>0.91983038268817174</v>
      </c>
      <c r="W740" s="304">
        <f t="shared" ca="1" si="323"/>
        <v>9.4255605716833006</v>
      </c>
      <c r="Y740" s="314" t="str">
        <f t="shared" ca="1" si="341"/>
        <v/>
      </c>
      <c r="Z740" s="315" t="str">
        <f t="shared" ca="1" si="342"/>
        <v/>
      </c>
      <c r="AA740" s="316" t="str">
        <f t="shared" ca="1" si="343"/>
        <v/>
      </c>
      <c r="AC740" s="310" t="e">
        <f t="shared" ca="1" si="344"/>
        <v>#N/A</v>
      </c>
      <c r="AD740" s="323" t="e">
        <f t="shared" ca="1" si="345"/>
        <v>#N/A</v>
      </c>
      <c r="AE740" s="324" t="e">
        <f t="shared" ca="1" si="324"/>
        <v>#N/A</v>
      </c>
      <c r="AG740" s="306">
        <f t="shared" ca="1" si="346"/>
        <v>8.114962599103098</v>
      </c>
      <c r="AH740" s="304">
        <f t="shared" ca="1" si="347"/>
        <v>-1.4180775485025068</v>
      </c>
    </row>
    <row r="741" spans="1:34" x14ac:dyDescent="0.2">
      <c r="A741" s="347">
        <f t="shared" ca="1" si="325"/>
        <v>0.1</v>
      </c>
      <c r="B741" s="304">
        <f t="shared" ca="1" si="326"/>
        <v>28.700000000000077</v>
      </c>
      <c r="D741" s="306">
        <f t="shared" ca="1" si="327"/>
        <v>-0.3384799177927949</v>
      </c>
      <c r="E741" s="307">
        <f t="shared" ca="1" si="328"/>
        <v>-8.3925941456797872</v>
      </c>
      <c r="F741" s="304">
        <f t="shared" ca="1" si="329"/>
        <v>8.3994169529109364</v>
      </c>
      <c r="G741" s="306">
        <f t="shared" ca="1" si="330"/>
        <v>14.212858821194562</v>
      </c>
      <c r="H741" s="307">
        <f t="shared" ca="1" si="331"/>
        <v>-60.498236446860993</v>
      </c>
      <c r="I741" s="304">
        <f t="shared" ca="1" si="332"/>
        <v>62.145329422664645</v>
      </c>
      <c r="J741" s="306">
        <f t="shared" ca="1" si="333"/>
        <v>569.2190373585654</v>
      </c>
      <c r="K741" s="307">
        <f t="shared" ca="1" si="334"/>
        <v>2839.621516595038</v>
      </c>
      <c r="L741" s="304">
        <f t="shared" ca="1" si="319"/>
        <v>2896.1113013834456</v>
      </c>
      <c r="M741" s="306">
        <f t="shared" ca="1" si="335"/>
        <v>-1.3400505765916635</v>
      </c>
      <c r="N741" s="304">
        <f t="shared" ca="1" si="336"/>
        <v>-76.779242372774789</v>
      </c>
      <c r="P741" s="310">
        <f t="shared" ca="1" si="337"/>
        <v>23</v>
      </c>
      <c r="Q741" s="304">
        <f t="shared" ca="1" si="338"/>
        <v>0</v>
      </c>
      <c r="R741" s="306">
        <f t="shared" ca="1" si="339"/>
        <v>0</v>
      </c>
      <c r="S741" s="307">
        <f t="shared" ca="1" si="340"/>
        <v>6.4679999999999849</v>
      </c>
      <c r="T741" s="304">
        <f t="shared" ca="1" si="320"/>
        <v>63.451079999999855</v>
      </c>
      <c r="U741" s="311">
        <f t="shared" ca="1" si="321"/>
        <v>0</v>
      </c>
      <c r="V741" s="306">
        <f t="shared" ca="1" si="322"/>
        <v>0.92039457076366593</v>
      </c>
      <c r="W741" s="304">
        <f t="shared" ca="1" si="323"/>
        <v>9.6817298479685849</v>
      </c>
      <c r="Y741" s="314" t="str">
        <f t="shared" ca="1" si="341"/>
        <v/>
      </c>
      <c r="Z741" s="315" t="str">
        <f t="shared" ca="1" si="342"/>
        <v/>
      </c>
      <c r="AA741" s="316" t="str">
        <f t="shared" ca="1" si="343"/>
        <v/>
      </c>
      <c r="AC741" s="310" t="e">
        <f t="shared" ca="1" si="344"/>
        <v>#N/A</v>
      </c>
      <c r="AD741" s="323" t="e">
        <f t="shared" ca="1" si="345"/>
        <v>#N/A</v>
      </c>
      <c r="AE741" s="324" t="e">
        <f t="shared" ca="1" si="324"/>
        <v>#N/A</v>
      </c>
      <c r="AG741" s="306">
        <f t="shared" ca="1" si="346"/>
        <v>8.0844460191829732</v>
      </c>
      <c r="AH741" s="304">
        <f t="shared" ca="1" si="347"/>
        <v>-1.4572604470753436</v>
      </c>
    </row>
    <row r="742" spans="1:34" x14ac:dyDescent="0.2">
      <c r="A742" s="347">
        <f t="shared" ca="1" si="325"/>
        <v>0.1</v>
      </c>
      <c r="B742" s="304">
        <f t="shared" ca="1" si="326"/>
        <v>28.800000000000079</v>
      </c>
      <c r="D742" s="306">
        <f t="shared" ca="1" si="327"/>
        <v>-0.3423386207840875</v>
      </c>
      <c r="E742" s="307">
        <f t="shared" ca="1" si="328"/>
        <v>-8.3528066875466731</v>
      </c>
      <c r="F742" s="304">
        <f t="shared" ca="1" si="329"/>
        <v>8.3598190943826509</v>
      </c>
      <c r="G742" s="306">
        <f t="shared" ca="1" si="330"/>
        <v>14.178624959116153</v>
      </c>
      <c r="H742" s="307">
        <f t="shared" ca="1" si="331"/>
        <v>-61.333517115615663</v>
      </c>
      <c r="I742" s="304">
        <f t="shared" ca="1" si="332"/>
        <v>62.951042306722698</v>
      </c>
      <c r="J742" s="306">
        <f t="shared" ca="1" si="333"/>
        <v>570.63861154758092</v>
      </c>
      <c r="K742" s="307">
        <f t="shared" ca="1" si="334"/>
        <v>2833.5299289169143</v>
      </c>
      <c r="L742" s="304">
        <f t="shared" ca="1" si="319"/>
        <v>2890.4187037619386</v>
      </c>
      <c r="M742" s="306">
        <f t="shared" ca="1" si="335"/>
        <v>-1.3436145950871858</v>
      </c>
      <c r="N742" s="304">
        <f t="shared" ca="1" si="336"/>
        <v>-76.983445590674776</v>
      </c>
      <c r="P742" s="310">
        <f t="shared" ca="1" si="337"/>
        <v>23</v>
      </c>
      <c r="Q742" s="304">
        <f t="shared" ca="1" si="338"/>
        <v>0</v>
      </c>
      <c r="R742" s="306">
        <f t="shared" ca="1" si="339"/>
        <v>0</v>
      </c>
      <c r="S742" s="307">
        <f t="shared" ca="1" si="340"/>
        <v>6.4679999999999849</v>
      </c>
      <c r="T742" s="304">
        <f t="shared" ca="1" si="320"/>
        <v>63.451079999999855</v>
      </c>
      <c r="U742" s="311">
        <f t="shared" ca="1" si="321"/>
        <v>0</v>
      </c>
      <c r="V742" s="306">
        <f t="shared" ca="1" si="322"/>
        <v>0.92096692462978591</v>
      </c>
      <c r="W742" s="304">
        <f t="shared" ca="1" si="323"/>
        <v>9.9405818820630909</v>
      </c>
      <c r="Y742" s="314" t="str">
        <f t="shared" ca="1" si="341"/>
        <v/>
      </c>
      <c r="Z742" s="315" t="str">
        <f t="shared" ca="1" si="342"/>
        <v/>
      </c>
      <c r="AA742" s="316" t="str">
        <f t="shared" ca="1" si="343"/>
        <v/>
      </c>
      <c r="AC742" s="310" t="e">
        <f t="shared" ca="1" si="344"/>
        <v>#N/A</v>
      </c>
      <c r="AD742" s="323" t="e">
        <f t="shared" ca="1" si="345"/>
        <v>#N/A</v>
      </c>
      <c r="AE742" s="324" t="e">
        <f t="shared" ca="1" si="324"/>
        <v>#N/A</v>
      </c>
      <c r="AG742" s="306">
        <f t="shared" ca="1" si="346"/>
        <v>8.0531307524029678</v>
      </c>
      <c r="AH742" s="304">
        <f t="shared" ca="1" si="347"/>
        <v>-1.496866086575233</v>
      </c>
    </row>
    <row r="743" spans="1:34" x14ac:dyDescent="0.2">
      <c r="A743" s="347">
        <f t="shared" ca="1" si="325"/>
        <v>0.1</v>
      </c>
      <c r="B743" s="304">
        <f t="shared" ca="1" si="326"/>
        <v>28.90000000000008</v>
      </c>
      <c r="D743" s="306">
        <f t="shared" ca="1" si="327"/>
        <v>-0.34615689414946998</v>
      </c>
      <c r="E743" s="307">
        <f t="shared" ca="1" si="328"/>
        <v>-8.3126037536626995</v>
      </c>
      <c r="F743" s="304">
        <f t="shared" ca="1" si="329"/>
        <v>8.3198080362935301</v>
      </c>
      <c r="G743" s="306">
        <f t="shared" ca="1" si="330"/>
        <v>14.144009269701206</v>
      </c>
      <c r="H743" s="307">
        <f t="shared" ca="1" si="331"/>
        <v>-62.164777490981933</v>
      </c>
      <c r="I743" s="304">
        <f t="shared" ca="1" si="332"/>
        <v>63.753529774630422</v>
      </c>
      <c r="J743" s="306">
        <f t="shared" ca="1" si="333"/>
        <v>572.05474325902173</v>
      </c>
      <c r="K743" s="307">
        <f t="shared" ca="1" si="334"/>
        <v>2827.3550141865844</v>
      </c>
      <c r="L743" s="304">
        <f t="shared" ca="1" si="319"/>
        <v>2884.646079769781</v>
      </c>
      <c r="M743" s="306">
        <f t="shared" ca="1" si="335"/>
        <v>-1.3470803418932347</v>
      </c>
      <c r="N743" s="304">
        <f t="shared" ca="1" si="336"/>
        <v>-77.182018255522323</v>
      </c>
      <c r="P743" s="310">
        <f t="shared" ca="1" si="337"/>
        <v>23</v>
      </c>
      <c r="Q743" s="304">
        <f t="shared" ca="1" si="338"/>
        <v>0</v>
      </c>
      <c r="R743" s="306">
        <f t="shared" ca="1" si="339"/>
        <v>0</v>
      </c>
      <c r="S743" s="307">
        <f t="shared" ca="1" si="340"/>
        <v>6.4679999999999849</v>
      </c>
      <c r="T743" s="304">
        <f t="shared" ca="1" si="320"/>
        <v>63.451079999999855</v>
      </c>
      <c r="U743" s="311">
        <f t="shared" ca="1" si="321"/>
        <v>0</v>
      </c>
      <c r="V743" s="306">
        <f t="shared" ca="1" si="322"/>
        <v>0.92154741951259012</v>
      </c>
      <c r="W743" s="304">
        <f t="shared" ca="1" si="323"/>
        <v>10.202064859654893</v>
      </c>
      <c r="Y743" s="314" t="str">
        <f t="shared" ca="1" si="341"/>
        <v/>
      </c>
      <c r="Z743" s="315" t="str">
        <f t="shared" ca="1" si="342"/>
        <v/>
      </c>
      <c r="AA743" s="316" t="str">
        <f t="shared" ca="1" si="343"/>
        <v/>
      </c>
      <c r="AC743" s="310" t="e">
        <f t="shared" ca="1" si="344"/>
        <v>#N/A</v>
      </c>
      <c r="AD743" s="323" t="e">
        <f t="shared" ca="1" si="345"/>
        <v>#N/A</v>
      </c>
      <c r="AE743" s="324" t="e">
        <f t="shared" ca="1" si="324"/>
        <v>#N/A</v>
      </c>
      <c r="AG743" s="306">
        <f t="shared" ca="1" si="346"/>
        <v>8.0210458368776116</v>
      </c>
      <c r="AH743" s="304">
        <f t="shared" ca="1" si="347"/>
        <v>-1.536886500009758</v>
      </c>
    </row>
    <row r="744" spans="1:34" x14ac:dyDescent="0.2">
      <c r="A744" s="347">
        <f t="shared" ca="1" si="325"/>
        <v>0.1</v>
      </c>
      <c r="B744" s="304">
        <f t="shared" ca="1" si="326"/>
        <v>29.000000000000082</v>
      </c>
      <c r="D744" s="306">
        <f t="shared" ca="1" si="327"/>
        <v>-0.34993418153665745</v>
      </c>
      <c r="E744" s="307">
        <f t="shared" ca="1" si="328"/>
        <v>-8.271993334639923</v>
      </c>
      <c r="F744" s="304">
        <f t="shared" ca="1" si="329"/>
        <v>8.2793917445507468</v>
      </c>
      <c r="G744" s="306">
        <f t="shared" ca="1" si="330"/>
        <v>14.109015851547539</v>
      </c>
      <c r="H744" s="307">
        <f t="shared" ca="1" si="331"/>
        <v>-62.991976824445928</v>
      </c>
      <c r="I744" s="304">
        <f t="shared" ca="1" si="332"/>
        <v>64.552718552751529</v>
      </c>
      <c r="J744" s="306">
        <f t="shared" ca="1" si="333"/>
        <v>573.46739451508415</v>
      </c>
      <c r="K744" s="307">
        <f t="shared" ca="1" si="334"/>
        <v>2821.0971764708129</v>
      </c>
      <c r="L744" s="304">
        <f t="shared" ca="1" si="319"/>
        <v>2878.7938675187415</v>
      </c>
      <c r="M744" s="306">
        <f t="shared" ca="1" si="335"/>
        <v>-1.3504518452066538</v>
      </c>
      <c r="N744" s="304">
        <f t="shared" ca="1" si="336"/>
        <v>-77.375191165995616</v>
      </c>
      <c r="P744" s="310">
        <f t="shared" ca="1" si="337"/>
        <v>23</v>
      </c>
      <c r="Q744" s="304">
        <f t="shared" ca="1" si="338"/>
        <v>0</v>
      </c>
      <c r="R744" s="306">
        <f t="shared" ca="1" si="339"/>
        <v>0</v>
      </c>
      <c r="S744" s="307">
        <f t="shared" ca="1" si="340"/>
        <v>6.4679999999999849</v>
      </c>
      <c r="T744" s="304">
        <f t="shared" ca="1" si="320"/>
        <v>63.451079999999855</v>
      </c>
      <c r="U744" s="311">
        <f t="shared" ca="1" si="321"/>
        <v>0</v>
      </c>
      <c r="V744" s="306">
        <f t="shared" ca="1" si="322"/>
        <v>0.9221360303623074</v>
      </c>
      <c r="W744" s="304">
        <f t="shared" ca="1" si="323"/>
        <v>10.466126701684626</v>
      </c>
      <c r="Y744" s="314" t="str">
        <f t="shared" ca="1" si="341"/>
        <v/>
      </c>
      <c r="Z744" s="315" t="str">
        <f t="shared" ca="1" si="342"/>
        <v/>
      </c>
      <c r="AA744" s="316" t="str">
        <f t="shared" ca="1" si="343"/>
        <v/>
      </c>
      <c r="AC744" s="310">
        <f t="shared" ca="1" si="344"/>
        <v>29.000000000000082</v>
      </c>
      <c r="AD744" s="323">
        <f t="shared" ca="1" si="345"/>
        <v>573.46739451508415</v>
      </c>
      <c r="AE744" s="324" t="e">
        <f t="shared" ca="1" si="324"/>
        <v>#N/A</v>
      </c>
      <c r="AG744" s="306">
        <f t="shared" ca="1" si="346"/>
        <v>7.9882189197623763</v>
      </c>
      <c r="AH744" s="304">
        <f t="shared" ca="1" si="347"/>
        <v>-1.5773136765081814</v>
      </c>
    </row>
    <row r="745" spans="1:34" x14ac:dyDescent="0.2">
      <c r="A745" s="347">
        <f t="shared" ca="1" si="325"/>
        <v>0.1</v>
      </c>
      <c r="B745" s="304">
        <f t="shared" ca="1" si="326"/>
        <v>29.100000000000083</v>
      </c>
      <c r="D745" s="306">
        <f t="shared" ca="1" si="327"/>
        <v>-0.3536699502998486</v>
      </c>
      <c r="E745" s="307">
        <f t="shared" ca="1" si="328"/>
        <v>-8.2309834656647993</v>
      </c>
      <c r="F745" s="304">
        <f t="shared" ca="1" si="329"/>
        <v>8.2385782296335819</v>
      </c>
      <c r="G745" s="306">
        <f t="shared" ca="1" si="330"/>
        <v>14.073648856517554</v>
      </c>
      <c r="H745" s="307">
        <f t="shared" ca="1" si="331"/>
        <v>-63.81507517101241</v>
      </c>
      <c r="I745" s="304">
        <f t="shared" ca="1" si="332"/>
        <v>65.348537942470628</v>
      </c>
      <c r="J745" s="306">
        <f t="shared" ca="1" si="333"/>
        <v>574.87652775048741</v>
      </c>
      <c r="K745" s="307">
        <f t="shared" ca="1" si="334"/>
        <v>2814.7568238710401</v>
      </c>
      <c r="L745" s="304">
        <f t="shared" ca="1" si="319"/>
        <v>2872.8625097082249</v>
      </c>
      <c r="M745" s="306">
        <f t="shared" ca="1" si="335"/>
        <v>-1.3537329197387182</v>
      </c>
      <c r="N745" s="304">
        <f t="shared" ca="1" si="336"/>
        <v>-77.563182888950763</v>
      </c>
      <c r="P745" s="310">
        <f t="shared" ca="1" si="337"/>
        <v>23</v>
      </c>
      <c r="Q745" s="304">
        <f t="shared" ca="1" si="338"/>
        <v>0</v>
      </c>
      <c r="R745" s="306">
        <f t="shared" ca="1" si="339"/>
        <v>0</v>
      </c>
      <c r="S745" s="307">
        <f t="shared" ca="1" si="340"/>
        <v>6.4679999999999849</v>
      </c>
      <c r="T745" s="304">
        <f t="shared" ca="1" si="320"/>
        <v>63.451079999999855</v>
      </c>
      <c r="U745" s="311">
        <f t="shared" ca="1" si="321"/>
        <v>0</v>
      </c>
      <c r="V745" s="306">
        <f t="shared" ca="1" si="322"/>
        <v>0.9227327318576275</v>
      </c>
      <c r="W745" s="304">
        <f t="shared" ca="1" si="323"/>
        <v>10.732715083372295</v>
      </c>
      <c r="Y745" s="314" t="str">
        <f t="shared" ca="1" si="341"/>
        <v/>
      </c>
      <c r="Z745" s="315" t="str">
        <f t="shared" ca="1" si="342"/>
        <v/>
      </c>
      <c r="AA745" s="316" t="str">
        <f t="shared" ca="1" si="343"/>
        <v/>
      </c>
      <c r="AC745" s="310" t="e">
        <f t="shared" ca="1" si="344"/>
        <v>#N/A</v>
      </c>
      <c r="AD745" s="323" t="e">
        <f t="shared" ca="1" si="345"/>
        <v>#N/A</v>
      </c>
      <c r="AE745" s="324" t="e">
        <f t="shared" ca="1" si="324"/>
        <v>#N/A</v>
      </c>
      <c r="AG745" s="306">
        <f t="shared" ca="1" si="346"/>
        <v>7.9546763682297401</v>
      </c>
      <c r="AH745" s="304">
        <f t="shared" ca="1" si="347"/>
        <v>-1.6181395642678804</v>
      </c>
    </row>
    <row r="746" spans="1:34" x14ac:dyDescent="0.2">
      <c r="A746" s="347">
        <f t="shared" ca="1" si="325"/>
        <v>0.1</v>
      </c>
      <c r="B746" s="304">
        <f t="shared" ca="1" si="326"/>
        <v>29.200000000000085</v>
      </c>
      <c r="D746" s="306">
        <f t="shared" ca="1" si="327"/>
        <v>-0.35736369078175495</v>
      </c>
      <c r="E746" s="307">
        <f t="shared" ca="1" si="328"/>
        <v>-8.1895822232649387</v>
      </c>
      <c r="F746" s="304">
        <f t="shared" ca="1" si="329"/>
        <v>8.1973755433740045</v>
      </c>
      <c r="G746" s="306">
        <f t="shared" ca="1" si="330"/>
        <v>14.037912487439378</v>
      </c>
      <c r="H746" s="307">
        <f t="shared" ca="1" si="331"/>
        <v>-64.63403339333891</v>
      </c>
      <c r="I746" s="304">
        <f t="shared" ca="1" si="332"/>
        <v>66.140919707063759</v>
      </c>
      <c r="J746" s="306">
        <f t="shared" ca="1" si="333"/>
        <v>576.28210581768531</v>
      </c>
      <c r="K746" s="307">
        <f t="shared" ca="1" si="334"/>
        <v>2808.3343684428223</v>
      </c>
      <c r="L746" s="304">
        <f t="shared" ca="1" si="319"/>
        <v>2866.8524535564802</v>
      </c>
      <c r="M746" s="306">
        <f t="shared" ca="1" si="335"/>
        <v>-1.3569271803917142</v>
      </c>
      <c r="N746" s="304">
        <f t="shared" ca="1" si="336"/>
        <v>-77.746200543032145</v>
      </c>
      <c r="P746" s="310">
        <f t="shared" ca="1" si="337"/>
        <v>23</v>
      </c>
      <c r="Q746" s="304">
        <f t="shared" ca="1" si="338"/>
        <v>0</v>
      </c>
      <c r="R746" s="306">
        <f t="shared" ca="1" si="339"/>
        <v>0</v>
      </c>
      <c r="S746" s="307">
        <f t="shared" ca="1" si="340"/>
        <v>6.4679999999999849</v>
      </c>
      <c r="T746" s="304">
        <f t="shared" ca="1" si="320"/>
        <v>63.451079999999855</v>
      </c>
      <c r="U746" s="311">
        <f t="shared" ca="1" si="321"/>
        <v>0</v>
      </c>
      <c r="V746" s="306">
        <f t="shared" ca="1" si="322"/>
        <v>0.92333749841003165</v>
      </c>
      <c r="W746" s="304">
        <f t="shared" ca="1" si="323"/>
        <v>11.001777453202276</v>
      </c>
      <c r="Y746" s="314" t="str">
        <f t="shared" ca="1" si="341"/>
        <v/>
      </c>
      <c r="Z746" s="315" t="str">
        <f t="shared" ca="1" si="342"/>
        <v/>
      </c>
      <c r="AA746" s="316" t="str">
        <f t="shared" ca="1" si="343"/>
        <v/>
      </c>
      <c r="AC746" s="310" t="e">
        <f t="shared" ca="1" si="344"/>
        <v>#N/A</v>
      </c>
      <c r="AD746" s="323" t="e">
        <f t="shared" ca="1" si="345"/>
        <v>#N/A</v>
      </c>
      <c r="AE746" s="324" t="e">
        <f t="shared" ca="1" si="324"/>
        <v>#N/A</v>
      </c>
      <c r="AG746" s="306">
        <f t="shared" ca="1" si="346"/>
        <v>7.9204433702000436</v>
      </c>
      <c r="AH746" s="304">
        <f t="shared" ca="1" si="347"/>
        <v>-1.6593560734960295</v>
      </c>
    </row>
    <row r="747" spans="1:34" x14ac:dyDescent="0.2">
      <c r="A747" s="347">
        <f t="shared" ca="1" si="325"/>
        <v>0.1</v>
      </c>
      <c r="B747" s="304">
        <f t="shared" ca="1" si="326"/>
        <v>29.300000000000086</v>
      </c>
      <c r="D747" s="306">
        <f t="shared" ca="1" si="327"/>
        <v>-0.36101491564771782</v>
      </c>
      <c r="E747" s="307">
        <f t="shared" ca="1" si="328"/>
        <v>-8.1477977221081623</v>
      </c>
      <c r="F747" s="304">
        <f t="shared" ca="1" si="329"/>
        <v>8.1557917757696021</v>
      </c>
      <c r="G747" s="306">
        <f t="shared" ca="1" si="330"/>
        <v>14.001810995874607</v>
      </c>
      <c r="H747" s="307">
        <f t="shared" ca="1" si="331"/>
        <v>-65.448813165549723</v>
      </c>
      <c r="I747" s="304">
        <f t="shared" ca="1" si="332"/>
        <v>66.929797967297276</v>
      </c>
      <c r="J747" s="306">
        <f t="shared" ca="1" si="333"/>
        <v>577.68409199185101</v>
      </c>
      <c r="K747" s="307">
        <f t="shared" ca="1" si="334"/>
        <v>2801.8302261148779</v>
      </c>
      <c r="L747" s="304">
        <f t="shared" ca="1" si="319"/>
        <v>2860.764150731653</v>
      </c>
      <c r="M747" s="306">
        <f t="shared" ca="1" si="335"/>
        <v>-1.3600380549196172</v>
      </c>
      <c r="N747" s="304">
        <f t="shared" ca="1" si="336"/>
        <v>-77.924440524075735</v>
      </c>
      <c r="P747" s="310">
        <f t="shared" ca="1" si="337"/>
        <v>23</v>
      </c>
      <c r="Q747" s="304">
        <f t="shared" ca="1" si="338"/>
        <v>0</v>
      </c>
      <c r="R747" s="306">
        <f t="shared" ca="1" si="339"/>
        <v>0</v>
      </c>
      <c r="S747" s="307">
        <f t="shared" ca="1" si="340"/>
        <v>6.4679999999999849</v>
      </c>
      <c r="T747" s="304">
        <f t="shared" ca="1" si="320"/>
        <v>63.451079999999855</v>
      </c>
      <c r="U747" s="311">
        <f t="shared" ca="1" si="321"/>
        <v>0</v>
      </c>
      <c r="V747" s="306">
        <f t="shared" ca="1" si="322"/>
        <v>0.92395030416814639</v>
      </c>
      <c r="W747" s="304">
        <f t="shared" ca="1" si="323"/>
        <v>11.273261051855492</v>
      </c>
      <c r="Y747" s="314" t="str">
        <f t="shared" ca="1" si="341"/>
        <v/>
      </c>
      <c r="Z747" s="315" t="str">
        <f t="shared" ca="1" si="342"/>
        <v/>
      </c>
      <c r="AA747" s="316" t="str">
        <f t="shared" ca="1" si="343"/>
        <v/>
      </c>
      <c r="AC747" s="310" t="e">
        <f t="shared" ca="1" si="344"/>
        <v>#N/A</v>
      </c>
      <c r="AD747" s="323" t="e">
        <f t="shared" ca="1" si="345"/>
        <v>#N/A</v>
      </c>
      <c r="AE747" s="324" t="e">
        <f t="shared" ca="1" si="324"/>
        <v>#N/A</v>
      </c>
      <c r="AG747" s="306">
        <f t="shared" ca="1" si="346"/>
        <v>7.8855440258518978</v>
      </c>
      <c r="AH747" s="304">
        <f t="shared" ca="1" si="347"/>
        <v>-1.7009550793448209</v>
      </c>
    </row>
    <row r="748" spans="1:34" x14ac:dyDescent="0.2">
      <c r="A748" s="347">
        <f t="shared" ca="1" si="325"/>
        <v>0.1</v>
      </c>
      <c r="B748" s="304">
        <f t="shared" ca="1" si="326"/>
        <v>29.400000000000087</v>
      </c>
      <c r="D748" s="306">
        <f t="shared" ca="1" si="327"/>
        <v>-0.36462315926682631</v>
      </c>
      <c r="E748" s="307">
        <f t="shared" ca="1" si="328"/>
        <v>-8.1056381118329526</v>
      </c>
      <c r="F748" s="304">
        <f t="shared" ca="1" si="329"/>
        <v>8.113835051827996</v>
      </c>
      <c r="G748" s="306">
        <f t="shared" ca="1" si="330"/>
        <v>13.965348679947924</v>
      </c>
      <c r="H748" s="307">
        <f t="shared" ca="1" si="331"/>
        <v>-66.259376976733023</v>
      </c>
      <c r="I748" s="304">
        <f t="shared" ca="1" si="332"/>
        <v>67.715109104965208</v>
      </c>
      <c r="J748" s="306">
        <f t="shared" ca="1" si="333"/>
        <v>579.08244997564213</v>
      </c>
      <c r="K748" s="307">
        <f t="shared" ca="1" si="334"/>
        <v>2795.2448166077638</v>
      </c>
      <c r="L748" s="304">
        <f t="shared" ca="1" si="319"/>
        <v>2854.5980572827348</v>
      </c>
      <c r="M748" s="306">
        <f t="shared" ca="1" si="335"/>
        <v>-1.3630687956577578</v>
      </c>
      <c r="N748" s="304">
        <f t="shared" ca="1" si="336"/>
        <v>-78.098089177169555</v>
      </c>
      <c r="P748" s="310">
        <f t="shared" ca="1" si="337"/>
        <v>23</v>
      </c>
      <c r="Q748" s="304">
        <f t="shared" ca="1" si="338"/>
        <v>0</v>
      </c>
      <c r="R748" s="306">
        <f t="shared" ca="1" si="339"/>
        <v>0</v>
      </c>
      <c r="S748" s="307">
        <f t="shared" ca="1" si="340"/>
        <v>6.4679999999999849</v>
      </c>
      <c r="T748" s="304">
        <f t="shared" ca="1" si="320"/>
        <v>63.451079999999855</v>
      </c>
      <c r="U748" s="311">
        <f t="shared" ca="1" si="321"/>
        <v>0</v>
      </c>
      <c r="V748" s="306">
        <f t="shared" ca="1" si="322"/>
        <v>0.92457112302213285</v>
      </c>
      <c r="W748" s="304">
        <f t="shared" ca="1" si="323"/>
        <v>11.547112931077994</v>
      </c>
      <c r="Y748" s="314" t="str">
        <f t="shared" ca="1" si="341"/>
        <v/>
      </c>
      <c r="Z748" s="315" t="str">
        <f t="shared" ca="1" si="342"/>
        <v/>
      </c>
      <c r="AA748" s="316" t="str">
        <f t="shared" ca="1" si="343"/>
        <v/>
      </c>
      <c r="AC748" s="310" t="e">
        <f t="shared" ca="1" si="344"/>
        <v>#N/A</v>
      </c>
      <c r="AD748" s="323" t="e">
        <f t="shared" ca="1" si="345"/>
        <v>#N/A</v>
      </c>
      <c r="AE748" s="324" t="e">
        <f t="shared" ca="1" si="324"/>
        <v>#N/A</v>
      </c>
      <c r="AG748" s="306">
        <f t="shared" ca="1" si="346"/>
        <v>7.8500014308254418</v>
      </c>
      <c r="AH748" s="304">
        <f t="shared" ca="1" si="347"/>
        <v>-1.7429284248385155</v>
      </c>
    </row>
    <row r="749" spans="1:34" x14ac:dyDescent="0.2">
      <c r="A749" s="347">
        <f t="shared" ca="1" si="325"/>
        <v>0.1</v>
      </c>
      <c r="B749" s="304">
        <f t="shared" ca="1" si="326"/>
        <v>29.500000000000089</v>
      </c>
      <c r="D749" s="306">
        <f t="shared" ca="1" si="327"/>
        <v>-0.36818797713544854</v>
      </c>
      <c r="E749" s="307">
        <f t="shared" ca="1" si="328"/>
        <v>-8.0631115739095591</v>
      </c>
      <c r="F749" s="304">
        <f t="shared" ca="1" si="329"/>
        <v>8.0715135284419475</v>
      </c>
      <c r="G749" s="306">
        <f t="shared" ca="1" si="330"/>
        <v>13.928529882234379</v>
      </c>
      <c r="H749" s="307">
        <f t="shared" ca="1" si="331"/>
        <v>-67.065688134123974</v>
      </c>
      <c r="I749" s="304">
        <f t="shared" ca="1" si="332"/>
        <v>68.496791673653391</v>
      </c>
      <c r="J749" s="306">
        <f t="shared" ca="1" si="333"/>
        <v>580.4771439037512</v>
      </c>
      <c r="K749" s="307">
        <f t="shared" ca="1" si="334"/>
        <v>2788.578563352221</v>
      </c>
      <c r="L749" s="304">
        <f t="shared" ca="1" si="319"/>
        <v>2848.3546335704395</v>
      </c>
      <c r="M749" s="306">
        <f t="shared" ca="1" si="335"/>
        <v>-1.3660224903985778</v>
      </c>
      <c r="N749" s="304">
        <f t="shared" ca="1" si="336"/>
        <v>-78.267323419788525</v>
      </c>
      <c r="P749" s="310">
        <f t="shared" ca="1" si="337"/>
        <v>23</v>
      </c>
      <c r="Q749" s="304">
        <f t="shared" ca="1" si="338"/>
        <v>0</v>
      </c>
      <c r="R749" s="306">
        <f t="shared" ca="1" si="339"/>
        <v>0</v>
      </c>
      <c r="S749" s="307">
        <f t="shared" ca="1" si="340"/>
        <v>6.4679999999999849</v>
      </c>
      <c r="T749" s="304">
        <f t="shared" ca="1" si="320"/>
        <v>63.451079999999855</v>
      </c>
      <c r="U749" s="311">
        <f t="shared" ca="1" si="321"/>
        <v>0</v>
      </c>
      <c r="V749" s="306">
        <f t="shared" ca="1" si="322"/>
        <v>0.92519992860809896</v>
      </c>
      <c r="W749" s="304">
        <f t="shared" ca="1" si="323"/>
        <v>11.823279972475335</v>
      </c>
      <c r="Y749" s="314" t="str">
        <f t="shared" ca="1" si="341"/>
        <v/>
      </c>
      <c r="Z749" s="315" t="str">
        <f t="shared" ca="1" si="342"/>
        <v/>
      </c>
      <c r="AA749" s="316" t="str">
        <f t="shared" ca="1" si="343"/>
        <v/>
      </c>
      <c r="AC749" s="310" t="e">
        <f t="shared" ca="1" si="344"/>
        <v>#N/A</v>
      </c>
      <c r="AD749" s="323" t="e">
        <f t="shared" ca="1" si="345"/>
        <v>#N/A</v>
      </c>
      <c r="AE749" s="324" t="e">
        <f t="shared" ca="1" si="324"/>
        <v>#N/A</v>
      </c>
      <c r="AG749" s="306">
        <f t="shared" ca="1" si="346"/>
        <v>7.8138377519334767</v>
      </c>
      <c r="AH749" s="304">
        <f t="shared" ca="1" si="347"/>
        <v>-1.785267923790665</v>
      </c>
    </row>
    <row r="750" spans="1:34" x14ac:dyDescent="0.2">
      <c r="A750" s="347">
        <f t="shared" ca="1" si="325"/>
        <v>0.1</v>
      </c>
      <c r="B750" s="304">
        <f t="shared" ca="1" si="326"/>
        <v>29.60000000000009</v>
      </c>
      <c r="D750" s="306">
        <f t="shared" ca="1" si="327"/>
        <v>-0.37170894533904808</v>
      </c>
      <c r="E750" s="307">
        <f t="shared" ca="1" si="328"/>
        <v>-8.0202263185313498</v>
      </c>
      <c r="F750" s="304">
        <f t="shared" ca="1" si="329"/>
        <v>8.0288353912948036</v>
      </c>
      <c r="G750" s="306">
        <f t="shared" ca="1" si="330"/>
        <v>13.891358987700475</v>
      </c>
      <c r="H750" s="307">
        <f t="shared" ca="1" si="331"/>
        <v>-67.867710765977108</v>
      </c>
      <c r="I750" s="304">
        <f t="shared" ca="1" si="332"/>
        <v>69.274786316086832</v>
      </c>
      <c r="J750" s="306">
        <f t="shared" ca="1" si="333"/>
        <v>581.86813834724796</v>
      </c>
      <c r="K750" s="307">
        <f t="shared" ca="1" si="334"/>
        <v>2781.8318934072158</v>
      </c>
      <c r="L750" s="304">
        <f t="shared" ca="1" si="319"/>
        <v>2842.0343441980549</v>
      </c>
      <c r="M750" s="306">
        <f t="shared" ca="1" si="335"/>
        <v>-1.3689020724835528</v>
      </c>
      <c r="N750" s="304">
        <f t="shared" ca="1" si="336"/>
        <v>-78.432311320019082</v>
      </c>
      <c r="P750" s="310">
        <f t="shared" ca="1" si="337"/>
        <v>23</v>
      </c>
      <c r="Q750" s="304">
        <f t="shared" ca="1" si="338"/>
        <v>0</v>
      </c>
      <c r="R750" s="306">
        <f t="shared" ca="1" si="339"/>
        <v>0</v>
      </c>
      <c r="S750" s="307">
        <f t="shared" ca="1" si="340"/>
        <v>6.4679999999999849</v>
      </c>
      <c r="T750" s="304">
        <f t="shared" ca="1" si="320"/>
        <v>63.451079999999855</v>
      </c>
      <c r="U750" s="311">
        <f t="shared" ca="1" si="321"/>
        <v>0</v>
      </c>
      <c r="V750" s="306">
        <f t="shared" ca="1" si="322"/>
        <v>0.92583669431254134</v>
      </c>
      <c r="W750" s="304">
        <f t="shared" ca="1" si="323"/>
        <v>12.101708906222386</v>
      </c>
      <c r="Y750" s="314" t="str">
        <f t="shared" ca="1" si="341"/>
        <v/>
      </c>
      <c r="Z750" s="315" t="str">
        <f t="shared" ca="1" si="342"/>
        <v/>
      </c>
      <c r="AA750" s="316" t="str">
        <f t="shared" ca="1" si="343"/>
        <v/>
      </c>
      <c r="AC750" s="310" t="e">
        <f t="shared" ca="1" si="344"/>
        <v>#N/A</v>
      </c>
      <c r="AD750" s="323" t="e">
        <f t="shared" ca="1" si="345"/>
        <v>#N/A</v>
      </c>
      <c r="AE750" s="324" t="e">
        <f t="shared" ca="1" si="324"/>
        <v>#N/A</v>
      </c>
      <c r="AG750" s="306">
        <f t="shared" ca="1" si="346"/>
        <v>7.7770742961084922</v>
      </c>
      <c r="AH750" s="304">
        <f t="shared" ca="1" si="347"/>
        <v>-1.8279653637098583</v>
      </c>
    </row>
    <row r="751" spans="1:34" x14ac:dyDescent="0.2">
      <c r="A751" s="347">
        <f t="shared" ca="1" si="325"/>
        <v>0.1</v>
      </c>
      <c r="B751" s="304">
        <f t="shared" ca="1" si="326"/>
        <v>29.700000000000092</v>
      </c>
      <c r="D751" s="306">
        <f t="shared" ca="1" si="327"/>
        <v>-0.37518566004856185</v>
      </c>
      <c r="E751" s="307">
        <f t="shared" ca="1" si="328"/>
        <v>-7.976990581536108</v>
      </c>
      <c r="F751" s="304">
        <f t="shared" ca="1" si="329"/>
        <v>7.9858088517959063</v>
      </c>
      <c r="G751" s="306">
        <f t="shared" ca="1" si="330"/>
        <v>13.853840421695619</v>
      </c>
      <c r="H751" s="307">
        <f t="shared" ca="1" si="331"/>
        <v>-68.66540982413072</v>
      </c>
      <c r="I751" s="304">
        <f t="shared" ca="1" si="332"/>
        <v>70.049035687478494</v>
      </c>
      <c r="J751" s="306">
        <f t="shared" ca="1" si="333"/>
        <v>583.25539831771778</v>
      </c>
      <c r="K751" s="307">
        <f t="shared" ca="1" si="334"/>
        <v>2775.0052373777103</v>
      </c>
      <c r="L751" s="304">
        <f t="shared" ca="1" si="319"/>
        <v>2835.6376579422981</v>
      </c>
      <c r="M751" s="306">
        <f t="shared" ca="1" si="335"/>
        <v>-1.3717103301750271</v>
      </c>
      <c r="N751" s="304">
        <f t="shared" ca="1" si="336"/>
        <v>-78.59321263352571</v>
      </c>
      <c r="P751" s="310">
        <f t="shared" ca="1" si="337"/>
        <v>23</v>
      </c>
      <c r="Q751" s="304">
        <f t="shared" ca="1" si="338"/>
        <v>0</v>
      </c>
      <c r="R751" s="306">
        <f t="shared" ca="1" si="339"/>
        <v>0</v>
      </c>
      <c r="S751" s="307">
        <f t="shared" ca="1" si="340"/>
        <v>6.4679999999999849</v>
      </c>
      <c r="T751" s="304">
        <f t="shared" ca="1" si="320"/>
        <v>63.451079999999855</v>
      </c>
      <c r="U751" s="311">
        <f t="shared" ca="1" si="321"/>
        <v>0</v>
      </c>
      <c r="V751" s="306">
        <f t="shared" ca="1" si="322"/>
        <v>0.92648139327680823</v>
      </c>
      <c r="W751" s="304">
        <f t="shared" ca="1" si="323"/>
        <v>12.382346329678315</v>
      </c>
      <c r="Y751" s="314" t="str">
        <f t="shared" ca="1" si="341"/>
        <v/>
      </c>
      <c r="Z751" s="315" t="str">
        <f t="shared" ca="1" si="342"/>
        <v/>
      </c>
      <c r="AA751" s="316" t="str">
        <f t="shared" ca="1" si="343"/>
        <v/>
      </c>
      <c r="AC751" s="310" t="e">
        <f t="shared" ca="1" si="344"/>
        <v>#N/A</v>
      </c>
      <c r="AD751" s="323" t="e">
        <f t="shared" ca="1" si="345"/>
        <v>#N/A</v>
      </c>
      <c r="AE751" s="324" t="e">
        <f t="shared" ca="1" si="324"/>
        <v>#N/A</v>
      </c>
      <c r="AG751" s="306">
        <f t="shared" ca="1" si="346"/>
        <v>7.7397315732367176</v>
      </c>
      <c r="AH751" s="304">
        <f t="shared" ca="1" si="347"/>
        <v>-1.8710125086923957</v>
      </c>
    </row>
    <row r="752" spans="1:34" x14ac:dyDescent="0.2">
      <c r="A752" s="347">
        <f t="shared" ca="1" si="325"/>
        <v>0.1</v>
      </c>
      <c r="B752" s="304">
        <f t="shared" ca="1" si="326"/>
        <v>29.800000000000093</v>
      </c>
      <c r="D752" s="306">
        <f t="shared" ca="1" si="327"/>
        <v>-0.37861773704798346</v>
      </c>
      <c r="E752" s="307">
        <f t="shared" ca="1" si="328"/>
        <v>-7.9334126213572498</v>
      </c>
      <c r="F752" s="304">
        <f t="shared" ca="1" si="329"/>
        <v>7.9424421440459891</v>
      </c>
      <c r="G752" s="306">
        <f t="shared" ca="1" si="330"/>
        <v>13.815978647990821</v>
      </c>
      <c r="H752" s="307">
        <f t="shared" ca="1" si="331"/>
        <v>-69.458751086266446</v>
      </c>
      <c r="I752" s="304">
        <f t="shared" ca="1" si="332"/>
        <v>70.819484384353288</v>
      </c>
      <c r="J752" s="306">
        <f t="shared" ca="1" si="333"/>
        <v>584.63888927120206</v>
      </c>
      <c r="K752" s="307">
        <f t="shared" ca="1" si="334"/>
        <v>2768.0990293321906</v>
      </c>
      <c r="L752" s="304">
        <f t="shared" ca="1" si="319"/>
        <v>2829.1650476842246</v>
      </c>
      <c r="M752" s="306">
        <f t="shared" ca="1" si="335"/>
        <v>-1.3744499153659904</v>
      </c>
      <c r="N752" s="304">
        <f t="shared" ca="1" si="336"/>
        <v>-78.750179302584442</v>
      </c>
      <c r="P752" s="310">
        <f t="shared" ca="1" si="337"/>
        <v>23</v>
      </c>
      <c r="Q752" s="304">
        <f t="shared" ca="1" si="338"/>
        <v>0</v>
      </c>
      <c r="R752" s="306">
        <f t="shared" ca="1" si="339"/>
        <v>0</v>
      </c>
      <c r="S752" s="307">
        <f t="shared" ca="1" si="340"/>
        <v>6.4679999999999849</v>
      </c>
      <c r="T752" s="304">
        <f t="shared" ca="1" si="320"/>
        <v>63.451079999999855</v>
      </c>
      <c r="U752" s="311">
        <f t="shared" ca="1" si="321"/>
        <v>0</v>
      </c>
      <c r="V752" s="306">
        <f t="shared" ca="1" si="322"/>
        <v>0.92713399840158772</v>
      </c>
      <c r="W752" s="304">
        <f t="shared" ca="1" si="323"/>
        <v>12.665138725896812</v>
      </c>
      <c r="Y752" s="314" t="str">
        <f t="shared" ca="1" si="341"/>
        <v/>
      </c>
      <c r="Z752" s="315" t="str">
        <f t="shared" ca="1" si="342"/>
        <v/>
      </c>
      <c r="AA752" s="316" t="str">
        <f t="shared" ca="1" si="343"/>
        <v/>
      </c>
      <c r="AC752" s="310" t="e">
        <f t="shared" ca="1" si="344"/>
        <v>#N/A</v>
      </c>
      <c r="AD752" s="323" t="e">
        <f t="shared" ca="1" si="345"/>
        <v>#N/A</v>
      </c>
      <c r="AE752" s="324" t="e">
        <f t="shared" ca="1" si="324"/>
        <v>#N/A</v>
      </c>
      <c r="AG752" s="306">
        <f t="shared" ca="1" si="346"/>
        <v>7.7018293534621636</v>
      </c>
      <c r="AH752" s="304">
        <f t="shared" ca="1" si="347"/>
        <v>-1.9144011023003005</v>
      </c>
    </row>
    <row r="753" spans="1:34" x14ac:dyDescent="0.2">
      <c r="A753" s="347">
        <f t="shared" ca="1" si="325"/>
        <v>0.1</v>
      </c>
      <c r="B753" s="304">
        <f t="shared" ca="1" si="326"/>
        <v>29.900000000000095</v>
      </c>
      <c r="D753" s="306">
        <f t="shared" ca="1" si="327"/>
        <v>-0.38200481129012076</v>
      </c>
      <c r="E753" s="307">
        <f t="shared" ca="1" si="328"/>
        <v>-7.8895007160049921</v>
      </c>
      <c r="F753" s="304">
        <f t="shared" ca="1" si="329"/>
        <v>7.8987435218325759</v>
      </c>
      <c r="G753" s="306">
        <f t="shared" ca="1" si="330"/>
        <v>13.777778166861809</v>
      </c>
      <c r="H753" s="307">
        <f t="shared" ca="1" si="331"/>
        <v>-70.247701157866942</v>
      </c>
      <c r="I753" s="304">
        <f t="shared" ca="1" si="332"/>
        <v>71.586078878370159</v>
      </c>
      <c r="J753" s="306">
        <f t="shared" ca="1" si="333"/>
        <v>586.01857711194464</v>
      </c>
      <c r="K753" s="307">
        <f t="shared" ca="1" si="334"/>
        <v>2761.1137067199838</v>
      </c>
      <c r="L753" s="304">
        <f t="shared" ca="1" si="319"/>
        <v>2822.6169903402192</v>
      </c>
      <c r="M753" s="306">
        <f t="shared" ca="1" si="335"/>
        <v>-1.3771233516806649</v>
      </c>
      <c r="N753" s="304">
        <f t="shared" ca="1" si="336"/>
        <v>-78.903355920212306</v>
      </c>
      <c r="P753" s="310">
        <f t="shared" ca="1" si="337"/>
        <v>23</v>
      </c>
      <c r="Q753" s="304">
        <f t="shared" ca="1" si="338"/>
        <v>0</v>
      </c>
      <c r="R753" s="306">
        <f t="shared" ca="1" si="339"/>
        <v>0</v>
      </c>
      <c r="S753" s="307">
        <f t="shared" ca="1" si="340"/>
        <v>6.4679999999999849</v>
      </c>
      <c r="T753" s="304">
        <f t="shared" ca="1" si="320"/>
        <v>63.451079999999855</v>
      </c>
      <c r="U753" s="311">
        <f t="shared" ca="1" si="321"/>
        <v>0</v>
      </c>
      <c r="V753" s="306">
        <f t="shared" ca="1" si="322"/>
        <v>0.92779448235141737</v>
      </c>
      <c r="W753" s="304">
        <f t="shared" ca="1" si="323"/>
        <v>12.950032482021763</v>
      </c>
      <c r="Y753" s="314" t="str">
        <f t="shared" ca="1" si="341"/>
        <v/>
      </c>
      <c r="Z753" s="315" t="str">
        <f t="shared" ca="1" si="342"/>
        <v/>
      </c>
      <c r="AA753" s="316" t="str">
        <f t="shared" ca="1" si="343"/>
        <v/>
      </c>
      <c r="AC753" s="310" t="e">
        <f t="shared" ca="1" si="344"/>
        <v>#N/A</v>
      </c>
      <c r="AD753" s="323" t="e">
        <f t="shared" ca="1" si="345"/>
        <v>#N/A</v>
      </c>
      <c r="AE753" s="324" t="e">
        <f t="shared" ca="1" si="324"/>
        <v>#N/A</v>
      </c>
      <c r="AG753" s="306">
        <f t="shared" ca="1" si="346"/>
        <v>7.6633867194831549</v>
      </c>
      <c r="AH753" s="304">
        <f t="shared" ca="1" si="347"/>
        <v>-1.9581228704231357</v>
      </c>
    </row>
    <row r="754" spans="1:34" x14ac:dyDescent="0.2">
      <c r="A754" s="347">
        <f t="shared" ca="1" si="325"/>
        <v>0.1</v>
      </c>
      <c r="B754" s="304">
        <f t="shared" ca="1" si="326"/>
        <v>30.000000000000096</v>
      </c>
      <c r="D754" s="306">
        <f t="shared" ca="1" si="327"/>
        <v>-0.38534653647778777</v>
      </c>
      <c r="E754" s="307">
        <f t="shared" ca="1" si="328"/>
        <v>-7.8452631600776863</v>
      </c>
      <c r="F754" s="304">
        <f t="shared" ca="1" si="329"/>
        <v>7.854721255655579</v>
      </c>
      <c r="G754" s="306">
        <f t="shared" ca="1" si="330"/>
        <v>13.739243513214031</v>
      </c>
      <c r="H754" s="307">
        <f t="shared" ca="1" si="331"/>
        <v>-71.032227473874713</v>
      </c>
      <c r="I754" s="304">
        <f t="shared" ca="1" si="332"/>
        <v>72.348767454709801</v>
      </c>
      <c r="J754" s="306">
        <f t="shared" ca="1" si="333"/>
        <v>587.39442819594842</v>
      </c>
      <c r="K754" s="307">
        <f t="shared" ca="1" si="334"/>
        <v>2754.0497102883969</v>
      </c>
      <c r="L754" s="304">
        <f t="shared" ca="1" si="319"/>
        <v>2815.9939667931194</v>
      </c>
      <c r="M754" s="306">
        <f t="shared" ca="1" si="335"/>
        <v>-1.3797330420141052</v>
      </c>
      <c r="N754" s="304">
        <f t="shared" ca="1" si="336"/>
        <v>-79.052880162154523</v>
      </c>
      <c r="P754" s="310">
        <f t="shared" ca="1" si="337"/>
        <v>23</v>
      </c>
      <c r="Q754" s="304">
        <f t="shared" ca="1" si="338"/>
        <v>0</v>
      </c>
      <c r="R754" s="306">
        <f t="shared" ca="1" si="339"/>
        <v>0</v>
      </c>
      <c r="S754" s="307">
        <f t="shared" ca="1" si="340"/>
        <v>6.4679999999999849</v>
      </c>
      <c r="T754" s="304">
        <f t="shared" ca="1" si="320"/>
        <v>63.451079999999855</v>
      </c>
      <c r="U754" s="311">
        <f t="shared" ca="1" si="321"/>
        <v>0</v>
      </c>
      <c r="V754" s="306">
        <f t="shared" ca="1" si="322"/>
        <v>0.92846281755921123</v>
      </c>
      <c r="W754" s="304">
        <f t="shared" ca="1" si="323"/>
        <v>13.236973907558745</v>
      </c>
      <c r="Y754" s="314" t="str">
        <f t="shared" ca="1" si="341"/>
        <v/>
      </c>
      <c r="Z754" s="315" t="str">
        <f t="shared" ca="1" si="342"/>
        <v/>
      </c>
      <c r="AA754" s="316" t="str">
        <f t="shared" ca="1" si="343"/>
        <v/>
      </c>
      <c r="AC754" s="310">
        <f t="shared" ca="1" si="344"/>
        <v>30.000000000000096</v>
      </c>
      <c r="AD754" s="323">
        <f t="shared" ca="1" si="345"/>
        <v>587.39442819594842</v>
      </c>
      <c r="AE754" s="324" t="e">
        <f t="shared" ca="1" si="324"/>
        <v>#N/A</v>
      </c>
      <c r="AG754" s="306">
        <f t="shared" ca="1" si="346"/>
        <v>7.6244221143102138</v>
      </c>
      <c r="AH754" s="304">
        <f t="shared" ca="1" si="347"/>
        <v>-2.0021695241221078</v>
      </c>
    </row>
    <row r="755" spans="1:34" x14ac:dyDescent="0.2">
      <c r="A755" s="347">
        <f t="shared" ca="1" si="325"/>
        <v>0.1</v>
      </c>
      <c r="B755" s="304">
        <f t="shared" ca="1" si="326"/>
        <v>30.100000000000097</v>
      </c>
      <c r="D755" s="306">
        <f t="shared" ca="1" si="327"/>
        <v>-0.38864258466795881</v>
      </c>
      <c r="E755" s="307">
        <f t="shared" ca="1" si="328"/>
        <v>-7.8007082618036279</v>
      </c>
      <c r="F755" s="304">
        <f t="shared" ca="1" si="329"/>
        <v>7.8103836297834155</v>
      </c>
      <c r="G755" s="306">
        <f t="shared" ca="1" si="330"/>
        <v>13.700379254747235</v>
      </c>
      <c r="H755" s="307">
        <f t="shared" ca="1" si="331"/>
        <v>-71.812298300055076</v>
      </c>
      <c r="I755" s="304">
        <f t="shared" ca="1" si="332"/>
        <v>73.107500154635304</v>
      </c>
      <c r="J755" s="306">
        <f t="shared" ca="1" si="333"/>
        <v>588.76640933434646</v>
      </c>
      <c r="K755" s="307">
        <f t="shared" ca="1" si="334"/>
        <v>2746.9074839997006</v>
      </c>
      <c r="L755" s="304">
        <f t="shared" ca="1" si="319"/>
        <v>2809.2964618234978</v>
      </c>
      <c r="M755" s="306">
        <f t="shared" ca="1" si="335"/>
        <v>-1.3822812755547977</v>
      </c>
      <c r="N755" s="304">
        <f t="shared" ca="1" si="336"/>
        <v>-79.198883189249884</v>
      </c>
      <c r="P755" s="310">
        <f t="shared" ca="1" si="337"/>
        <v>23</v>
      </c>
      <c r="Q755" s="304">
        <f t="shared" ca="1" si="338"/>
        <v>0</v>
      </c>
      <c r="R755" s="306">
        <f t="shared" ca="1" si="339"/>
        <v>0</v>
      </c>
      <c r="S755" s="307">
        <f t="shared" ca="1" si="340"/>
        <v>6.4679999999999849</v>
      </c>
      <c r="T755" s="304">
        <f t="shared" ca="1" si="320"/>
        <v>63.451079999999855</v>
      </c>
      <c r="U755" s="311">
        <f t="shared" ca="1" si="321"/>
        <v>0</v>
      </c>
      <c r="V755" s="306">
        <f t="shared" ca="1" si="322"/>
        <v>0.92913897623080721</v>
      </c>
      <c r="W755" s="304">
        <f t="shared" ca="1" si="323"/>
        <v>13.525909252512951</v>
      </c>
      <c r="Y755" s="314" t="str">
        <f t="shared" ca="1" si="341"/>
        <v/>
      </c>
      <c r="Z755" s="315" t="str">
        <f t="shared" ca="1" si="342"/>
        <v/>
      </c>
      <c r="AA755" s="316" t="str">
        <f t="shared" ca="1" si="343"/>
        <v/>
      </c>
      <c r="AC755" s="310" t="e">
        <f t="shared" ca="1" si="344"/>
        <v>#N/A</v>
      </c>
      <c r="AD755" s="323" t="e">
        <f t="shared" ca="1" si="345"/>
        <v>#N/A</v>
      </c>
      <c r="AE755" s="324" t="e">
        <f t="shared" ca="1" si="324"/>
        <v>#N/A</v>
      </c>
      <c r="AG755" s="306">
        <f t="shared" ca="1" si="346"/>
        <v>7.5849533849064574</v>
      </c>
      <c r="AH755" s="304">
        <f t="shared" ca="1" si="347"/>
        <v>-2.0465327624549747</v>
      </c>
    </row>
    <row r="756" spans="1:34" x14ac:dyDescent="0.2">
      <c r="A756" s="347">
        <f t="shared" ca="1" si="325"/>
        <v>0.1</v>
      </c>
      <c r="B756" s="304">
        <f t="shared" ca="1" si="326"/>
        <v>30.200000000000099</v>
      </c>
      <c r="D756" s="306">
        <f t="shared" ca="1" si="327"/>
        <v>-0.39189264589663875</v>
      </c>
      <c r="E756" s="307">
        <f t="shared" ca="1" si="328"/>
        <v>-7.7558443401137449</v>
      </c>
      <c r="F756" s="304">
        <f t="shared" ca="1" si="329"/>
        <v>7.7657389393400473</v>
      </c>
      <c r="G756" s="306">
        <f t="shared" ca="1" si="330"/>
        <v>13.66118999015757</v>
      </c>
      <c r="H756" s="307">
        <f t="shared" ca="1" si="331"/>
        <v>-72.587882734066454</v>
      </c>
      <c r="I756" s="304">
        <f t="shared" ca="1" si="332"/>
        <v>73.862228721869499</v>
      </c>
      <c r="J756" s="306">
        <f t="shared" ca="1" si="333"/>
        <v>590.13448779659166</v>
      </c>
      <c r="K756" s="307">
        <f t="shared" ca="1" si="334"/>
        <v>2739.6874749479944</v>
      </c>
      <c r="L756" s="304">
        <f t="shared" ca="1" si="319"/>
        <v>2802.5249640411525</v>
      </c>
      <c r="M756" s="306">
        <f t="shared" ca="1" si="335"/>
        <v>-1.3847702343304247</v>
      </c>
      <c r="N756" s="304">
        <f t="shared" ca="1" si="336"/>
        <v>-79.341490022475355</v>
      </c>
      <c r="P756" s="310">
        <f t="shared" ca="1" si="337"/>
        <v>23</v>
      </c>
      <c r="Q756" s="304">
        <f t="shared" ca="1" si="338"/>
        <v>0</v>
      </c>
      <c r="R756" s="306">
        <f t="shared" ca="1" si="339"/>
        <v>0</v>
      </c>
      <c r="S756" s="307">
        <f t="shared" ca="1" si="340"/>
        <v>6.4679999999999849</v>
      </c>
      <c r="T756" s="304">
        <f t="shared" ca="1" si="320"/>
        <v>63.451079999999855</v>
      </c>
      <c r="U756" s="311">
        <f t="shared" ca="1" si="321"/>
        <v>0</v>
      </c>
      <c r="V756" s="306">
        <f t="shared" ca="1" si="322"/>
        <v>0.92982293034953267</v>
      </c>
      <c r="W756" s="304">
        <f t="shared" ca="1" si="323"/>
        <v>13.816784725384602</v>
      </c>
      <c r="Y756" s="314" t="str">
        <f t="shared" ca="1" si="341"/>
        <v/>
      </c>
      <c r="Z756" s="315" t="str">
        <f t="shared" ca="1" si="342"/>
        <v/>
      </c>
      <c r="AA756" s="316" t="str">
        <f t="shared" ca="1" si="343"/>
        <v/>
      </c>
      <c r="AC756" s="310" t="e">
        <f t="shared" ca="1" si="344"/>
        <v>#N/A</v>
      </c>
      <c r="AD756" s="323" t="e">
        <f t="shared" ca="1" si="345"/>
        <v>#N/A</v>
      </c>
      <c r="AE756" s="324" t="e">
        <f t="shared" ca="1" si="324"/>
        <v>#N/A</v>
      </c>
      <c r="AG756" s="306">
        <f t="shared" ca="1" si="346"/>
        <v>7.5449978220892326</v>
      </c>
      <c r="AH756" s="304">
        <f t="shared" ca="1" si="347"/>
        <v>-2.0912042752803006</v>
      </c>
    </row>
    <row r="757" spans="1:34" x14ac:dyDescent="0.2">
      <c r="A757" s="347">
        <f t="shared" ca="1" si="325"/>
        <v>0.1</v>
      </c>
      <c r="B757" s="304">
        <f t="shared" ca="1" si="326"/>
        <v>30.3000000000001</v>
      </c>
      <c r="D757" s="306">
        <f t="shared" ca="1" si="327"/>
        <v>-0.39509642782243953</v>
      </c>
      <c r="E757" s="307">
        <f t="shared" ca="1" si="328"/>
        <v>-7.7106797217456027</v>
      </c>
      <c r="F757" s="304">
        <f t="shared" ca="1" si="329"/>
        <v>7.7207954874233584</v>
      </c>
      <c r="G757" s="306">
        <f t="shared" ca="1" si="330"/>
        <v>13.621680347375326</v>
      </c>
      <c r="H757" s="307">
        <f t="shared" ca="1" si="331"/>
        <v>-73.358950706241018</v>
      </c>
      <c r="I757" s="304">
        <f t="shared" ca="1" si="332"/>
        <v>74.61290655246431</v>
      </c>
      <c r="J757" s="306">
        <f t="shared" ca="1" si="333"/>
        <v>591.49863131346831</v>
      </c>
      <c r="K757" s="307">
        <f t="shared" ca="1" si="334"/>
        <v>2732.3901332759788</v>
      </c>
      <c r="L757" s="304">
        <f t="shared" ca="1" si="319"/>
        <v>2795.6799658168361</v>
      </c>
      <c r="M757" s="306">
        <f t="shared" ca="1" si="335"/>
        <v>-1.3872019993135052</v>
      </c>
      <c r="N757" s="304">
        <f t="shared" ca="1" si="336"/>
        <v>-79.480819892773567</v>
      </c>
      <c r="P757" s="310">
        <f t="shared" ca="1" si="337"/>
        <v>23</v>
      </c>
      <c r="Q757" s="304">
        <f t="shared" ca="1" si="338"/>
        <v>0</v>
      </c>
      <c r="R757" s="306">
        <f t="shared" ca="1" si="339"/>
        <v>0</v>
      </c>
      <c r="S757" s="307">
        <f t="shared" ca="1" si="340"/>
        <v>6.4679999999999849</v>
      </c>
      <c r="T757" s="304">
        <f t="shared" ca="1" si="320"/>
        <v>63.451079999999855</v>
      </c>
      <c r="U757" s="311">
        <f t="shared" ca="1" si="321"/>
        <v>0</v>
      </c>
      <c r="V757" s="306">
        <f t="shared" ca="1" si="322"/>
        <v>0.9305146516807814</v>
      </c>
      <c r="W757" s="304">
        <f t="shared" ca="1" si="323"/>
        <v>14.109546511012571</v>
      </c>
      <c r="Y757" s="314" t="str">
        <f t="shared" ca="1" si="341"/>
        <v/>
      </c>
      <c r="Z757" s="315" t="str">
        <f t="shared" ca="1" si="342"/>
        <v/>
      </c>
      <c r="AA757" s="316" t="str">
        <f t="shared" ca="1" si="343"/>
        <v/>
      </c>
      <c r="AC757" s="310" t="e">
        <f t="shared" ca="1" si="344"/>
        <v>#N/A</v>
      </c>
      <c r="AD757" s="323" t="e">
        <f t="shared" ca="1" si="345"/>
        <v>#N/A</v>
      </c>
      <c r="AE757" s="324" t="e">
        <f t="shared" ca="1" si="324"/>
        <v>#N/A</v>
      </c>
      <c r="AG757" s="306">
        <f t="shared" ca="1" si="346"/>
        <v>7.5045721970338786</v>
      </c>
      <c r="AH757" s="304">
        <f t="shared" ca="1" si="347"/>
        <v>-2.1361757460396777</v>
      </c>
    </row>
    <row r="758" spans="1:34" x14ac:dyDescent="0.2">
      <c r="A758" s="347">
        <f t="shared" ca="1" si="325"/>
        <v>0.1</v>
      </c>
      <c r="B758" s="304">
        <f t="shared" ca="1" si="326"/>
        <v>30.400000000000102</v>
      </c>
      <c r="D758" s="306">
        <f t="shared" ca="1" si="327"/>
        <v>-0.39825365538700708</v>
      </c>
      <c r="E758" s="307">
        <f t="shared" ca="1" si="328"/>
        <v>-7.6652227383793292</v>
      </c>
      <c r="F758" s="304">
        <f t="shared" ca="1" si="329"/>
        <v>7.6755615822555043</v>
      </c>
      <c r="G758" s="306">
        <f t="shared" ca="1" si="330"/>
        <v>13.581854981836626</v>
      </c>
      <c r="H758" s="307">
        <f t="shared" ca="1" si="331"/>
        <v>-74.125472980078953</v>
      </c>
      <c r="I758" s="304">
        <f t="shared" ca="1" si="332"/>
        <v>75.359488647867394</v>
      </c>
      <c r="J758" s="306">
        <f t="shared" ca="1" si="333"/>
        <v>592.85880807992896</v>
      </c>
      <c r="K758" s="307">
        <f t="shared" ca="1" si="334"/>
        <v>2725.0159120916628</v>
      </c>
      <c r="L758" s="304">
        <f t="shared" ca="1" si="319"/>
        <v>2788.7619632142705</v>
      </c>
      <c r="M758" s="306">
        <f t="shared" ca="1" si="335"/>
        <v>-1.3895785561204854</v>
      </c>
      <c r="N758" s="304">
        <f t="shared" ca="1" si="336"/>
        <v>-79.616986567586622</v>
      </c>
      <c r="P758" s="310">
        <f t="shared" ca="1" si="337"/>
        <v>23</v>
      </c>
      <c r="Q758" s="304">
        <f t="shared" ca="1" si="338"/>
        <v>0</v>
      </c>
      <c r="R758" s="306">
        <f t="shared" ca="1" si="339"/>
        <v>0</v>
      </c>
      <c r="S758" s="307">
        <f t="shared" ca="1" si="340"/>
        <v>6.4679999999999849</v>
      </c>
      <c r="T758" s="304">
        <f t="shared" ca="1" si="320"/>
        <v>63.451079999999855</v>
      </c>
      <c r="U758" s="311">
        <f t="shared" ca="1" si="321"/>
        <v>0</v>
      </c>
      <c r="V758" s="306">
        <f t="shared" ca="1" si="322"/>
        <v>0.93121411177660784</v>
      </c>
      <c r="W758" s="304">
        <f t="shared" ca="1" si="323"/>
        <v>14.404140788257815</v>
      </c>
      <c r="Y758" s="314" t="str">
        <f t="shared" ca="1" si="341"/>
        <v/>
      </c>
      <c r="Z758" s="315" t="str">
        <f t="shared" ca="1" si="342"/>
        <v/>
      </c>
      <c r="AA758" s="316" t="str">
        <f t="shared" ca="1" si="343"/>
        <v/>
      </c>
      <c r="AC758" s="310" t="e">
        <f t="shared" ca="1" si="344"/>
        <v>#N/A</v>
      </c>
      <c r="AD758" s="323" t="e">
        <f t="shared" ca="1" si="345"/>
        <v>#N/A</v>
      </c>
      <c r="AE758" s="324" t="e">
        <f t="shared" ca="1" si="324"/>
        <v>#N/A</v>
      </c>
      <c r="AG758" s="306">
        <f t="shared" ca="1" si="346"/>
        <v>7.4636927946868559</v>
      </c>
      <c r="AH758" s="304">
        <f t="shared" ca="1" si="347"/>
        <v>-2.1814388545164816</v>
      </c>
    </row>
    <row r="759" spans="1:34" x14ac:dyDescent="0.2">
      <c r="A759" s="347">
        <f t="shared" ca="1" si="325"/>
        <v>0.1</v>
      </c>
      <c r="B759" s="304">
        <f t="shared" ca="1" si="326"/>
        <v>30.500000000000103</v>
      </c>
      <c r="D759" s="306">
        <f t="shared" ca="1" si="327"/>
        <v>-0.4013640704906597</v>
      </c>
      <c r="E759" s="307">
        <f t="shared" ca="1" si="328"/>
        <v>-7.6194817238059827</v>
      </c>
      <c r="F759" s="304">
        <f t="shared" ca="1" si="329"/>
        <v>7.630045534365717</v>
      </c>
      <c r="G759" s="306">
        <f t="shared" ca="1" si="330"/>
        <v>13.541718574787559</v>
      </c>
      <c r="H759" s="307">
        <f t="shared" ca="1" si="331"/>
        <v>-74.887421152459552</v>
      </c>
      <c r="I759" s="304">
        <f t="shared" ca="1" si="332"/>
        <v>76.101931570917387</v>
      </c>
      <c r="J759" s="306">
        <f t="shared" ca="1" si="333"/>
        <v>594.21498675776013</v>
      </c>
      <c r="K759" s="307">
        <f t="shared" ca="1" si="334"/>
        <v>2717.5652673850359</v>
      </c>
      <c r="L759" s="304">
        <f t="shared" ca="1" si="319"/>
        <v>2781.7714559224714</v>
      </c>
      <c r="M759" s="306">
        <f t="shared" ca="1" si="335"/>
        <v>-1.3919018003350156</v>
      </c>
      <c r="N759" s="304">
        <f t="shared" ca="1" si="336"/>
        <v>-79.750098655857386</v>
      </c>
      <c r="P759" s="310">
        <f t="shared" ca="1" si="337"/>
        <v>23</v>
      </c>
      <c r="Q759" s="304">
        <f t="shared" ca="1" si="338"/>
        <v>0</v>
      </c>
      <c r="R759" s="306">
        <f t="shared" ca="1" si="339"/>
        <v>0</v>
      </c>
      <c r="S759" s="307">
        <f t="shared" ca="1" si="340"/>
        <v>6.4679999999999849</v>
      </c>
      <c r="T759" s="304">
        <f t="shared" ca="1" si="320"/>
        <v>63.451079999999855</v>
      </c>
      <c r="U759" s="311">
        <f t="shared" ca="1" si="321"/>
        <v>0</v>
      </c>
      <c r="V759" s="306">
        <f t="shared" ca="1" si="322"/>
        <v>0.93192128198033242</v>
      </c>
      <c r="W759" s="304">
        <f t="shared" ca="1" si="323"/>
        <v>14.700513747518038</v>
      </c>
      <c r="Y759" s="314" t="str">
        <f t="shared" ca="1" si="341"/>
        <v/>
      </c>
      <c r="Z759" s="315" t="str">
        <f t="shared" ca="1" si="342"/>
        <v/>
      </c>
      <c r="AA759" s="316" t="str">
        <f t="shared" ca="1" si="343"/>
        <v/>
      </c>
      <c r="AC759" s="310" t="e">
        <f t="shared" ca="1" si="344"/>
        <v>#N/A</v>
      </c>
      <c r="AD759" s="323" t="e">
        <f t="shared" ca="1" si="345"/>
        <v>#N/A</v>
      </c>
      <c r="AE759" s="324" t="e">
        <f t="shared" ca="1" si="324"/>
        <v>#N/A</v>
      </c>
      <c r="AG759" s="306">
        <f t="shared" ca="1" si="346"/>
        <v>7.4223754443653727</v>
      </c>
      <c r="AH759" s="304">
        <f t="shared" ca="1" si="347"/>
        <v>-2.2269852795698588</v>
      </c>
    </row>
    <row r="760" spans="1:34" x14ac:dyDescent="0.2">
      <c r="A760" s="347">
        <f t="shared" ca="1" si="325"/>
        <v>0.1</v>
      </c>
      <c r="B760" s="304">
        <f t="shared" ca="1" si="326"/>
        <v>30.600000000000104</v>
      </c>
      <c r="D760" s="306">
        <f t="shared" ca="1" si="327"/>
        <v>-0.40442743168171669</v>
      </c>
      <c r="E760" s="307">
        <f t="shared" ca="1" si="328"/>
        <v>-7.5734650111290325</v>
      </c>
      <c r="F760" s="304">
        <f t="shared" ca="1" si="329"/>
        <v>7.5842556538062684</v>
      </c>
      <c r="G760" s="306">
        <f t="shared" ca="1" si="330"/>
        <v>13.501275831619388</v>
      </c>
      <c r="H760" s="307">
        <f t="shared" ca="1" si="331"/>
        <v>-75.644767653572458</v>
      </c>
      <c r="I760" s="304">
        <f t="shared" ca="1" si="332"/>
        <v>76.840193404522552</v>
      </c>
      <c r="J760" s="306">
        <f t="shared" ca="1" si="333"/>
        <v>595.56713647808044</v>
      </c>
      <c r="K760" s="307">
        <f t="shared" ca="1" si="334"/>
        <v>2710.0386579447345</v>
      </c>
      <c r="L760" s="304">
        <f t="shared" ca="1" si="319"/>
        <v>2774.7089471884428</v>
      </c>
      <c r="M760" s="306">
        <f t="shared" ca="1" si="335"/>
        <v>-1.3941735424835611</v>
      </c>
      <c r="N760" s="304">
        <f t="shared" ca="1" si="336"/>
        <v>-79.880259893111031</v>
      </c>
      <c r="P760" s="310">
        <f t="shared" ca="1" si="337"/>
        <v>23</v>
      </c>
      <c r="Q760" s="304">
        <f t="shared" ca="1" si="338"/>
        <v>0</v>
      </c>
      <c r="R760" s="306">
        <f t="shared" ca="1" si="339"/>
        <v>0</v>
      </c>
      <c r="S760" s="307">
        <f t="shared" ca="1" si="340"/>
        <v>6.4679999999999849</v>
      </c>
      <c r="T760" s="304">
        <f t="shared" ca="1" si="320"/>
        <v>63.451079999999855</v>
      </c>
      <c r="U760" s="311">
        <f t="shared" ca="1" si="321"/>
        <v>0</v>
      </c>
      <c r="V760" s="306">
        <f t="shared" ca="1" si="322"/>
        <v>0.93263613343115814</v>
      </c>
      <c r="W760" s="304">
        <f t="shared" ca="1" si="323"/>
        <v>14.998611608065239</v>
      </c>
      <c r="Y760" s="314" t="str">
        <f t="shared" ca="1" si="341"/>
        <v/>
      </c>
      <c r="Z760" s="315" t="str">
        <f t="shared" ca="1" si="342"/>
        <v/>
      </c>
      <c r="AA760" s="316" t="str">
        <f t="shared" ca="1" si="343"/>
        <v/>
      </c>
      <c r="AC760" s="310" t="e">
        <f t="shared" ca="1" si="344"/>
        <v>#N/A</v>
      </c>
      <c r="AD760" s="323" t="e">
        <f t="shared" ca="1" si="345"/>
        <v>#N/A</v>
      </c>
      <c r="AE760" s="324" t="e">
        <f t="shared" ca="1" si="324"/>
        <v>#N/A</v>
      </c>
      <c r="AG760" s="306">
        <f t="shared" ca="1" si="346"/>
        <v>7.3806355477937284</v>
      </c>
      <c r="AH760" s="304">
        <f t="shared" ca="1" si="347"/>
        <v>-2.272806701842621</v>
      </c>
    </row>
    <row r="761" spans="1:34" x14ac:dyDescent="0.2">
      <c r="A761" s="347">
        <f t="shared" ca="1" si="325"/>
        <v>0.1</v>
      </c>
      <c r="B761" s="304">
        <f t="shared" ca="1" si="326"/>
        <v>30.700000000000106</v>
      </c>
      <c r="D761" s="306">
        <f t="shared" ca="1" si="327"/>
        <v>-0.40744351385816646</v>
      </c>
      <c r="E761" s="307">
        <f t="shared" ca="1" si="328"/>
        <v>-7.5271809299996075</v>
      </c>
      <c r="F761" s="304">
        <f t="shared" ca="1" si="329"/>
        <v>7.5382002474022176</v>
      </c>
      <c r="G761" s="306">
        <f t="shared" ca="1" si="330"/>
        <v>13.460531480233572</v>
      </c>
      <c r="H761" s="307">
        <f t="shared" ca="1" si="331"/>
        <v>-76.397485746572414</v>
      </c>
      <c r="I761" s="304">
        <f t="shared" ca="1" si="332"/>
        <v>77.574233712799852</v>
      </c>
      <c r="J761" s="306">
        <f t="shared" ca="1" si="333"/>
        <v>596.91522684367305</v>
      </c>
      <c r="K761" s="307">
        <f t="shared" ca="1" si="334"/>
        <v>2702.4365452747275</v>
      </c>
      <c r="L761" s="304">
        <f t="shared" ca="1" si="319"/>
        <v>2767.5749437502568</v>
      </c>
      <c r="M761" s="306">
        <f t="shared" ca="1" si="335"/>
        <v>-1.3963955126891603</v>
      </c>
      <c r="N761" s="304">
        <f t="shared" ca="1" si="336"/>
        <v>-80.007569408095677</v>
      </c>
      <c r="P761" s="310">
        <f t="shared" ca="1" si="337"/>
        <v>23</v>
      </c>
      <c r="Q761" s="304">
        <f t="shared" ca="1" si="338"/>
        <v>0</v>
      </c>
      <c r="R761" s="306">
        <f t="shared" ca="1" si="339"/>
        <v>0</v>
      </c>
      <c r="S761" s="307">
        <f t="shared" ca="1" si="340"/>
        <v>6.4679999999999849</v>
      </c>
      <c r="T761" s="304">
        <f t="shared" ca="1" si="320"/>
        <v>63.451079999999855</v>
      </c>
      <c r="U761" s="311">
        <f t="shared" ca="1" si="321"/>
        <v>0</v>
      </c>
      <c r="V761" s="306">
        <f t="shared" ca="1" si="322"/>
        <v>0.93335863706879685</v>
      </c>
      <c r="W761" s="304">
        <f t="shared" ca="1" si="323"/>
        <v>15.298380635198312</v>
      </c>
      <c r="Y761" s="314" t="str">
        <f t="shared" ca="1" si="341"/>
        <v/>
      </c>
      <c r="Z761" s="315" t="str">
        <f t="shared" ca="1" si="342"/>
        <v/>
      </c>
      <c r="AA761" s="316" t="str">
        <f t="shared" ca="1" si="343"/>
        <v/>
      </c>
      <c r="AC761" s="310" t="e">
        <f t="shared" ca="1" si="344"/>
        <v>#N/A</v>
      </c>
      <c r="AD761" s="323" t="e">
        <f t="shared" ca="1" si="345"/>
        <v>#N/A</v>
      </c>
      <c r="AE761" s="324" t="e">
        <f t="shared" ca="1" si="324"/>
        <v>#N/A</v>
      </c>
      <c r="AG761" s="306">
        <f t="shared" ca="1" si="346"/>
        <v>7.3384881048025798</v>
      </c>
      <c r="AH761" s="304">
        <f t="shared" ca="1" si="347"/>
        <v>-2.3188948064417554</v>
      </c>
    </row>
    <row r="762" spans="1:34" x14ac:dyDescent="0.2">
      <c r="A762" s="347">
        <f t="shared" ca="1" si="325"/>
        <v>0.1</v>
      </c>
      <c r="B762" s="304">
        <f t="shared" ca="1" si="326"/>
        <v>30.800000000000107</v>
      </c>
      <c r="D762" s="306">
        <f t="shared" ca="1" si="327"/>
        <v>-0.41041210798043309</v>
      </c>
      <c r="E762" s="307">
        <f t="shared" ca="1" si="328"/>
        <v>-7.4806378038861965</v>
      </c>
      <c r="F762" s="304">
        <f t="shared" ca="1" si="329"/>
        <v>7.491887616035644</v>
      </c>
      <c r="G762" s="306">
        <f t="shared" ca="1" si="330"/>
        <v>13.419490269435528</v>
      </c>
      <c r="H762" s="307">
        <f t="shared" ca="1" si="331"/>
        <v>-77.145549526961034</v>
      </c>
      <c r="I762" s="304">
        <f t="shared" ca="1" si="332"/>
        <v>78.304013504470333</v>
      </c>
      <c r="J762" s="306">
        <f t="shared" ca="1" si="333"/>
        <v>598.25922793115649</v>
      </c>
      <c r="K762" s="307">
        <f t="shared" ca="1" si="334"/>
        <v>2694.7593935110508</v>
      </c>
      <c r="L762" s="304">
        <f t="shared" ca="1" si="319"/>
        <v>2760.3699557705722</v>
      </c>
      <c r="M762" s="306">
        <f t="shared" ca="1" si="335"/>
        <v>-1.3985693650270081</v>
      </c>
      <c r="N762" s="304">
        <f t="shared" ca="1" si="336"/>
        <v>-80.132121972339007</v>
      </c>
      <c r="P762" s="310">
        <f t="shared" ca="1" si="337"/>
        <v>23</v>
      </c>
      <c r="Q762" s="304">
        <f t="shared" ca="1" si="338"/>
        <v>0</v>
      </c>
      <c r="R762" s="306">
        <f t="shared" ca="1" si="339"/>
        <v>0</v>
      </c>
      <c r="S762" s="307">
        <f t="shared" ca="1" si="340"/>
        <v>6.4679999999999849</v>
      </c>
      <c r="T762" s="304">
        <f t="shared" ca="1" si="320"/>
        <v>63.451079999999855</v>
      </c>
      <c r="U762" s="311">
        <f t="shared" ca="1" si="321"/>
        <v>0</v>
      </c>
      <c r="V762" s="306">
        <f t="shared" ca="1" si="322"/>
        <v>0.93408876363810323</v>
      </c>
      <c r="W762" s="304">
        <f t="shared" ca="1" si="323"/>
        <v>15.599767157202741</v>
      </c>
      <c r="Y762" s="314" t="str">
        <f t="shared" ca="1" si="341"/>
        <v/>
      </c>
      <c r="Z762" s="315" t="str">
        <f t="shared" ca="1" si="342"/>
        <v/>
      </c>
      <c r="AA762" s="316" t="str">
        <f t="shared" ca="1" si="343"/>
        <v/>
      </c>
      <c r="AC762" s="310" t="e">
        <f t="shared" ca="1" si="344"/>
        <v>#N/A</v>
      </c>
      <c r="AD762" s="323" t="e">
        <f t="shared" ca="1" si="345"/>
        <v>#N/A</v>
      </c>
      <c r="AE762" s="324" t="e">
        <f t="shared" ca="1" si="324"/>
        <v>#N/A</v>
      </c>
      <c r="AG762" s="306">
        <f t="shared" ca="1" si="346"/>
        <v>7.2959477368957844</v>
      </c>
      <c r="AH762" s="304">
        <f t="shared" ca="1" si="347"/>
        <v>-2.3652412855903444</v>
      </c>
    </row>
    <row r="763" spans="1:34" x14ac:dyDescent="0.2">
      <c r="A763" s="347">
        <f t="shared" ca="1" si="325"/>
        <v>0.1</v>
      </c>
      <c r="B763" s="304">
        <f t="shared" ca="1" si="326"/>
        <v>30.900000000000109</v>
      </c>
      <c r="D763" s="306">
        <f t="shared" ca="1" si="327"/>
        <v>-0.41333302079411832</v>
      </c>
      <c r="E763" s="307">
        <f t="shared" ca="1" si="328"/>
        <v>-7.4338439473795059</v>
      </c>
      <c r="F763" s="304">
        <f t="shared" ca="1" si="329"/>
        <v>7.4453260519650648</v>
      </c>
      <c r="G763" s="306">
        <f t="shared" ca="1" si="330"/>
        <v>13.378156967356116</v>
      </c>
      <c r="H763" s="307">
        <f t="shared" ca="1" si="331"/>
        <v>-77.888933921698978</v>
      </c>
      <c r="I763" s="304">
        <f t="shared" ca="1" si="332"/>
        <v>79.029495198324582</v>
      </c>
      <c r="J763" s="306">
        <f t="shared" ca="1" si="333"/>
        <v>599.5991102929961</v>
      </c>
      <c r="K763" s="307">
        <f t="shared" ca="1" si="334"/>
        <v>2687.0076693386177</v>
      </c>
      <c r="L763" s="304">
        <f t="shared" ca="1" si="319"/>
        <v>2753.0944967706255</v>
      </c>
      <c r="M763" s="306">
        <f t="shared" ca="1" si="335"/>
        <v>-1.4006966816035993</v>
      </c>
      <c r="N763" s="304">
        <f t="shared" ca="1" si="336"/>
        <v>-80.254008233865903</v>
      </c>
      <c r="P763" s="310">
        <f t="shared" ca="1" si="337"/>
        <v>23</v>
      </c>
      <c r="Q763" s="304">
        <f t="shared" ca="1" si="338"/>
        <v>0</v>
      </c>
      <c r="R763" s="306">
        <f t="shared" ca="1" si="339"/>
        <v>0</v>
      </c>
      <c r="S763" s="307">
        <f t="shared" ca="1" si="340"/>
        <v>6.4679999999999849</v>
      </c>
      <c r="T763" s="304">
        <f t="shared" ca="1" si="320"/>
        <v>63.451079999999855</v>
      </c>
      <c r="U763" s="311">
        <f t="shared" ca="1" si="321"/>
        <v>0</v>
      </c>
      <c r="V763" s="306">
        <f t="shared" ca="1" si="322"/>
        <v>0.93482648369371635</v>
      </c>
      <c r="W763" s="304">
        <f t="shared" ca="1" si="323"/>
        <v>15.90271758211</v>
      </c>
      <c r="Y763" s="314" t="str">
        <f t="shared" ca="1" si="341"/>
        <v/>
      </c>
      <c r="Z763" s="315" t="str">
        <f t="shared" ca="1" si="342"/>
        <v/>
      </c>
      <c r="AA763" s="316" t="str">
        <f t="shared" ca="1" si="343"/>
        <v/>
      </c>
      <c r="AC763" s="310" t="e">
        <f t="shared" ca="1" si="344"/>
        <v>#N/A</v>
      </c>
      <c r="AD763" s="323" t="e">
        <f t="shared" ca="1" si="345"/>
        <v>#N/A</v>
      </c>
      <c r="AE763" s="324" t="e">
        <f t="shared" ca="1" si="324"/>
        <v>#N/A</v>
      </c>
      <c r="AG763" s="306">
        <f t="shared" ca="1" si="346"/>
        <v>7.2530287088701861</v>
      </c>
      <c r="AH763" s="304">
        <f t="shared" ca="1" si="347"/>
        <v>-2.4118378412496564</v>
      </c>
    </row>
    <row r="764" spans="1:34" x14ac:dyDescent="0.2">
      <c r="A764" s="347">
        <f t="shared" ca="1" si="325"/>
        <v>0.1</v>
      </c>
      <c r="B764" s="304">
        <f t="shared" ca="1" si="326"/>
        <v>31.00000000000011</v>
      </c>
      <c r="D764" s="306">
        <f t="shared" ca="1" si="327"/>
        <v>-0.41620607456171732</v>
      </c>
      <c r="E764" s="307">
        <f t="shared" ca="1" si="328"/>
        <v>-7.3868076635331974</v>
      </c>
      <c r="F764" s="304">
        <f t="shared" ca="1" si="329"/>
        <v>7.3985238361807584</v>
      </c>
      <c r="G764" s="306">
        <f t="shared" ca="1" si="330"/>
        <v>13.336536359899943</v>
      </c>
      <c r="H764" s="307">
        <f t="shared" ca="1" si="331"/>
        <v>-78.627614688052304</v>
      </c>
      <c r="I764" s="304">
        <f t="shared" ca="1" si="332"/>
        <v>79.750642590588271</v>
      </c>
      <c r="J764" s="306">
        <f t="shared" ca="1" si="333"/>
        <v>600.93484495935888</v>
      </c>
      <c r="K764" s="307">
        <f t="shared" ca="1" si="334"/>
        <v>2679.1818419081301</v>
      </c>
      <c r="L764" s="304">
        <f t="shared" ca="1" si="319"/>
        <v>2745.7490835647327</v>
      </c>
      <c r="M764" s="306">
        <f t="shared" ca="1" si="335"/>
        <v>-1.4027789763794132</v>
      </c>
      <c r="N764" s="304">
        <f t="shared" ca="1" si="336"/>
        <v>-80.373314936222172</v>
      </c>
      <c r="P764" s="310">
        <f t="shared" ca="1" si="337"/>
        <v>23</v>
      </c>
      <c r="Q764" s="304">
        <f t="shared" ca="1" si="338"/>
        <v>0</v>
      </c>
      <c r="R764" s="306">
        <f t="shared" ca="1" si="339"/>
        <v>0</v>
      </c>
      <c r="S764" s="307">
        <f t="shared" ca="1" si="340"/>
        <v>6.4679999999999849</v>
      </c>
      <c r="T764" s="304">
        <f t="shared" ca="1" si="320"/>
        <v>63.451079999999855</v>
      </c>
      <c r="U764" s="311">
        <f t="shared" ca="1" si="321"/>
        <v>0</v>
      </c>
      <c r="V764" s="306">
        <f t="shared" ca="1" si="322"/>
        <v>0.93557176760470584</v>
      </c>
      <c r="W764" s="304">
        <f t="shared" ca="1" si="323"/>
        <v>16.207178414249277</v>
      </c>
      <c r="Y764" s="314" t="str">
        <f t="shared" ca="1" si="341"/>
        <v/>
      </c>
      <c r="Z764" s="315" t="str">
        <f t="shared" ca="1" si="342"/>
        <v/>
      </c>
      <c r="AA764" s="316" t="str">
        <f t="shared" ca="1" si="343"/>
        <v/>
      </c>
      <c r="AC764" s="310">
        <f t="shared" ca="1" si="344"/>
        <v>31.00000000000011</v>
      </c>
      <c r="AD764" s="323">
        <f t="shared" ca="1" si="345"/>
        <v>600.93484495935888</v>
      </c>
      <c r="AE764" s="324" t="e">
        <f t="shared" ca="1" si="324"/>
        <v>#N/A</v>
      </c>
      <c r="AG764" s="306">
        <f t="shared" ca="1" si="346"/>
        <v>7.2097449486563638</v>
      </c>
      <c r="AH764" s="304">
        <f t="shared" ca="1" si="347"/>
        <v>-2.4586761877102719</v>
      </c>
    </row>
    <row r="765" spans="1:34" x14ac:dyDescent="0.2">
      <c r="A765" s="347">
        <f t="shared" ca="1" si="325"/>
        <v>0.1</v>
      </c>
      <c r="B765" s="304">
        <f t="shared" ca="1" si="326"/>
        <v>31.100000000000112</v>
      </c>
      <c r="D765" s="306">
        <f t="shared" ca="1" si="327"/>
        <v>-0.41903110680237299</v>
      </c>
      <c r="E765" s="307">
        <f t="shared" ca="1" si="328"/>
        <v>-7.3395372412412279</v>
      </c>
      <c r="F765" s="304">
        <f t="shared" ca="1" si="329"/>
        <v>7.351489235796711</v>
      </c>
      <c r="G765" s="306">
        <f t="shared" ca="1" si="330"/>
        <v>13.294633249219705</v>
      </c>
      <c r="H765" s="307">
        <f t="shared" ca="1" si="331"/>
        <v>-79.361568412176425</v>
      </c>
      <c r="I765" s="304">
        <f t="shared" ca="1" si="332"/>
        <v>80.467420824031734</v>
      </c>
      <c r="J765" s="306">
        <f t="shared" ca="1" si="333"/>
        <v>602.26640343981489</v>
      </c>
      <c r="K765" s="307">
        <f t="shared" ca="1" si="334"/>
        <v>2671.2823827531188</v>
      </c>
      <c r="L765" s="304">
        <f t="shared" ca="1" si="319"/>
        <v>2738.3342361953387</v>
      </c>
      <c r="M765" s="306">
        <f t="shared" ca="1" si="335"/>
        <v>-1.4048176987534997</v>
      </c>
      <c r="N765" s="304">
        <f t="shared" ca="1" si="336"/>
        <v>-80.490125123856217</v>
      </c>
      <c r="P765" s="310">
        <f t="shared" ca="1" si="337"/>
        <v>23</v>
      </c>
      <c r="Q765" s="304">
        <f t="shared" ca="1" si="338"/>
        <v>0</v>
      </c>
      <c r="R765" s="306">
        <f t="shared" ca="1" si="339"/>
        <v>0</v>
      </c>
      <c r="S765" s="307">
        <f t="shared" ca="1" si="340"/>
        <v>6.4679999999999849</v>
      </c>
      <c r="T765" s="304">
        <f t="shared" ca="1" si="320"/>
        <v>63.451079999999855</v>
      </c>
      <c r="U765" s="311">
        <f t="shared" ca="1" si="321"/>
        <v>0</v>
      </c>
      <c r="V765" s="306">
        <f t="shared" ca="1" si="322"/>
        <v>0.93632458555922327</v>
      </c>
      <c r="W765" s="304">
        <f t="shared" ca="1" si="323"/>
        <v>16.513096270584477</v>
      </c>
      <c r="Y765" s="314" t="str">
        <f t="shared" ca="1" si="341"/>
        <v/>
      </c>
      <c r="Z765" s="315" t="str">
        <f t="shared" ca="1" si="342"/>
        <v/>
      </c>
      <c r="AA765" s="316" t="str">
        <f t="shared" ca="1" si="343"/>
        <v/>
      </c>
      <c r="AC765" s="310" t="e">
        <f t="shared" ca="1" si="344"/>
        <v>#N/A</v>
      </c>
      <c r="AD765" s="323" t="e">
        <f t="shared" ca="1" si="345"/>
        <v>#N/A</v>
      </c>
      <c r="AE765" s="324" t="e">
        <f t="shared" ca="1" si="324"/>
        <v>#N/A</v>
      </c>
      <c r="AG765" s="306">
        <f t="shared" ca="1" si="346"/>
        <v>7.1661100655328411</v>
      </c>
      <c r="AH765" s="304">
        <f t="shared" ca="1" si="347"/>
        <v>-2.5057480541511001</v>
      </c>
    </row>
    <row r="766" spans="1:34" x14ac:dyDescent="0.2">
      <c r="A766" s="347">
        <f t="shared" ca="1" si="325"/>
        <v>0.1</v>
      </c>
      <c r="B766" s="304">
        <f t="shared" ca="1" si="326"/>
        <v>31.200000000000113</v>
      </c>
      <c r="D766" s="306">
        <f t="shared" ca="1" si="327"/>
        <v>-0.42180797003885129</v>
      </c>
      <c r="E766" s="307">
        <f t="shared" ca="1" si="328"/>
        <v>-7.2920409526525072</v>
      </c>
      <c r="F766" s="304">
        <f t="shared" ca="1" si="329"/>
        <v>7.3042305014799185</v>
      </c>
      <c r="G766" s="306">
        <f t="shared" ca="1" si="330"/>
        <v>13.25245245221582</v>
      </c>
      <c r="H766" s="307">
        <f t="shared" ca="1" si="331"/>
        <v>-80.09077250744167</v>
      </c>
      <c r="I766" s="304">
        <f t="shared" ca="1" si="332"/>
        <v>81.179796358681614</v>
      </c>
      <c r="J766" s="306">
        <f t="shared" ca="1" si="333"/>
        <v>603.5937577248867</v>
      </c>
      <c r="K766" s="307">
        <f t="shared" ca="1" si="334"/>
        <v>2663.309765707138</v>
      </c>
      <c r="L766" s="304">
        <f t="shared" ca="1" si="319"/>
        <v>2730.8504778686547</v>
      </c>
      <c r="M766" s="306">
        <f t="shared" ca="1" si="335"/>
        <v>-1.4068142369268726</v>
      </c>
      <c r="N766" s="304">
        <f t="shared" ca="1" si="336"/>
        <v>-80.604518334827247</v>
      </c>
      <c r="P766" s="310">
        <f t="shared" ca="1" si="337"/>
        <v>23</v>
      </c>
      <c r="Q766" s="304">
        <f t="shared" ca="1" si="338"/>
        <v>0</v>
      </c>
      <c r="R766" s="306">
        <f t="shared" ca="1" si="339"/>
        <v>0</v>
      </c>
      <c r="S766" s="307">
        <f t="shared" ca="1" si="340"/>
        <v>6.4679999999999849</v>
      </c>
      <c r="T766" s="304">
        <f t="shared" ca="1" si="320"/>
        <v>63.451079999999855</v>
      </c>
      <c r="U766" s="311">
        <f t="shared" ca="1" si="321"/>
        <v>0</v>
      </c>
      <c r="V766" s="306">
        <f t="shared" ca="1" si="322"/>
        <v>0.93708490756915308</v>
      </c>
      <c r="W766" s="304">
        <f t="shared" ca="1" si="323"/>
        <v>16.820417896829724</v>
      </c>
      <c r="Y766" s="314" t="str">
        <f t="shared" ca="1" si="341"/>
        <v/>
      </c>
      <c r="Z766" s="315" t="str">
        <f t="shared" ca="1" si="342"/>
        <v/>
      </c>
      <c r="AA766" s="316" t="str">
        <f t="shared" ca="1" si="343"/>
        <v/>
      </c>
      <c r="AC766" s="310" t="e">
        <f t="shared" ca="1" si="344"/>
        <v>#N/A</v>
      </c>
      <c r="AD766" s="323" t="e">
        <f t="shared" ca="1" si="345"/>
        <v>#N/A</v>
      </c>
      <c r="AE766" s="324" t="e">
        <f t="shared" ca="1" si="324"/>
        <v>#N/A</v>
      </c>
      <c r="AG766" s="306">
        <f t="shared" ca="1" si="346"/>
        <v>7.122137366852229</v>
      </c>
      <c r="AH766" s="304">
        <f t="shared" ca="1" si="347"/>
        <v>-2.5530451871652002</v>
      </c>
    </row>
    <row r="767" spans="1:34" x14ac:dyDescent="0.2">
      <c r="A767" s="347">
        <f t="shared" ca="1" si="325"/>
        <v>0.1</v>
      </c>
      <c r="B767" s="304">
        <f t="shared" ca="1" si="326"/>
        <v>31.300000000000114</v>
      </c>
      <c r="D767" s="306">
        <f t="shared" ca="1" si="327"/>
        <v>-0.42453653155096965</v>
      </c>
      <c r="E767" s="307">
        <f t="shared" ca="1" si="328"/>
        <v>-7.2443270506236033</v>
      </c>
      <c r="F767" s="304">
        <f t="shared" ca="1" si="329"/>
        <v>7.2567558649177526</v>
      </c>
      <c r="G767" s="306">
        <f t="shared" ca="1" si="330"/>
        <v>13.209998799060724</v>
      </c>
      <c r="H767" s="307">
        <f t="shared" ca="1" si="331"/>
        <v>-80.815205212504026</v>
      </c>
      <c r="I767" s="304">
        <f t="shared" ca="1" si="332"/>
        <v>81.887736944003549</v>
      </c>
      <c r="J767" s="306">
        <f t="shared" ca="1" si="333"/>
        <v>604.91688028745057</v>
      </c>
      <c r="K767" s="307">
        <f t="shared" ca="1" si="334"/>
        <v>2655.2644668211406</v>
      </c>
      <c r="L767" s="304">
        <f t="shared" ca="1" si="319"/>
        <v>2723.2983348909202</v>
      </c>
      <c r="M767" s="306">
        <f t="shared" ca="1" si="335"/>
        <v>-1.4087699210602667</v>
      </c>
      <c r="N767" s="304">
        <f t="shared" ca="1" si="336"/>
        <v>-80.716570781731434</v>
      </c>
      <c r="P767" s="310">
        <f t="shared" ca="1" si="337"/>
        <v>23</v>
      </c>
      <c r="Q767" s="304">
        <f t="shared" ca="1" si="338"/>
        <v>0</v>
      </c>
      <c r="R767" s="306">
        <f t="shared" ca="1" si="339"/>
        <v>0</v>
      </c>
      <c r="S767" s="307">
        <f t="shared" ca="1" si="340"/>
        <v>6.4679999999999849</v>
      </c>
      <c r="T767" s="304">
        <f t="shared" ca="1" si="320"/>
        <v>63.451079999999855</v>
      </c>
      <c r="U767" s="311">
        <f t="shared" ca="1" si="321"/>
        <v>0</v>
      </c>
      <c r="V767" s="306">
        <f t="shared" ca="1" si="322"/>
        <v>0.93785270347477023</v>
      </c>
      <c r="W767" s="304">
        <f t="shared" ca="1" si="323"/>
        <v>17.129090183336803</v>
      </c>
      <c r="Y767" s="314" t="str">
        <f t="shared" ca="1" si="341"/>
        <v/>
      </c>
      <c r="Z767" s="315" t="str">
        <f t="shared" ca="1" si="342"/>
        <v/>
      </c>
      <c r="AA767" s="316" t="str">
        <f t="shared" ca="1" si="343"/>
        <v/>
      </c>
      <c r="AC767" s="310" t="e">
        <f t="shared" ca="1" si="344"/>
        <v>#N/A</v>
      </c>
      <c r="AD767" s="323" t="e">
        <f t="shared" ca="1" si="345"/>
        <v>#N/A</v>
      </c>
      <c r="AE767" s="324" t="e">
        <f t="shared" ca="1" si="324"/>
        <v>#N/A</v>
      </c>
      <c r="AG767" s="306">
        <f t="shared" ca="1" si="346"/>
        <v>7.0778398734052272</v>
      </c>
      <c r="AH767" s="304">
        <f t="shared" ca="1" si="347"/>
        <v>-2.6005593532513549</v>
      </c>
    </row>
    <row r="768" spans="1:34" x14ac:dyDescent="0.2">
      <c r="A768" s="347">
        <f t="shared" ca="1" si="325"/>
        <v>0.1</v>
      </c>
      <c r="B768" s="304">
        <f t="shared" ca="1" si="326"/>
        <v>31.400000000000116</v>
      </c>
      <c r="D768" s="306">
        <f t="shared" ca="1" si="327"/>
        <v>-0.42721667313480799</v>
      </c>
      <c r="E768" s="307">
        <f t="shared" ca="1" si="328"/>
        <v>-7.1964037662102109</v>
      </c>
      <c r="F768" s="304">
        <f t="shared" ca="1" si="329"/>
        <v>7.2090735363241292</v>
      </c>
      <c r="G768" s="306">
        <f t="shared" ca="1" si="330"/>
        <v>13.167277131747243</v>
      </c>
      <c r="H768" s="307">
        <f t="shared" ca="1" si="331"/>
        <v>-81.534845589125041</v>
      </c>
      <c r="I768" s="304">
        <f t="shared" ca="1" si="332"/>
        <v>82.591211592436991</v>
      </c>
      <c r="J768" s="306">
        <f t="shared" ca="1" si="333"/>
        <v>606.23574408399099</v>
      </c>
      <c r="K768" s="307">
        <f t="shared" ca="1" si="334"/>
        <v>2647.1469642810589</v>
      </c>
      <c r="L768" s="304">
        <f t="shared" ca="1" si="319"/>
        <v>2715.678336605331</v>
      </c>
      <c r="M768" s="306">
        <f t="shared" ca="1" si="335"/>
        <v>-1.4106860262406027</v>
      </c>
      <c r="N768" s="304">
        <f t="shared" ca="1" si="336"/>
        <v>-80.826355521667836</v>
      </c>
      <c r="P768" s="310">
        <f t="shared" ca="1" si="337"/>
        <v>23</v>
      </c>
      <c r="Q768" s="304">
        <f t="shared" ca="1" si="338"/>
        <v>0</v>
      </c>
      <c r="R768" s="306">
        <f t="shared" ca="1" si="339"/>
        <v>0</v>
      </c>
      <c r="S768" s="307">
        <f t="shared" ca="1" si="340"/>
        <v>6.4679999999999849</v>
      </c>
      <c r="T768" s="304">
        <f t="shared" ca="1" si="320"/>
        <v>63.451079999999855</v>
      </c>
      <c r="U768" s="311">
        <f t="shared" ca="1" si="321"/>
        <v>0</v>
      </c>
      <c r="V768" s="306">
        <f t="shared" ca="1" si="322"/>
        <v>0.93862794294939234</v>
      </c>
      <c r="W768" s="304">
        <f t="shared" ca="1" si="323"/>
        <v>17.439060180748228</v>
      </c>
      <c r="Y768" s="314" t="str">
        <f t="shared" ca="1" si="341"/>
        <v/>
      </c>
      <c r="Z768" s="315" t="str">
        <f t="shared" ca="1" si="342"/>
        <v/>
      </c>
      <c r="AA768" s="316" t="str">
        <f t="shared" ca="1" si="343"/>
        <v/>
      </c>
      <c r="AC768" s="310" t="e">
        <f t="shared" ca="1" si="344"/>
        <v>#N/A</v>
      </c>
      <c r="AD768" s="323" t="e">
        <f t="shared" ca="1" si="345"/>
        <v>#N/A</v>
      </c>
      <c r="AE768" s="324" t="e">
        <f t="shared" ca="1" si="324"/>
        <v>#N/A</v>
      </c>
      <c r="AG768" s="306">
        <f t="shared" ca="1" si="346"/>
        <v>7.0332303335370163</v>
      </c>
      <c r="AH768" s="304">
        <f t="shared" ca="1" si="347"/>
        <v>-2.648282341270384</v>
      </c>
    </row>
    <row r="769" spans="1:34" x14ac:dyDescent="0.2">
      <c r="A769" s="347">
        <f t="shared" ca="1" si="325"/>
        <v>0.1</v>
      </c>
      <c r="B769" s="304">
        <f t="shared" ca="1" si="326"/>
        <v>31.500000000000117</v>
      </c>
      <c r="D769" s="306">
        <f t="shared" ca="1" si="327"/>
        <v>-0.4298482908670796</v>
      </c>
      <c r="E769" s="307">
        <f t="shared" ca="1" si="328"/>
        <v>-7.148279306198063</v>
      </c>
      <c r="F769" s="304">
        <f t="shared" ca="1" si="329"/>
        <v>7.161191701985139</v>
      </c>
      <c r="G769" s="306">
        <f t="shared" ca="1" si="330"/>
        <v>13.124292302660535</v>
      </c>
      <c r="H769" s="307">
        <f t="shared" ca="1" si="331"/>
        <v>-82.249673519744846</v>
      </c>
      <c r="I769" s="304">
        <f t="shared" ca="1" si="332"/>
        <v>83.290190554172057</v>
      </c>
      <c r="J769" s="306">
        <f t="shared" ca="1" si="333"/>
        <v>607.55032255571143</v>
      </c>
      <c r="K769" s="307">
        <f t="shared" ca="1" si="334"/>
        <v>2638.9577383256155</v>
      </c>
      <c r="L769" s="304">
        <f t="shared" ca="1" si="319"/>
        <v>2707.9910153296664</v>
      </c>
      <c r="M769" s="306">
        <f t="shared" ca="1" si="335"/>
        <v>-1.4125637752693823</v>
      </c>
      <c r="N769" s="304">
        <f t="shared" ca="1" si="336"/>
        <v>-80.933942616001701</v>
      </c>
      <c r="P769" s="310">
        <f t="shared" ca="1" si="337"/>
        <v>23</v>
      </c>
      <c r="Q769" s="304">
        <f t="shared" ca="1" si="338"/>
        <v>0</v>
      </c>
      <c r="R769" s="306">
        <f t="shared" ca="1" si="339"/>
        <v>0</v>
      </c>
      <c r="S769" s="307">
        <f t="shared" ca="1" si="340"/>
        <v>6.4679999999999849</v>
      </c>
      <c r="T769" s="304">
        <f t="shared" ca="1" si="320"/>
        <v>63.451079999999855</v>
      </c>
      <c r="U769" s="311">
        <f t="shared" ca="1" si="321"/>
        <v>0</v>
      </c>
      <c r="V769" s="306">
        <f t="shared" ca="1" si="322"/>
        <v>0.93941059550403405</v>
      </c>
      <c r="W769" s="304">
        <f t="shared" ca="1" si="323"/>
        <v>17.750275115409849</v>
      </c>
      <c r="Y769" s="314" t="str">
        <f t="shared" ca="1" si="341"/>
        <v/>
      </c>
      <c r="Z769" s="315" t="str">
        <f t="shared" ca="1" si="342"/>
        <v/>
      </c>
      <c r="AA769" s="316" t="str">
        <f t="shared" ca="1" si="343"/>
        <v/>
      </c>
      <c r="AC769" s="310" t="e">
        <f t="shared" ca="1" si="344"/>
        <v>#N/A</v>
      </c>
      <c r="AD769" s="323" t="e">
        <f t="shared" ca="1" si="345"/>
        <v>#N/A</v>
      </c>
      <c r="AE769" s="324" t="e">
        <f t="shared" ca="1" si="324"/>
        <v>#N/A</v>
      </c>
      <c r="AG769" s="306">
        <f t="shared" ca="1" si="346"/>
        <v>6.9883212361204192</v>
      </c>
      <c r="AH769" s="304">
        <f t="shared" ca="1" si="347"/>
        <v>-2.6962059648652241</v>
      </c>
    </row>
    <row r="770" spans="1:34" x14ac:dyDescent="0.2">
      <c r="A770" s="347">
        <f t="shared" ca="1" si="325"/>
        <v>0.1</v>
      </c>
      <c r="B770" s="304">
        <f t="shared" ca="1" si="326"/>
        <v>31.600000000000119</v>
      </c>
      <c r="D770" s="306">
        <f t="shared" ca="1" si="327"/>
        <v>-0.43243129487410248</v>
      </c>
      <c r="E770" s="307">
        <f t="shared" ca="1" si="328"/>
        <v>-7.0999618506740152</v>
      </c>
      <c r="F770" s="304">
        <f t="shared" ca="1" si="329"/>
        <v>7.1131185218448936</v>
      </c>
      <c r="G770" s="306">
        <f t="shared" ca="1" si="330"/>
        <v>13.081049173173126</v>
      </c>
      <c r="H770" s="307">
        <f t="shared" ca="1" si="331"/>
        <v>-82.959669704812242</v>
      </c>
      <c r="I770" s="304">
        <f t="shared" ca="1" si="332"/>
        <v>83.984645293068397</v>
      </c>
      <c r="J770" s="306">
        <f t="shared" ca="1" si="333"/>
        <v>608.86058962950312</v>
      </c>
      <c r="K770" s="307">
        <f t="shared" ca="1" si="334"/>
        <v>2630.6972711643875</v>
      </c>
      <c r="L770" s="304">
        <f t="shared" ca="1" si="319"/>
        <v>2700.2369062946573</v>
      </c>
      <c r="M770" s="306">
        <f t="shared" ca="1" si="335"/>
        <v>-1.4144043412852161</v>
      </c>
      <c r="N770" s="304">
        <f t="shared" ca="1" si="336"/>
        <v>-81.039399280624181</v>
      </c>
      <c r="P770" s="310">
        <f t="shared" ca="1" si="337"/>
        <v>23</v>
      </c>
      <c r="Q770" s="304">
        <f t="shared" ca="1" si="338"/>
        <v>0</v>
      </c>
      <c r="R770" s="306">
        <f t="shared" ca="1" si="339"/>
        <v>0</v>
      </c>
      <c r="S770" s="307">
        <f t="shared" ca="1" si="340"/>
        <v>6.4679999999999849</v>
      </c>
      <c r="T770" s="304">
        <f t="shared" ca="1" si="320"/>
        <v>63.451079999999855</v>
      </c>
      <c r="U770" s="311">
        <f t="shared" ca="1" si="321"/>
        <v>0</v>
      </c>
      <c r="V770" s="306">
        <f t="shared" ca="1" si="322"/>
        <v>0.94020063049205693</v>
      </c>
      <c r="W770" s="304">
        <f t="shared" ca="1" si="323"/>
        <v>18.062682404537252</v>
      </c>
      <c r="Y770" s="314" t="str">
        <f t="shared" ca="1" si="341"/>
        <v/>
      </c>
      <c r="Z770" s="315" t="str">
        <f t="shared" ca="1" si="342"/>
        <v/>
      </c>
      <c r="AA770" s="316" t="str">
        <f t="shared" ca="1" si="343"/>
        <v/>
      </c>
      <c r="AC770" s="310" t="e">
        <f t="shared" ca="1" si="344"/>
        <v>#N/A</v>
      </c>
      <c r="AD770" s="323" t="e">
        <f t="shared" ca="1" si="345"/>
        <v>#N/A</v>
      </c>
      <c r="AE770" s="324" t="e">
        <f t="shared" ca="1" si="324"/>
        <v>#N/A</v>
      </c>
      <c r="AG770" s="306">
        <f t="shared" ca="1" si="346"/>
        <v>6.9431248224808915</v>
      </c>
      <c r="AH770" s="304">
        <f t="shared" ca="1" si="347"/>
        <v>-2.7443220648438298</v>
      </c>
    </row>
    <row r="771" spans="1:34" x14ac:dyDescent="0.2">
      <c r="A771" s="347">
        <f t="shared" ca="1" si="325"/>
        <v>0.1</v>
      </c>
      <c r="B771" s="304">
        <f t="shared" ca="1" si="326"/>
        <v>31.70000000000012</v>
      </c>
      <c r="D771" s="306">
        <f t="shared" ca="1" si="327"/>
        <v>-0.43496560910486803</v>
      </c>
      <c r="E771" s="307">
        <f t="shared" ca="1" si="328"/>
        <v>-7.0514595506379294</v>
      </c>
      <c r="F771" s="304">
        <f t="shared" ca="1" si="329"/>
        <v>7.0648621271321943</v>
      </c>
      <c r="G771" s="306">
        <f t="shared" ca="1" si="330"/>
        <v>13.037552612262639</v>
      </c>
      <c r="H771" s="307">
        <f t="shared" ca="1" si="331"/>
        <v>-83.664815659876041</v>
      </c>
      <c r="I771" s="304">
        <f t="shared" ca="1" si="332"/>
        <v>84.67454846362368</v>
      </c>
      <c r="J771" s="306">
        <f t="shared" ca="1" si="333"/>
        <v>610.16651971877491</v>
      </c>
      <c r="K771" s="307">
        <f t="shared" ca="1" si="334"/>
        <v>2622.366046896153</v>
      </c>
      <c r="L771" s="304">
        <f t="shared" ca="1" si="319"/>
        <v>2692.4165475831333</v>
      </c>
      <c r="M771" s="306">
        <f t="shared" ca="1" si="335"/>
        <v>-1.4162088502317507</v>
      </c>
      <c r="N771" s="304">
        <f t="shared" ca="1" si="336"/>
        <v>-81.142790027354209</v>
      </c>
      <c r="P771" s="310">
        <f t="shared" ca="1" si="337"/>
        <v>23</v>
      </c>
      <c r="Q771" s="304">
        <f t="shared" ca="1" si="338"/>
        <v>0</v>
      </c>
      <c r="R771" s="306">
        <f t="shared" ca="1" si="339"/>
        <v>0</v>
      </c>
      <c r="S771" s="307">
        <f t="shared" ca="1" si="340"/>
        <v>6.4679999999999849</v>
      </c>
      <c r="T771" s="304">
        <f t="shared" ca="1" si="320"/>
        <v>63.451079999999855</v>
      </c>
      <c r="U771" s="311">
        <f t="shared" ca="1" si="321"/>
        <v>0</v>
      </c>
      <c r="V771" s="306">
        <f t="shared" ca="1" si="322"/>
        <v>0.94099801711381681</v>
      </c>
      <c r="W771" s="304">
        <f t="shared" ca="1" si="323"/>
        <v>18.376229671130389</v>
      </c>
      <c r="Y771" s="314" t="str">
        <f t="shared" ca="1" si="341"/>
        <v/>
      </c>
      <c r="Z771" s="315" t="str">
        <f t="shared" ca="1" si="342"/>
        <v/>
      </c>
      <c r="AA771" s="316" t="str">
        <f t="shared" ca="1" si="343"/>
        <v/>
      </c>
      <c r="AC771" s="310" t="e">
        <f t="shared" ca="1" si="344"/>
        <v>#N/A</v>
      </c>
      <c r="AD771" s="323" t="e">
        <f t="shared" ca="1" si="345"/>
        <v>#N/A</v>
      </c>
      <c r="AE771" s="324" t="e">
        <f t="shared" ca="1" si="324"/>
        <v>#N/A</v>
      </c>
      <c r="AG771" s="306">
        <f t="shared" ca="1" si="346"/>
        <v>6.8976530973601475</v>
      </c>
      <c r="AH771" s="304">
        <f t="shared" ca="1" si="347"/>
        <v>-2.7926225115240095</v>
      </c>
    </row>
    <row r="772" spans="1:34" x14ac:dyDescent="0.2">
      <c r="A772" s="347">
        <f t="shared" ca="1" si="325"/>
        <v>0.1</v>
      </c>
      <c r="B772" s="304">
        <f t="shared" ca="1" si="326"/>
        <v>31.800000000000122</v>
      </c>
      <c r="D772" s="306">
        <f t="shared" ca="1" si="327"/>
        <v>-0.43745117110776088</v>
      </c>
      <c r="E772" s="307">
        <f t="shared" ca="1" si="328"/>
        <v>-7.0027805256560374</v>
      </c>
      <c r="F772" s="304">
        <f t="shared" ca="1" si="329"/>
        <v>7.0164306180287284</v>
      </c>
      <c r="G772" s="306">
        <f t="shared" ca="1" si="330"/>
        <v>12.993807495151863</v>
      </c>
      <c r="H772" s="307">
        <f t="shared" ca="1" si="331"/>
        <v>-84.365093712441649</v>
      </c>
      <c r="I772" s="304">
        <f t="shared" ca="1" si="332"/>
        <v>85.359873888907103</v>
      </c>
      <c r="J772" s="306">
        <f t="shared" ca="1" si="333"/>
        <v>611.46808772414568</v>
      </c>
      <c r="K772" s="307">
        <f t="shared" ca="1" si="334"/>
        <v>2613.9645514275371</v>
      </c>
      <c r="L772" s="304">
        <f t="shared" ref="L772:L835" ca="1" si="348">SQRT(pos_x^2+pos_z^2)</f>
        <v>2684.530480069986</v>
      </c>
      <c r="M772" s="306">
        <f t="shared" ca="1" si="335"/>
        <v>-1.4179783831814115</v>
      </c>
      <c r="N772" s="304">
        <f t="shared" ca="1" si="336"/>
        <v>-81.244176797079106</v>
      </c>
      <c r="P772" s="310">
        <f t="shared" ca="1" si="337"/>
        <v>23</v>
      </c>
      <c r="Q772" s="304">
        <f t="shared" ca="1" si="338"/>
        <v>0</v>
      </c>
      <c r="R772" s="306">
        <f t="shared" ca="1" si="339"/>
        <v>0</v>
      </c>
      <c r="S772" s="307">
        <f t="shared" ca="1" si="340"/>
        <v>6.4679999999999849</v>
      </c>
      <c r="T772" s="304">
        <f t="shared" ref="T772:T835" ca="1" si="349">m*g</f>
        <v>63.451079999999855</v>
      </c>
      <c r="U772" s="311">
        <f t="shared" ref="U772:U835" ca="1" si="350">IF(pos_xz&lt;L_rampe,Poids*COS(Beta),0)</f>
        <v>0</v>
      </c>
      <c r="V772" s="306">
        <f t="shared" ref="V772:V835" ca="1" si="351">Rho_moyen*(20000-Alt_rampe-pos_z)/(20000+Alt_rampe+pos_z)</f>
        <v>0.94180272442130497</v>
      </c>
      <c r="W772" s="304">
        <f t="shared" ref="W772:W835" ca="1" si="352">1/2*Rho*Sref*Cx*vit_xz^2</f>
        <v>18.690864758631069</v>
      </c>
      <c r="Y772" s="314" t="str">
        <f t="shared" ca="1" si="341"/>
        <v/>
      </c>
      <c r="Z772" s="315" t="str">
        <f t="shared" ca="1" si="342"/>
        <v/>
      </c>
      <c r="AA772" s="316" t="str">
        <f t="shared" ca="1" si="343"/>
        <v/>
      </c>
      <c r="AC772" s="310" t="e">
        <f t="shared" ca="1" si="344"/>
        <v>#N/A</v>
      </c>
      <c r="AD772" s="323" t="e">
        <f t="shared" ca="1" si="345"/>
        <v>#N/A</v>
      </c>
      <c r="AE772" s="324" t="e">
        <f t="shared" ref="AE772:AE835" ca="1" si="353">IF(t&lt;T_para, pos_z, NA())</f>
        <v>#N/A</v>
      </c>
      <c r="AG772" s="306">
        <f t="shared" ca="1" si="346"/>
        <v>6.8519178389975881</v>
      </c>
      <c r="AH772" s="304">
        <f t="shared" ca="1" si="347"/>
        <v>-2.841099207039337</v>
      </c>
    </row>
    <row r="773" spans="1:34" x14ac:dyDescent="0.2">
      <c r="A773" s="347">
        <f t="shared" ref="A773:A836" ca="1" si="354">IF(B772+0.01&lt;=T_ini+ROUNDUP(Temps_fin_propu,0), 0.01, IF(K772&gt;0, 0.1, 0.0001))</f>
        <v>0.1</v>
      </c>
      <c r="B773" s="304">
        <f t="shared" ref="B773:B836" ca="1" si="355">B772+pas</f>
        <v>31.900000000000123</v>
      </c>
      <c r="D773" s="306">
        <f t="shared" ref="D773:D836" ca="1" si="356">IF(AND(L772&lt;L_rampe,Poussee&lt;Poids*SIN(M772)),0,(-W772+Poussee)/m*COS(M772)-U772/m*SIN(M772))</f>
        <v>-0.43988793181050156</v>
      </c>
      <c r="E773" s="307">
        <f t="shared" ref="E773:E836" ca="1" si="357">IF(AND(L772&lt;L_rampe,Poussee&lt;Poids*SIN(M772)),0,(-W772+Poussee)/m*SIN(M772)+U772/m*COS(M772)-Poids/m)</f>
        <v>-6.9539328615564209</v>
      </c>
      <c r="F773" s="304">
        <f t="shared" ref="F773:F836" ca="1" si="358">SQRT(acc_x^2+acc_z^2)</f>
        <v>6.9678320613794069</v>
      </c>
      <c r="G773" s="306">
        <f t="shared" ref="G773:G836" ca="1" si="359">G772+acc_x*pas</f>
        <v>12.949818701970813</v>
      </c>
      <c r="H773" s="307">
        <f t="shared" ref="H773:H836" ca="1" si="360">H772+acc_z*pas</f>
        <v>-85.060486998597284</v>
      </c>
      <c r="I773" s="304">
        <f t="shared" ref="I773:I836" ca="1" si="361">SQRT(vit_x^2+vit_z^2)</f>
        <v>86.040596539380473</v>
      </c>
      <c r="J773" s="306">
        <f t="shared" ref="J773:J836" ca="1" si="362">J772+0.5*(vit_x+G772)*pas*(K772&gt;=0)</f>
        <v>612.76526903400179</v>
      </c>
      <c r="K773" s="307">
        <f t="shared" ref="K773:K836" ca="1" si="363">K772+0.5*(vit_z+H772)*pas</f>
        <v>2605.4932723919851</v>
      </c>
      <c r="L773" s="304">
        <f t="shared" ca="1" si="348"/>
        <v>2676.5792473629858</v>
      </c>
      <c r="M773" s="306">
        <f t="shared" ref="M773:M836" ca="1" si="364">IF(AND(L772&gt;L_rampe,G773&gt;0),ATAN2(G773,H773),$M$4)</f>
        <v>-1.419713978524582</v>
      </c>
      <c r="N773" s="304">
        <f t="shared" ref="N773:N836" ca="1" si="365">DEGREES(Beta)</f>
        <v>-81.343619085185338</v>
      </c>
      <c r="P773" s="310">
        <f t="shared" ref="P773:P836" ca="1" si="366">MATCH(t-pas/2-T_ini,CdP_t)</f>
        <v>23</v>
      </c>
      <c r="Q773" s="304">
        <f t="shared" ref="Q773:Q836" ca="1" si="367">(INDEX(CdP,2,i_P+1)-INDEX(CdP,2,i_P+0))/(INDEX(CdP,1,i_P+1)-INDEX(CdP,1,i_P+0))*(t-pas/2-T_ini-INDEX(CdP,1,i_P+0))+INDEX(CdP,2,i_P+0)</f>
        <v>0</v>
      </c>
      <c r="R773" s="306">
        <f t="shared" ref="R773:R836" ca="1" si="368">Poussee/(g*ISP)</f>
        <v>0</v>
      </c>
      <c r="S773" s="307">
        <f t="shared" ref="S773:S836" ca="1" si="369">S772-Débit*pas</f>
        <v>6.4679999999999849</v>
      </c>
      <c r="T773" s="304">
        <f t="shared" ca="1" si="349"/>
        <v>63.451079999999855</v>
      </c>
      <c r="U773" s="311">
        <f t="shared" ca="1" si="350"/>
        <v>0</v>
      </c>
      <c r="V773" s="306">
        <f t="shared" ca="1" si="351"/>
        <v>0.94261472132278312</v>
      </c>
      <c r="W773" s="304">
        <f t="shared" ca="1" si="352"/>
        <v>19.006535745318413</v>
      </c>
      <c r="Y773" s="314" t="str">
        <f t="shared" ref="Y773:Y836" ca="1" si="370">IF(AND(pos_z&lt;=0,K772&gt;0),"Impact balistique","") &amp; IF(AND(H774&lt;0,vit_z&gt;=0),"Apogée","") &amp; IF(AND(Poussee=0,Q772&gt;0),"Fin de propulsion","") &amp; IF(AND(L774&gt;L_rampe,pos_xz&lt;=L_rampe),"Sortie de rampe","")</f>
        <v/>
      </c>
      <c r="Z773" s="315" t="str">
        <f t="shared" ref="Z773:Z836" ca="1" si="371">IF(ABS(t-T_para)&lt;pas/2,"Para","")</f>
        <v/>
      </c>
      <c r="AA773" s="316" t="str">
        <f t="shared" ref="AA773:AA836" ca="1" si="372">IF(ABS(t-T_satellite)&lt;pas/2,"Satellite","")</f>
        <v/>
      </c>
      <c r="AC773" s="310" t="e">
        <f t="shared" ref="AC773:AC836" ca="1" si="373">IF(ABS(t-ROUND(t,0))&lt;0.001,t,NA())</f>
        <v>#N/A</v>
      </c>
      <c r="AD773" s="323" t="e">
        <f t="shared" ref="AD773:AD836" ca="1" si="374">IF(ABS(t-ROUND(t,0))&lt;0.001,pos_x,NA())</f>
        <v>#N/A</v>
      </c>
      <c r="AE773" s="324" t="e">
        <f t="shared" ca="1" si="353"/>
        <v>#N/A</v>
      </c>
      <c r="AG773" s="306">
        <f t="shared" ref="AG773:AG836" ca="1" si="375">IF(AND(L772&lt;L_rampe,Poussee&lt;Poids*SIN(M772)),0,(-W772+Poussee)/m-Poids*SIN(M772)/m)</f>
        <v>6.805930608402015</v>
      </c>
      <c r="AH773" s="304">
        <f t="shared" ref="AH773:AH836" ca="1" si="376">IF(AND(L772&lt;L_rampe,Poussee&lt;Poids*SIN(M772)), g*SIN(M772), (-W772+Poussee)/m)</f>
        <v>-2.8897440876053051</v>
      </c>
    </row>
    <row r="774" spans="1:34" x14ac:dyDescent="0.2">
      <c r="A774" s="347">
        <f t="shared" ca="1" si="354"/>
        <v>0.1</v>
      </c>
      <c r="B774" s="304">
        <f t="shared" ca="1" si="355"/>
        <v>32.000000000000121</v>
      </c>
      <c r="D774" s="306">
        <f t="shared" ca="1" si="356"/>
        <v>-0.44227585530296892</v>
      </c>
      <c r="E774" s="307">
        <f t="shared" ca="1" si="357"/>
        <v>-6.9049246081671924</v>
      </c>
      <c r="F774" s="304">
        <f t="shared" ca="1" si="358"/>
        <v>6.919074488445462</v>
      </c>
      <c r="G774" s="306">
        <f t="shared" ca="1" si="359"/>
        <v>12.905591116440515</v>
      </c>
      <c r="H774" s="307">
        <f t="shared" ca="1" si="360"/>
        <v>-85.750979459413998</v>
      </c>
      <c r="I774" s="304">
        <f t="shared" ca="1" si="361"/>
        <v>86.716692512535261</v>
      </c>
      <c r="J774" s="306">
        <f t="shared" ca="1" si="362"/>
        <v>614.05803952492238</v>
      </c>
      <c r="K774" s="307">
        <f t="shared" ca="1" si="363"/>
        <v>2596.9526990690847</v>
      </c>
      <c r="L774" s="304">
        <f t="shared" ca="1" si="348"/>
        <v>2668.5633957444957</v>
      </c>
      <c r="M774" s="306">
        <f t="shared" ca="1" si="364"/>
        <v>-1.4214166340331362</v>
      </c>
      <c r="N774" s="304">
        <f t="shared" ca="1" si="365"/>
        <v>-81.4411740597902</v>
      </c>
      <c r="P774" s="310">
        <f t="shared" ca="1" si="366"/>
        <v>23</v>
      </c>
      <c r="Q774" s="304">
        <f t="shared" ca="1" si="367"/>
        <v>0</v>
      </c>
      <c r="R774" s="306">
        <f t="shared" ca="1" si="368"/>
        <v>0</v>
      </c>
      <c r="S774" s="307">
        <f t="shared" ca="1" si="369"/>
        <v>6.4679999999999849</v>
      </c>
      <c r="T774" s="304">
        <f t="shared" ca="1" si="349"/>
        <v>63.451079999999855</v>
      </c>
      <c r="U774" s="311">
        <f t="shared" ca="1" si="350"/>
        <v>0</v>
      </c>
      <c r="V774" s="306">
        <f t="shared" ca="1" si="351"/>
        <v>0.94343397658741068</v>
      </c>
      <c r="W774" s="304">
        <f t="shared" ca="1" si="352"/>
        <v>19.32319095843733</v>
      </c>
      <c r="Y774" s="314" t="str">
        <f t="shared" ca="1" si="370"/>
        <v/>
      </c>
      <c r="Z774" s="315" t="str">
        <f t="shared" ca="1" si="371"/>
        <v/>
      </c>
      <c r="AA774" s="316" t="str">
        <f t="shared" ca="1" si="372"/>
        <v/>
      </c>
      <c r="AC774" s="310">
        <f t="shared" ca="1" si="373"/>
        <v>32.000000000000121</v>
      </c>
      <c r="AD774" s="323">
        <f t="shared" ca="1" si="374"/>
        <v>614.05803952492238</v>
      </c>
      <c r="AE774" s="324" t="e">
        <f t="shared" ca="1" si="353"/>
        <v>#N/A</v>
      </c>
      <c r="AG774" s="306">
        <f t="shared" ca="1" si="375"/>
        <v>6.7597027578797313</v>
      </c>
      <c r="AH774" s="304">
        <f t="shared" ca="1" si="376"/>
        <v>-2.9385491257449687</v>
      </c>
    </row>
    <row r="775" spans="1:34" x14ac:dyDescent="0.2">
      <c r="A775" s="347">
        <f t="shared" ca="1" si="354"/>
        <v>0.1</v>
      </c>
      <c r="B775" s="304">
        <f t="shared" ca="1" si="355"/>
        <v>32.100000000000122</v>
      </c>
      <c r="D775" s="306">
        <f t="shared" ca="1" si="356"/>
        <v>-0.44461491862254748</v>
      </c>
      <c r="E775" s="307">
        <f t="shared" ca="1" si="357"/>
        <v>-6.8557637770979802</v>
      </c>
      <c r="F775" s="304">
        <f t="shared" ca="1" si="358"/>
        <v>6.8701658927008813</v>
      </c>
      <c r="G775" s="306">
        <f t="shared" ca="1" si="359"/>
        <v>12.861129624578261</v>
      </c>
      <c r="H775" s="307">
        <f t="shared" ca="1" si="360"/>
        <v>-86.436555837123791</v>
      </c>
      <c r="I775" s="304">
        <f t="shared" ca="1" si="361"/>
        <v>87.388139013280423</v>
      </c>
      <c r="J775" s="306">
        <f t="shared" ca="1" si="362"/>
        <v>615.34637556197333</v>
      </c>
      <c r="K775" s="307">
        <f t="shared" ca="1" si="363"/>
        <v>2588.343322304258</v>
      </c>
      <c r="L775" s="304">
        <f t="shared" ca="1" si="348"/>
        <v>2660.4834741141131</v>
      </c>
      <c r="M775" s="306">
        <f t="shared" ca="1" si="364"/>
        <v>-1.4230873088065652</v>
      </c>
      <c r="N775" s="304">
        <f t="shared" ca="1" si="365"/>
        <v>-81.536896673246659</v>
      </c>
      <c r="P775" s="310">
        <f t="shared" ca="1" si="366"/>
        <v>23</v>
      </c>
      <c r="Q775" s="304">
        <f t="shared" ca="1" si="367"/>
        <v>0</v>
      </c>
      <c r="R775" s="306">
        <f t="shared" ca="1" si="368"/>
        <v>0</v>
      </c>
      <c r="S775" s="307">
        <f t="shared" ca="1" si="369"/>
        <v>6.4679999999999849</v>
      </c>
      <c r="T775" s="304">
        <f t="shared" ca="1" si="349"/>
        <v>63.451079999999855</v>
      </c>
      <c r="U775" s="311">
        <f t="shared" ca="1" si="350"/>
        <v>0</v>
      </c>
      <c r="V775" s="306">
        <f t="shared" ca="1" si="351"/>
        <v>0.94426045884986409</v>
      </c>
      <c r="W775" s="304">
        <f t="shared" ca="1" si="352"/>
        <v>19.640778988055661</v>
      </c>
      <c r="Y775" s="314" t="str">
        <f t="shared" ca="1" si="370"/>
        <v/>
      </c>
      <c r="Z775" s="315" t="str">
        <f t="shared" ca="1" si="371"/>
        <v/>
      </c>
      <c r="AA775" s="316" t="str">
        <f t="shared" ca="1" si="372"/>
        <v/>
      </c>
      <c r="AC775" s="310" t="e">
        <f t="shared" ca="1" si="373"/>
        <v>#N/A</v>
      </c>
      <c r="AD775" s="323" t="e">
        <f t="shared" ca="1" si="374"/>
        <v>#N/A</v>
      </c>
      <c r="AE775" s="324" t="e">
        <f t="shared" ca="1" si="353"/>
        <v>#N/A</v>
      </c>
      <c r="AG775" s="306">
        <f t="shared" ca="1" si="375"/>
        <v>6.7132454388797065</v>
      </c>
      <c r="AH775" s="304">
        <f t="shared" ca="1" si="376"/>
        <v>-2.9875063324733109</v>
      </c>
    </row>
    <row r="776" spans="1:34" x14ac:dyDescent="0.2">
      <c r="A776" s="347">
        <f t="shared" ca="1" si="354"/>
        <v>0.1</v>
      </c>
      <c r="B776" s="304">
        <f t="shared" ca="1" si="355"/>
        <v>32.200000000000124</v>
      </c>
      <c r="D776" s="306">
        <f t="shared" ca="1" si="356"/>
        <v>-0.44690511154172186</v>
      </c>
      <c r="E776" s="307">
        <f t="shared" ca="1" si="357"/>
        <v>-6.8064583395652694</v>
      </c>
      <c r="F776" s="304">
        <f t="shared" ca="1" si="358"/>
        <v>6.8211142276727577</v>
      </c>
      <c r="G776" s="306">
        <f t="shared" ca="1" si="359"/>
        <v>12.816439113424089</v>
      </c>
      <c r="H776" s="307">
        <f t="shared" ca="1" si="360"/>
        <v>-87.117201671080323</v>
      </c>
      <c r="I776" s="304">
        <f t="shared" ca="1" si="361"/>
        <v>88.054914335020442</v>
      </c>
      <c r="J776" s="306">
        <f t="shared" ca="1" si="362"/>
        <v>616.6302539988734</v>
      </c>
      <c r="K776" s="307">
        <f t="shared" ca="1" si="363"/>
        <v>2579.6656344288476</v>
      </c>
      <c r="L776" s="304">
        <f t="shared" ca="1" si="348"/>
        <v>2652.3400339322829</v>
      </c>
      <c r="M776" s="306">
        <f t="shared" ca="1" si="364"/>
        <v>-1.4247269251083439</v>
      </c>
      <c r="N776" s="304">
        <f t="shared" ca="1" si="365"/>
        <v>-81.630839767359419</v>
      </c>
      <c r="P776" s="310">
        <f t="shared" ca="1" si="366"/>
        <v>23</v>
      </c>
      <c r="Q776" s="304">
        <f t="shared" ca="1" si="367"/>
        <v>0</v>
      </c>
      <c r="R776" s="306">
        <f t="shared" ca="1" si="368"/>
        <v>0</v>
      </c>
      <c r="S776" s="307">
        <f t="shared" ca="1" si="369"/>
        <v>6.4679999999999849</v>
      </c>
      <c r="T776" s="304">
        <f t="shared" ca="1" si="349"/>
        <v>63.451079999999855</v>
      </c>
      <c r="U776" s="311">
        <f t="shared" ca="1" si="350"/>
        <v>0</v>
      </c>
      <c r="V776" s="306">
        <f t="shared" ca="1" si="351"/>
        <v>0.94509413661494435</v>
      </c>
      <c r="W776" s="304">
        <f t="shared" ca="1" si="352"/>
        <v>19.959248700645492</v>
      </c>
      <c r="Y776" s="314" t="str">
        <f t="shared" ca="1" si="370"/>
        <v/>
      </c>
      <c r="Z776" s="315" t="str">
        <f t="shared" ca="1" si="371"/>
        <v/>
      </c>
      <c r="AA776" s="316" t="str">
        <f t="shared" ca="1" si="372"/>
        <v/>
      </c>
      <c r="AC776" s="310" t="e">
        <f t="shared" ca="1" si="373"/>
        <v>#N/A</v>
      </c>
      <c r="AD776" s="323" t="e">
        <f t="shared" ca="1" si="374"/>
        <v>#N/A</v>
      </c>
      <c r="AE776" s="324" t="e">
        <f t="shared" ca="1" si="353"/>
        <v>#N/A</v>
      </c>
      <c r="AG776" s="306">
        <f t="shared" ca="1" si="375"/>
        <v>6.6665696092112778</v>
      </c>
      <c r="AH776" s="304">
        <f t="shared" ca="1" si="376"/>
        <v>-3.0366077594396579</v>
      </c>
    </row>
    <row r="777" spans="1:34" x14ac:dyDescent="0.2">
      <c r="A777" s="347">
        <f t="shared" ca="1" si="354"/>
        <v>0.1</v>
      </c>
      <c r="B777" s="304">
        <f t="shared" ca="1" si="355"/>
        <v>32.300000000000125</v>
      </c>
      <c r="D777" s="306">
        <f t="shared" ca="1" si="356"/>
        <v>-0.44914643635764273</v>
      </c>
      <c r="E777" s="307">
        <f t="shared" ca="1" si="357"/>
        <v>-6.757016224262145</v>
      </c>
      <c r="F777" s="304">
        <f t="shared" ca="1" si="358"/>
        <v>6.7719274048260898</v>
      </c>
      <c r="G777" s="306">
        <f t="shared" ca="1" si="359"/>
        <v>12.771524469788325</v>
      </c>
      <c r="H777" s="307">
        <f t="shared" ca="1" si="360"/>
        <v>-87.792903293506541</v>
      </c>
      <c r="I777" s="304">
        <f t="shared" ca="1" si="361"/>
        <v>88.716997841368567</v>
      </c>
      <c r="J777" s="306">
        <f t="shared" ca="1" si="362"/>
        <v>617.90965217803398</v>
      </c>
      <c r="K777" s="307">
        <f t="shared" ca="1" si="363"/>
        <v>2570.9201291806185</v>
      </c>
      <c r="L777" s="304">
        <f t="shared" ca="1" si="348"/>
        <v>2644.1336291649231</v>
      </c>
      <c r="M777" s="306">
        <f t="shared" ca="1" si="364"/>
        <v>-1.4263363700996217</v>
      </c>
      <c r="N777" s="304">
        <f t="shared" ca="1" si="365"/>
        <v>-81.723054172718108</v>
      </c>
      <c r="P777" s="310">
        <f t="shared" ca="1" si="366"/>
        <v>23</v>
      </c>
      <c r="Q777" s="304">
        <f t="shared" ca="1" si="367"/>
        <v>0</v>
      </c>
      <c r="R777" s="306">
        <f t="shared" ca="1" si="368"/>
        <v>0</v>
      </c>
      <c r="S777" s="307">
        <f t="shared" ca="1" si="369"/>
        <v>6.4679999999999849</v>
      </c>
      <c r="T777" s="304">
        <f t="shared" ca="1" si="349"/>
        <v>63.451079999999855</v>
      </c>
      <c r="U777" s="311">
        <f t="shared" ca="1" si="350"/>
        <v>0</v>
      </c>
      <c r="V777" s="306">
        <f t="shared" ca="1" si="351"/>
        <v>0.94593497826217465</v>
      </c>
      <c r="W777" s="304">
        <f t="shared" ca="1" si="352"/>
        <v>20.27854925238486</v>
      </c>
      <c r="Y777" s="314" t="str">
        <f t="shared" ca="1" si="370"/>
        <v/>
      </c>
      <c r="Z777" s="315" t="str">
        <f t="shared" ca="1" si="371"/>
        <v/>
      </c>
      <c r="AA777" s="316" t="str">
        <f t="shared" ca="1" si="372"/>
        <v/>
      </c>
      <c r="AC777" s="310" t="e">
        <f t="shared" ca="1" si="373"/>
        <v>#N/A</v>
      </c>
      <c r="AD777" s="323" t="e">
        <f t="shared" ca="1" si="374"/>
        <v>#N/A</v>
      </c>
      <c r="AE777" s="324" t="e">
        <f t="shared" ca="1" si="353"/>
        <v>#N/A</v>
      </c>
      <c r="AG777" s="306">
        <f t="shared" ca="1" si="375"/>
        <v>6.6196860396852779</v>
      </c>
      <c r="AH777" s="304">
        <f t="shared" ca="1" si="376"/>
        <v>-3.0858455010274488</v>
      </c>
    </row>
    <row r="778" spans="1:34" x14ac:dyDescent="0.2">
      <c r="A778" s="347">
        <f t="shared" ca="1" si="354"/>
        <v>0.1</v>
      </c>
      <c r="B778" s="304">
        <f t="shared" ca="1" si="355"/>
        <v>32.400000000000126</v>
      </c>
      <c r="D778" s="306">
        <f t="shared" ca="1" si="356"/>
        <v>-0.45133890768343321</v>
      </c>
      <c r="E778" s="307">
        <f t="shared" ca="1" si="357"/>
        <v>-6.707445315272901</v>
      </c>
      <c r="F778" s="304">
        <f t="shared" ca="1" si="358"/>
        <v>6.7226132914935137</v>
      </c>
      <c r="G778" s="306">
        <f t="shared" ca="1" si="359"/>
        <v>12.726390579019982</v>
      </c>
      <c r="H778" s="307">
        <f t="shared" ca="1" si="360"/>
        <v>-88.463647825033831</v>
      </c>
      <c r="I778" s="304">
        <f t="shared" ca="1" si="361"/>
        <v>89.374369948444297</v>
      </c>
      <c r="J778" s="306">
        <f t="shared" ca="1" si="362"/>
        <v>619.18454793047442</v>
      </c>
      <c r="K778" s="307">
        <f t="shared" ca="1" si="363"/>
        <v>2562.1073016246914</v>
      </c>
      <c r="L778" s="304">
        <f t="shared" ca="1" si="348"/>
        <v>2635.864816229092</v>
      </c>
      <c r="M778" s="306">
        <f t="shared" ca="1" si="364"/>
        <v>-1.4279164974768086</v>
      </c>
      <c r="N778" s="304">
        <f t="shared" ca="1" si="365"/>
        <v>-81.813588802523995</v>
      </c>
      <c r="P778" s="310">
        <f t="shared" ca="1" si="366"/>
        <v>23</v>
      </c>
      <c r="Q778" s="304">
        <f t="shared" ca="1" si="367"/>
        <v>0</v>
      </c>
      <c r="R778" s="306">
        <f t="shared" ca="1" si="368"/>
        <v>0</v>
      </c>
      <c r="S778" s="307">
        <f t="shared" ca="1" si="369"/>
        <v>6.4679999999999849</v>
      </c>
      <c r="T778" s="304">
        <f t="shared" ca="1" si="349"/>
        <v>63.451079999999855</v>
      </c>
      <c r="U778" s="311">
        <f t="shared" ca="1" si="350"/>
        <v>0</v>
      </c>
      <c r="V778" s="306">
        <f t="shared" ca="1" si="351"/>
        <v>0.94678295205038421</v>
      </c>
      <c r="W778" s="304">
        <f t="shared" ca="1" si="352"/>
        <v>20.598630102175907</v>
      </c>
      <c r="Y778" s="314" t="str">
        <f t="shared" ca="1" si="370"/>
        <v/>
      </c>
      <c r="Z778" s="315" t="str">
        <f t="shared" ca="1" si="371"/>
        <v/>
      </c>
      <c r="AA778" s="316" t="str">
        <f t="shared" ca="1" si="372"/>
        <v/>
      </c>
      <c r="AC778" s="310" t="e">
        <f t="shared" ca="1" si="373"/>
        <v>#N/A</v>
      </c>
      <c r="AD778" s="323" t="e">
        <f t="shared" ca="1" si="374"/>
        <v>#N/A</v>
      </c>
      <c r="AE778" s="324" t="e">
        <f t="shared" ca="1" si="353"/>
        <v>#N/A</v>
      </c>
      <c r="AG778" s="306">
        <f t="shared" ca="1" si="375"/>
        <v>6.5726053202252492</v>
      </c>
      <c r="AH778" s="304">
        <f t="shared" ca="1" si="376"/>
        <v>-3.135211696410777</v>
      </c>
    </row>
    <row r="779" spans="1:34" x14ac:dyDescent="0.2">
      <c r="A779" s="347">
        <f t="shared" ca="1" si="354"/>
        <v>0.1</v>
      </c>
      <c r="B779" s="304">
        <f t="shared" ca="1" si="355"/>
        <v>32.500000000000128</v>
      </c>
      <c r="D779" s="306">
        <f t="shared" ca="1" si="356"/>
        <v>-0.4534825522410264</v>
      </c>
      <c r="E779" s="307">
        <f t="shared" ca="1" si="357"/>
        <v>-6.6577534500330469</v>
      </c>
      <c r="F779" s="304">
        <f t="shared" ca="1" si="358"/>
        <v>6.6731797088504941</v>
      </c>
      <c r="G779" s="306">
        <f t="shared" ca="1" si="359"/>
        <v>12.68104232379588</v>
      </c>
      <c r="H779" s="307">
        <f t="shared" ca="1" si="360"/>
        <v>-89.129423170037143</v>
      </c>
      <c r="I779" s="304">
        <f t="shared" ca="1" si="361"/>
        <v>90.027012107708302</v>
      </c>
      <c r="J779" s="306">
        <f t="shared" ca="1" si="362"/>
        <v>620.45491957561524</v>
      </c>
      <c r="K779" s="307">
        <f t="shared" ca="1" si="363"/>
        <v>2553.2276480749379</v>
      </c>
      <c r="L779" s="304">
        <f t="shared" ca="1" si="348"/>
        <v>2627.5341539397468</v>
      </c>
      <c r="M779" s="306">
        <f t="shared" ca="1" si="364"/>
        <v>-1.4294681290191582</v>
      </c>
      <c r="N779" s="304">
        <f t="shared" ca="1" si="365"/>
        <v>-81.90249074126001</v>
      </c>
      <c r="P779" s="310">
        <f t="shared" ca="1" si="366"/>
        <v>23</v>
      </c>
      <c r="Q779" s="304">
        <f t="shared" ca="1" si="367"/>
        <v>0</v>
      </c>
      <c r="R779" s="306">
        <f t="shared" ca="1" si="368"/>
        <v>0</v>
      </c>
      <c r="S779" s="307">
        <f t="shared" ca="1" si="369"/>
        <v>6.4679999999999849</v>
      </c>
      <c r="T779" s="304">
        <f t="shared" ca="1" si="349"/>
        <v>63.451079999999855</v>
      </c>
      <c r="U779" s="311">
        <f t="shared" ca="1" si="350"/>
        <v>0</v>
      </c>
      <c r="V779" s="306">
        <f t="shared" ca="1" si="351"/>
        <v>0.94763802612228154</v>
      </c>
      <c r="W779" s="304">
        <f t="shared" ca="1" si="352"/>
        <v>20.919441024376106</v>
      </c>
      <c r="Y779" s="314" t="str">
        <f t="shared" ca="1" si="370"/>
        <v/>
      </c>
      <c r="Z779" s="315" t="str">
        <f t="shared" ca="1" si="371"/>
        <v/>
      </c>
      <c r="AA779" s="316" t="str">
        <f t="shared" ca="1" si="372"/>
        <v/>
      </c>
      <c r="AC779" s="310" t="e">
        <f t="shared" ca="1" si="373"/>
        <v>#N/A</v>
      </c>
      <c r="AD779" s="323" t="e">
        <f t="shared" ca="1" si="374"/>
        <v>#N/A</v>
      </c>
      <c r="AE779" s="324" t="e">
        <f t="shared" ca="1" si="353"/>
        <v>#N/A</v>
      </c>
      <c r="AG779" s="306">
        <f t="shared" ca="1" si="375"/>
        <v>6.5253378654915926</v>
      </c>
      <c r="AH779" s="304">
        <f t="shared" ca="1" si="376"/>
        <v>-3.1846985315670926</v>
      </c>
    </row>
    <row r="780" spans="1:34" x14ac:dyDescent="0.2">
      <c r="A780" s="347">
        <f t="shared" ca="1" si="354"/>
        <v>0.1</v>
      </c>
      <c r="B780" s="304">
        <f t="shared" ca="1" si="355"/>
        <v>32.600000000000129</v>
      </c>
      <c r="D780" s="306">
        <f t="shared" ca="1" si="356"/>
        <v>-0.45557740865534696</v>
      </c>
      <c r="E780" s="307">
        <f t="shared" ca="1" si="357"/>
        <v>-6.6079484173350878</v>
      </c>
      <c r="F780" s="304">
        <f t="shared" ca="1" si="358"/>
        <v>6.623634429936363</v>
      </c>
      <c r="G780" s="306">
        <f t="shared" ca="1" si="359"/>
        <v>12.635484582930346</v>
      </c>
      <c r="H780" s="307">
        <f t="shared" ca="1" si="360"/>
        <v>-89.790218011770648</v>
      </c>
      <c r="I780" s="304">
        <f t="shared" ca="1" si="361"/>
        <v>90.674906789291882</v>
      </c>
      <c r="J780" s="306">
        <f t="shared" ca="1" si="362"/>
        <v>621.72074592095157</v>
      </c>
      <c r="K780" s="307">
        <f t="shared" ca="1" si="363"/>
        <v>2544.2816660158473</v>
      </c>
      <c r="L780" s="304">
        <f t="shared" ca="1" si="348"/>
        <v>2619.1422034576285</v>
      </c>
      <c r="M780" s="306">
        <f t="shared" ca="1" si="364"/>
        <v>-1.4309920560520137</v>
      </c>
      <c r="N780" s="304">
        <f t="shared" ca="1" si="365"/>
        <v>-81.989805328528519</v>
      </c>
      <c r="P780" s="310">
        <f t="shared" ca="1" si="366"/>
        <v>23</v>
      </c>
      <c r="Q780" s="304">
        <f t="shared" ca="1" si="367"/>
        <v>0</v>
      </c>
      <c r="R780" s="306">
        <f t="shared" ca="1" si="368"/>
        <v>0</v>
      </c>
      <c r="S780" s="307">
        <f t="shared" ca="1" si="369"/>
        <v>6.4679999999999849</v>
      </c>
      <c r="T780" s="304">
        <f t="shared" ca="1" si="349"/>
        <v>63.451079999999855</v>
      </c>
      <c r="U780" s="311">
        <f t="shared" ca="1" si="350"/>
        <v>0</v>
      </c>
      <c r="V780" s="306">
        <f t="shared" ca="1" si="351"/>
        <v>0.94850016850900898</v>
      </c>
      <c r="W780" s="304">
        <f t="shared" ca="1" si="352"/>
        <v>21.240932121239148</v>
      </c>
      <c r="Y780" s="314" t="str">
        <f t="shared" ca="1" si="370"/>
        <v/>
      </c>
      <c r="Z780" s="315" t="str">
        <f t="shared" ca="1" si="371"/>
        <v/>
      </c>
      <c r="AA780" s="316" t="str">
        <f t="shared" ca="1" si="372"/>
        <v/>
      </c>
      <c r="AC780" s="310" t="e">
        <f t="shared" ca="1" si="373"/>
        <v>#N/A</v>
      </c>
      <c r="AD780" s="323" t="e">
        <f t="shared" ca="1" si="374"/>
        <v>#N/A</v>
      </c>
      <c r="AE780" s="324" t="e">
        <f t="shared" ca="1" si="353"/>
        <v>#N/A</v>
      </c>
      <c r="AG780" s="306">
        <f t="shared" ca="1" si="375"/>
        <v>6.4778939200580119</v>
      </c>
      <c r="AH780" s="304">
        <f t="shared" ca="1" si="376"/>
        <v>-3.2342982412455403</v>
      </c>
    </row>
    <row r="781" spans="1:34" x14ac:dyDescent="0.2">
      <c r="A781" s="347">
        <f t="shared" ca="1" si="354"/>
        <v>0.1</v>
      </c>
      <c r="B781" s="304">
        <f t="shared" ca="1" si="355"/>
        <v>32.700000000000131</v>
      </c>
      <c r="D781" s="306">
        <f t="shared" ca="1" si="356"/>
        <v>-0.45762352724967337</v>
      </c>
      <c r="E781" s="307">
        <f t="shared" ca="1" si="357"/>
        <v>-6.5580379553805548</v>
      </c>
      <c r="F781" s="304">
        <f t="shared" ca="1" si="358"/>
        <v>6.5739851777216831</v>
      </c>
      <c r="G781" s="306">
        <f t="shared" ca="1" si="359"/>
        <v>12.589722230205378</v>
      </c>
      <c r="H781" s="307">
        <f t="shared" ca="1" si="360"/>
        <v>-90.446021807308711</v>
      </c>
      <c r="I781" s="304">
        <f t="shared" ca="1" si="361"/>
        <v>91.318037465781586</v>
      </c>
      <c r="J781" s="306">
        <f t="shared" ca="1" si="362"/>
        <v>622.98200626160838</v>
      </c>
      <c r="K781" s="307">
        <f t="shared" ca="1" si="363"/>
        <v>2535.2698540248934</v>
      </c>
      <c r="L781" s="304">
        <f t="shared" ca="1" si="348"/>
        <v>2610.6895282383052</v>
      </c>
      <c r="M781" s="306">
        <f t="shared" ca="1" si="364"/>
        <v>-1.4324890408309823</v>
      </c>
      <c r="N781" s="304">
        <f t="shared" ca="1" si="365"/>
        <v>-82.075576238358735</v>
      </c>
      <c r="P781" s="310">
        <f t="shared" ca="1" si="366"/>
        <v>23</v>
      </c>
      <c r="Q781" s="304">
        <f t="shared" ca="1" si="367"/>
        <v>0</v>
      </c>
      <c r="R781" s="306">
        <f t="shared" ca="1" si="368"/>
        <v>0</v>
      </c>
      <c r="S781" s="307">
        <f t="shared" ca="1" si="369"/>
        <v>6.4679999999999849</v>
      </c>
      <c r="T781" s="304">
        <f t="shared" ca="1" si="349"/>
        <v>63.451079999999855</v>
      </c>
      <c r="U781" s="311">
        <f t="shared" ca="1" si="350"/>
        <v>0</v>
      </c>
      <c r="V781" s="306">
        <f t="shared" ca="1" si="351"/>
        <v>0.94936934713468257</v>
      </c>
      <c r="W781" s="304">
        <f t="shared" ca="1" si="352"/>
        <v>21.563053835062622</v>
      </c>
      <c r="Y781" s="314" t="str">
        <f t="shared" ca="1" si="370"/>
        <v/>
      </c>
      <c r="Z781" s="315" t="str">
        <f t="shared" ca="1" si="371"/>
        <v/>
      </c>
      <c r="AA781" s="316" t="str">
        <f t="shared" ca="1" si="372"/>
        <v/>
      </c>
      <c r="AC781" s="310" t="e">
        <f t="shared" ca="1" si="373"/>
        <v>#N/A</v>
      </c>
      <c r="AD781" s="323" t="e">
        <f t="shared" ca="1" si="374"/>
        <v>#N/A</v>
      </c>
      <c r="AE781" s="324" t="e">
        <f t="shared" ca="1" si="353"/>
        <v>#N/A</v>
      </c>
      <c r="AG781" s="306">
        <f t="shared" ca="1" si="375"/>
        <v>6.4302835631764168</v>
      </c>
      <c r="AH781" s="304">
        <f t="shared" ca="1" si="376"/>
        <v>-3.284003110890414</v>
      </c>
    </row>
    <row r="782" spans="1:34" x14ac:dyDescent="0.2">
      <c r="A782" s="347">
        <f t="shared" ca="1" si="354"/>
        <v>0.1</v>
      </c>
      <c r="B782" s="304">
        <f t="shared" ca="1" si="355"/>
        <v>32.800000000000132</v>
      </c>
      <c r="D782" s="306">
        <f t="shared" ca="1" si="356"/>
        <v>-0.45962096984204376</v>
      </c>
      <c r="E782" s="307">
        <f t="shared" ca="1" si="357"/>
        <v>-6.508029749878629</v>
      </c>
      <c r="F782" s="304">
        <f t="shared" ca="1" si="358"/>
        <v>6.5242396232222974</v>
      </c>
      <c r="G782" s="306">
        <f t="shared" ca="1" si="359"/>
        <v>12.543760133221173</v>
      </c>
      <c r="H782" s="307">
        <f t="shared" ca="1" si="360"/>
        <v>-91.096824782296579</v>
      </c>
      <c r="I782" s="304">
        <f t="shared" ca="1" si="361"/>
        <v>91.956388596422343</v>
      </c>
      <c r="J782" s="306">
        <f t="shared" ca="1" si="362"/>
        <v>624.23868037977968</v>
      </c>
      <c r="K782" s="307">
        <f t="shared" ca="1" si="363"/>
        <v>2526.192711695413</v>
      </c>
      <c r="L782" s="304">
        <f t="shared" ca="1" si="348"/>
        <v>2602.1766939824265</v>
      </c>
      <c r="M782" s="306">
        <f t="shared" ca="1" si="364"/>
        <v>-1.4339598178519375</v>
      </c>
      <c r="N782" s="304">
        <f t="shared" ca="1" si="365"/>
        <v>-82.159845554264294</v>
      </c>
      <c r="P782" s="310">
        <f t="shared" ca="1" si="366"/>
        <v>23</v>
      </c>
      <c r="Q782" s="304">
        <f t="shared" ca="1" si="367"/>
        <v>0</v>
      </c>
      <c r="R782" s="306">
        <f t="shared" ca="1" si="368"/>
        <v>0</v>
      </c>
      <c r="S782" s="307">
        <f t="shared" ca="1" si="369"/>
        <v>6.4679999999999849</v>
      </c>
      <c r="T782" s="304">
        <f t="shared" ca="1" si="349"/>
        <v>63.451079999999855</v>
      </c>
      <c r="U782" s="311">
        <f t="shared" ca="1" si="350"/>
        <v>0</v>
      </c>
      <c r="V782" s="306">
        <f t="shared" ca="1" si="351"/>
        <v>0.95024552982091837</v>
      </c>
      <c r="W782" s="304">
        <f t="shared" ca="1" si="352"/>
        <v>21.885756960039707</v>
      </c>
      <c r="Y782" s="314" t="str">
        <f t="shared" ca="1" si="370"/>
        <v/>
      </c>
      <c r="Z782" s="315" t="str">
        <f t="shared" ca="1" si="371"/>
        <v/>
      </c>
      <c r="AA782" s="316" t="str">
        <f t="shared" ca="1" si="372"/>
        <v/>
      </c>
      <c r="AC782" s="310" t="e">
        <f t="shared" ca="1" si="373"/>
        <v>#N/A</v>
      </c>
      <c r="AD782" s="323" t="e">
        <f t="shared" ca="1" si="374"/>
        <v>#N/A</v>
      </c>
      <c r="AE782" s="324" t="e">
        <f t="shared" ca="1" si="353"/>
        <v>#N/A</v>
      </c>
      <c r="AG782" s="306">
        <f t="shared" ca="1" si="375"/>
        <v>6.3825167131635627</v>
      </c>
      <c r="AH782" s="304">
        <f t="shared" ca="1" si="376"/>
        <v>-3.3338054785192752</v>
      </c>
    </row>
    <row r="783" spans="1:34" x14ac:dyDescent="0.2">
      <c r="A783" s="347">
        <f t="shared" ca="1" si="354"/>
        <v>0.1</v>
      </c>
      <c r="B783" s="304">
        <f t="shared" ca="1" si="355"/>
        <v>32.900000000000134</v>
      </c>
      <c r="D783" s="306">
        <f t="shared" ca="1" si="356"/>
        <v>-0.46156980954257032</v>
      </c>
      <c r="E783" s="307">
        <f t="shared" ca="1" si="357"/>
        <v>-6.4579314321917023</v>
      </c>
      <c r="F783" s="304">
        <f t="shared" ca="1" si="358"/>
        <v>6.4744053836603976</v>
      </c>
      <c r="G783" s="306">
        <f t="shared" ca="1" si="359"/>
        <v>12.497603152266917</v>
      </c>
      <c r="H783" s="307">
        <f t="shared" ca="1" si="360"/>
        <v>-91.742617925515745</v>
      </c>
      <c r="I783" s="304">
        <f t="shared" ca="1" si="361"/>
        <v>92.589945611706213</v>
      </c>
      <c r="J783" s="306">
        <f t="shared" ca="1" si="362"/>
        <v>625.4907485440541</v>
      </c>
      <c r="K783" s="307">
        <f t="shared" ca="1" si="363"/>
        <v>2517.0507395600225</v>
      </c>
      <c r="L783" s="304">
        <f t="shared" ca="1" si="348"/>
        <v>2593.6042685872217</v>
      </c>
      <c r="M783" s="306">
        <f t="shared" ca="1" si="364"/>
        <v>-1.435405095091403</v>
      </c>
      <c r="N783" s="304">
        <f t="shared" ca="1" si="365"/>
        <v>-82.242653840311988</v>
      </c>
      <c r="P783" s="310">
        <f t="shared" ca="1" si="366"/>
        <v>23</v>
      </c>
      <c r="Q783" s="304">
        <f t="shared" ca="1" si="367"/>
        <v>0</v>
      </c>
      <c r="R783" s="306">
        <f t="shared" ca="1" si="368"/>
        <v>0</v>
      </c>
      <c r="S783" s="307">
        <f t="shared" ca="1" si="369"/>
        <v>6.4679999999999849</v>
      </c>
      <c r="T783" s="304">
        <f t="shared" ca="1" si="349"/>
        <v>63.451079999999855</v>
      </c>
      <c r="U783" s="311">
        <f t="shared" ca="1" si="350"/>
        <v>0</v>
      </c>
      <c r="V783" s="306">
        <f t="shared" ca="1" si="351"/>
        <v>0.9511286842913359</v>
      </c>
      <c r="W783" s="304">
        <f t="shared" ca="1" si="352"/>
        <v>22.208992653812228</v>
      </c>
      <c r="Y783" s="314" t="str">
        <f t="shared" ca="1" si="370"/>
        <v/>
      </c>
      <c r="Z783" s="315" t="str">
        <f t="shared" ca="1" si="371"/>
        <v/>
      </c>
      <c r="AA783" s="316" t="str">
        <f t="shared" ca="1" si="372"/>
        <v/>
      </c>
      <c r="AC783" s="310" t="e">
        <f t="shared" ca="1" si="373"/>
        <v>#N/A</v>
      </c>
      <c r="AD783" s="323" t="e">
        <f t="shared" ca="1" si="374"/>
        <v>#N/A</v>
      </c>
      <c r="AE783" s="324" t="e">
        <f t="shared" ca="1" si="353"/>
        <v>#N/A</v>
      </c>
      <c r="AG783" s="306">
        <f t="shared" ca="1" si="375"/>
        <v>6.3346031314400424</v>
      </c>
      <c r="AH783" s="304">
        <f t="shared" ca="1" si="376"/>
        <v>-3.383697736555312</v>
      </c>
    </row>
    <row r="784" spans="1:34" x14ac:dyDescent="0.2">
      <c r="A784" s="347">
        <f t="shared" ca="1" si="354"/>
        <v>0.1</v>
      </c>
      <c r="B784" s="304">
        <f t="shared" ca="1" si="355"/>
        <v>33.000000000000135</v>
      </c>
      <c r="D784" s="306">
        <f t="shared" ca="1" si="356"/>
        <v>-0.46347013055156849</v>
      </c>
      <c r="E784" s="307">
        <f t="shared" ca="1" si="357"/>
        <v>-6.4077505775282351</v>
      </c>
      <c r="F784" s="304">
        <f t="shared" ca="1" si="358"/>
        <v>6.4244900206729962</v>
      </c>
      <c r="G784" s="306">
        <f t="shared" ca="1" si="359"/>
        <v>12.451256139211761</v>
      </c>
      <c r="H784" s="307">
        <f t="shared" ca="1" si="360"/>
        <v>-92.383392983268564</v>
      </c>
      <c r="I784" s="304">
        <f t="shared" ca="1" si="361"/>
        <v>93.218694898315832</v>
      </c>
      <c r="J784" s="306">
        <f t="shared" ca="1" si="362"/>
        <v>626.73819150862801</v>
      </c>
      <c r="K784" s="307">
        <f t="shared" ca="1" si="363"/>
        <v>2507.8444390145833</v>
      </c>
      <c r="L784" s="304">
        <f t="shared" ca="1" si="348"/>
        <v>2584.972822099272</v>
      </c>
      <c r="M784" s="306">
        <f t="shared" ca="1" si="364"/>
        <v>-1.4368255551815641</v>
      </c>
      <c r="N784" s="304">
        <f t="shared" ca="1" si="365"/>
        <v>-82.324040208444998</v>
      </c>
      <c r="P784" s="310">
        <f t="shared" ca="1" si="366"/>
        <v>23</v>
      </c>
      <c r="Q784" s="304">
        <f t="shared" ca="1" si="367"/>
        <v>0</v>
      </c>
      <c r="R784" s="306">
        <f t="shared" ca="1" si="368"/>
        <v>0</v>
      </c>
      <c r="S784" s="307">
        <f t="shared" ca="1" si="369"/>
        <v>6.4679999999999849</v>
      </c>
      <c r="T784" s="304">
        <f t="shared" ca="1" si="349"/>
        <v>63.451079999999855</v>
      </c>
      <c r="U784" s="311">
        <f t="shared" ca="1" si="350"/>
        <v>0</v>
      </c>
      <c r="V784" s="306">
        <f t="shared" ca="1" si="351"/>
        <v>0.95201877817604452</v>
      </c>
      <c r="W784" s="304">
        <f t="shared" ca="1" si="352"/>
        <v>22.532712448723053</v>
      </c>
      <c r="Y784" s="314" t="str">
        <f t="shared" ca="1" si="370"/>
        <v/>
      </c>
      <c r="Z784" s="315" t="str">
        <f t="shared" ca="1" si="371"/>
        <v/>
      </c>
      <c r="AA784" s="316" t="str">
        <f t="shared" ca="1" si="372"/>
        <v/>
      </c>
      <c r="AC784" s="310">
        <f t="shared" ca="1" si="373"/>
        <v>33.000000000000135</v>
      </c>
      <c r="AD784" s="323">
        <f t="shared" ca="1" si="374"/>
        <v>626.73819150862801</v>
      </c>
      <c r="AE784" s="324" t="e">
        <f t="shared" ca="1" si="353"/>
        <v>#N/A</v>
      </c>
      <c r="AG784" s="306">
        <f t="shared" ca="1" si="375"/>
        <v>6.2865524262498438</v>
      </c>
      <c r="AH784" s="304">
        <f t="shared" ca="1" si="376"/>
        <v>-3.4336723336135249</v>
      </c>
    </row>
    <row r="785" spans="1:34" x14ac:dyDescent="0.2">
      <c r="A785" s="347">
        <f t="shared" ca="1" si="354"/>
        <v>0.1</v>
      </c>
      <c r="B785" s="304">
        <f t="shared" ca="1" si="355"/>
        <v>33.100000000000136</v>
      </c>
      <c r="D785" s="306">
        <f t="shared" ca="1" si="356"/>
        <v>-0.46532202795839633</v>
      </c>
      <c r="E785" s="307">
        <f t="shared" ca="1" si="357"/>
        <v>-6.357494703183141</v>
      </c>
      <c r="F785" s="304">
        <f t="shared" ca="1" si="358"/>
        <v>6.374501038568039</v>
      </c>
      <c r="G785" s="306">
        <f t="shared" ca="1" si="359"/>
        <v>12.404723936415921</v>
      </c>
      <c r="H785" s="307">
        <f t="shared" ca="1" si="360"/>
        <v>-93.01914245358688</v>
      </c>
      <c r="I785" s="304">
        <f t="shared" ca="1" si="361"/>
        <v>93.842623784394362</v>
      </c>
      <c r="J785" s="306">
        <f t="shared" ca="1" si="362"/>
        <v>627.98099051240933</v>
      </c>
      <c r="K785" s="307">
        <f t="shared" ca="1" si="363"/>
        <v>2498.5743122427407</v>
      </c>
      <c r="L785" s="304">
        <f t="shared" ca="1" si="348"/>
        <v>2576.2829266686203</v>
      </c>
      <c r="M785" s="306">
        <f t="shared" ca="1" si="364"/>
        <v>-1.4382218565238547</v>
      </c>
      <c r="N785" s="304">
        <f t="shared" ca="1" si="365"/>
        <v>-82.404042382286704</v>
      </c>
      <c r="P785" s="310">
        <f t="shared" ca="1" si="366"/>
        <v>23</v>
      </c>
      <c r="Q785" s="304">
        <f t="shared" ca="1" si="367"/>
        <v>0</v>
      </c>
      <c r="R785" s="306">
        <f t="shared" ca="1" si="368"/>
        <v>0</v>
      </c>
      <c r="S785" s="307">
        <f t="shared" ca="1" si="369"/>
        <v>6.4679999999999849</v>
      </c>
      <c r="T785" s="304">
        <f t="shared" ca="1" si="349"/>
        <v>63.451079999999855</v>
      </c>
      <c r="U785" s="311">
        <f t="shared" ca="1" si="350"/>
        <v>0</v>
      </c>
      <c r="V785" s="306">
        <f t="shared" ca="1" si="351"/>
        <v>0.95291577901611046</v>
      </c>
      <c r="W785" s="304">
        <f t="shared" ca="1" si="352"/>
        <v>22.856868262765573</v>
      </c>
      <c r="Y785" s="314" t="str">
        <f t="shared" ca="1" si="370"/>
        <v/>
      </c>
      <c r="Z785" s="315" t="str">
        <f t="shared" ca="1" si="371"/>
        <v/>
      </c>
      <c r="AA785" s="316" t="str">
        <f t="shared" ca="1" si="372"/>
        <v/>
      </c>
      <c r="AC785" s="310" t="e">
        <f t="shared" ca="1" si="373"/>
        <v>#N/A</v>
      </c>
      <c r="AD785" s="323" t="e">
        <f t="shared" ca="1" si="374"/>
        <v>#N/A</v>
      </c>
      <c r="AE785" s="324" t="e">
        <f t="shared" ca="1" si="353"/>
        <v>#N/A</v>
      </c>
      <c r="AG785" s="306">
        <f t="shared" ca="1" si="375"/>
        <v>6.2383740560864194</v>
      </c>
      <c r="AH785" s="304">
        <f t="shared" ca="1" si="376"/>
        <v>-3.4837217762404307</v>
      </c>
    </row>
    <row r="786" spans="1:34" x14ac:dyDescent="0.2">
      <c r="A786" s="347">
        <f t="shared" ca="1" si="354"/>
        <v>0.1</v>
      </c>
      <c r="B786" s="304">
        <f t="shared" ca="1" si="355"/>
        <v>33.200000000000138</v>
      </c>
      <c r="D786" s="306">
        <f t="shared" ca="1" si="356"/>
        <v>-0.4671256075409394</v>
      </c>
      <c r="E786" s="307">
        <f t="shared" ca="1" si="357"/>
        <v>-6.3071712668259998</v>
      </c>
      <c r="F786" s="304">
        <f t="shared" ca="1" si="358"/>
        <v>6.324445882628452</v>
      </c>
      <c r="G786" s="306">
        <f t="shared" ca="1" si="359"/>
        <v>12.358011375661828</v>
      </c>
      <c r="H786" s="307">
        <f t="shared" ca="1" si="360"/>
        <v>-93.649859580269478</v>
      </c>
      <c r="I786" s="304">
        <f t="shared" ca="1" si="361"/>
        <v>94.461720525116291</v>
      </c>
      <c r="J786" s="306">
        <f t="shared" ca="1" si="362"/>
        <v>629.21912727801327</v>
      </c>
      <c r="K786" s="307">
        <f t="shared" ca="1" si="363"/>
        <v>2489.2408621410477</v>
      </c>
      <c r="L786" s="304">
        <f t="shared" ca="1" si="348"/>
        <v>2567.535156504232</v>
      </c>
      <c r="M786" s="306">
        <f t="shared" ca="1" si="364"/>
        <v>-1.4395946343448089</v>
      </c>
      <c r="N786" s="304">
        <f t="shared" ca="1" si="365"/>
        <v>-82.482696757636546</v>
      </c>
      <c r="P786" s="310">
        <f t="shared" ca="1" si="366"/>
        <v>23</v>
      </c>
      <c r="Q786" s="304">
        <f t="shared" ca="1" si="367"/>
        <v>0</v>
      </c>
      <c r="R786" s="306">
        <f t="shared" ca="1" si="368"/>
        <v>0</v>
      </c>
      <c r="S786" s="307">
        <f t="shared" ca="1" si="369"/>
        <v>6.4679999999999849</v>
      </c>
      <c r="T786" s="304">
        <f t="shared" ca="1" si="349"/>
        <v>63.451079999999855</v>
      </c>
      <c r="U786" s="311">
        <f t="shared" ca="1" si="350"/>
        <v>0</v>
      </c>
      <c r="V786" s="306">
        <f t="shared" ca="1" si="351"/>
        <v>0.95381965426800297</v>
      </c>
      <c r="W786" s="304">
        <f t="shared" ca="1" si="352"/>
        <v>23.181412410228692</v>
      </c>
      <c r="Y786" s="314" t="str">
        <f t="shared" ca="1" si="370"/>
        <v/>
      </c>
      <c r="Z786" s="315" t="str">
        <f t="shared" ca="1" si="371"/>
        <v/>
      </c>
      <c r="AA786" s="316" t="str">
        <f t="shared" ca="1" si="372"/>
        <v/>
      </c>
      <c r="AC786" s="310" t="e">
        <f t="shared" ca="1" si="373"/>
        <v>#N/A</v>
      </c>
      <c r="AD786" s="323" t="e">
        <f t="shared" ca="1" si="374"/>
        <v>#N/A</v>
      </c>
      <c r="AE786" s="324" t="e">
        <f t="shared" ca="1" si="353"/>
        <v>#N/A</v>
      </c>
      <c r="AG786" s="306">
        <f t="shared" ca="1" si="375"/>
        <v>6.1900773328492749</v>
      </c>
      <c r="AH786" s="304">
        <f t="shared" ca="1" si="376"/>
        <v>-3.5338386306069305</v>
      </c>
    </row>
    <row r="787" spans="1:34" x14ac:dyDescent="0.2">
      <c r="A787" s="347">
        <f t="shared" ca="1" si="354"/>
        <v>0.1</v>
      </c>
      <c r="B787" s="304">
        <f t="shared" ca="1" si="355"/>
        <v>33.300000000000139</v>
      </c>
      <c r="D787" s="306">
        <f t="shared" ca="1" si="356"/>
        <v>-0.46888098556566554</v>
      </c>
      <c r="E787" s="307">
        <f t="shared" ca="1" si="357"/>
        <v>-6.2567876648372689</v>
      </c>
      <c r="F787" s="304">
        <f t="shared" ca="1" si="358"/>
        <v>6.2743319374643258</v>
      </c>
      <c r="G787" s="306">
        <f t="shared" ca="1" si="359"/>
        <v>12.311123277105262</v>
      </c>
      <c r="H787" s="307">
        <f t="shared" ca="1" si="360"/>
        <v>-94.275538346753208</v>
      </c>
      <c r="I787" s="304">
        <f t="shared" ca="1" si="361"/>
        <v>95.075974288535249</v>
      </c>
      <c r="J787" s="306">
        <f t="shared" ca="1" si="362"/>
        <v>630.45258401065166</v>
      </c>
      <c r="K787" s="307">
        <f t="shared" ca="1" si="363"/>
        <v>2479.8445922446967</v>
      </c>
      <c r="L787" s="304">
        <f t="shared" ca="1" si="348"/>
        <v>2558.7300878308706</v>
      </c>
      <c r="M787" s="306">
        <f t="shared" ca="1" si="364"/>
        <v>-1.4409445016976077</v>
      </c>
      <c r="N787" s="304">
        <f t="shared" ca="1" si="365"/>
        <v>-82.560038459854411</v>
      </c>
      <c r="P787" s="310">
        <f t="shared" ca="1" si="366"/>
        <v>23</v>
      </c>
      <c r="Q787" s="304">
        <f t="shared" ca="1" si="367"/>
        <v>0</v>
      </c>
      <c r="R787" s="306">
        <f t="shared" ca="1" si="368"/>
        <v>0</v>
      </c>
      <c r="S787" s="307">
        <f t="shared" ca="1" si="369"/>
        <v>6.4679999999999849</v>
      </c>
      <c r="T787" s="304">
        <f t="shared" ca="1" si="349"/>
        <v>63.451079999999855</v>
      </c>
      <c r="U787" s="311">
        <f t="shared" ca="1" si="350"/>
        <v>0</v>
      </c>
      <c r="V787" s="306">
        <f t="shared" ca="1" si="351"/>
        <v>0.95473037130801497</v>
      </c>
      <c r="W787" s="304">
        <f t="shared" ca="1" si="352"/>
        <v>23.506297612035546</v>
      </c>
      <c r="Y787" s="314" t="str">
        <f t="shared" ca="1" si="370"/>
        <v/>
      </c>
      <c r="Z787" s="315" t="str">
        <f t="shared" ca="1" si="371"/>
        <v/>
      </c>
      <c r="AA787" s="316" t="str">
        <f t="shared" ca="1" si="372"/>
        <v/>
      </c>
      <c r="AC787" s="310" t="e">
        <f t="shared" ca="1" si="373"/>
        <v>#N/A</v>
      </c>
      <c r="AD787" s="323" t="e">
        <f t="shared" ca="1" si="374"/>
        <v>#N/A</v>
      </c>
      <c r="AE787" s="324" t="e">
        <f t="shared" ca="1" si="353"/>
        <v>#N/A</v>
      </c>
      <c r="AG787" s="306">
        <f t="shared" ca="1" si="375"/>
        <v>6.1416714247531026</v>
      </c>
      <c r="AH787" s="304">
        <f t="shared" ca="1" si="376"/>
        <v>-3.5840155241541041</v>
      </c>
    </row>
    <row r="788" spans="1:34" x14ac:dyDescent="0.2">
      <c r="A788" s="347">
        <f t="shared" ca="1" si="354"/>
        <v>0.1</v>
      </c>
      <c r="B788" s="304">
        <f t="shared" ca="1" si="355"/>
        <v>33.400000000000141</v>
      </c>
      <c r="D788" s="306">
        <f t="shared" ca="1" si="356"/>
        <v>-0.47058828858820506</v>
      </c>
      <c r="E788" s="307">
        <f t="shared" ca="1" si="357"/>
        <v>-6.2063512306927455</v>
      </c>
      <c r="F788" s="304">
        <f t="shared" ca="1" si="358"/>
        <v>6.224166525413481</v>
      </c>
      <c r="G788" s="306">
        <f t="shared" ca="1" si="359"/>
        <v>12.26406444824644</v>
      </c>
      <c r="H788" s="307">
        <f t="shared" ca="1" si="360"/>
        <v>-94.896173469822486</v>
      </c>
      <c r="I788" s="304">
        <f t="shared" ca="1" si="361"/>
        <v>95.685375141687061</v>
      </c>
      <c r="J788" s="306">
        <f t="shared" ca="1" si="362"/>
        <v>631.68134339691926</v>
      </c>
      <c r="K788" s="307">
        <f t="shared" ca="1" si="363"/>
        <v>2470.3860066538678</v>
      </c>
      <c r="L788" s="304">
        <f t="shared" ca="1" si="348"/>
        <v>2549.8682988474093</v>
      </c>
      <c r="M788" s="306">
        <f t="shared" ca="1" si="364"/>
        <v>-1.4422720504125295</v>
      </c>
      <c r="N788" s="304">
        <f t="shared" ca="1" si="365"/>
        <v>-82.636101398317436</v>
      </c>
      <c r="P788" s="310">
        <f t="shared" ca="1" si="366"/>
        <v>23</v>
      </c>
      <c r="Q788" s="304">
        <f t="shared" ca="1" si="367"/>
        <v>0</v>
      </c>
      <c r="R788" s="306">
        <f t="shared" ca="1" si="368"/>
        <v>0</v>
      </c>
      <c r="S788" s="307">
        <f t="shared" ca="1" si="369"/>
        <v>6.4679999999999849</v>
      </c>
      <c r="T788" s="304">
        <f t="shared" ca="1" si="349"/>
        <v>63.451079999999855</v>
      </c>
      <c r="U788" s="311">
        <f t="shared" ca="1" si="350"/>
        <v>0</v>
      </c>
      <c r="V788" s="306">
        <f t="shared" ca="1" si="351"/>
        <v>0.95564789743666423</v>
      </c>
      <c r="W788" s="304">
        <f t="shared" ca="1" si="352"/>
        <v>23.831477005774907</v>
      </c>
      <c r="Y788" s="314" t="str">
        <f t="shared" ca="1" si="370"/>
        <v/>
      </c>
      <c r="Z788" s="315" t="str">
        <f t="shared" ca="1" si="371"/>
        <v/>
      </c>
      <c r="AA788" s="316" t="str">
        <f t="shared" ca="1" si="372"/>
        <v/>
      </c>
      <c r="AC788" s="310" t="e">
        <f t="shared" ca="1" si="373"/>
        <v>#N/A</v>
      </c>
      <c r="AD788" s="323" t="e">
        <f t="shared" ca="1" si="374"/>
        <v>#N/A</v>
      </c>
      <c r="AE788" s="324" t="e">
        <f t="shared" ca="1" si="353"/>
        <v>#N/A</v>
      </c>
      <c r="AG788" s="306">
        <f t="shared" ca="1" si="375"/>
        <v>6.0931653590099284</v>
      </c>
      <c r="AH788" s="304">
        <f t="shared" ca="1" si="376"/>
        <v>-3.6342451471916513</v>
      </c>
    </row>
    <row r="789" spans="1:34" x14ac:dyDescent="0.2">
      <c r="A789" s="347">
        <f t="shared" ca="1" si="354"/>
        <v>0.1</v>
      </c>
      <c r="B789" s="304">
        <f t="shared" ca="1" si="355"/>
        <v>33.500000000000142</v>
      </c>
      <c r="D789" s="306">
        <f t="shared" ca="1" si="356"/>
        <v>-0.47224765325441143</v>
      </c>
      <c r="E789" s="307">
        <f t="shared" ca="1" si="357"/>
        <v>-6.1558692333963627</v>
      </c>
      <c r="F789" s="304">
        <f t="shared" ca="1" si="358"/>
        <v>6.1739569049905283</v>
      </c>
      <c r="G789" s="306">
        <f t="shared" ca="1" si="359"/>
        <v>12.216839682921</v>
      </c>
      <c r="H789" s="307">
        <f t="shared" ca="1" si="360"/>
        <v>-95.51176039316212</v>
      </c>
      <c r="I789" s="304">
        <f t="shared" ca="1" si="361"/>
        <v>96.28991403692811</v>
      </c>
      <c r="J789" s="306">
        <f t="shared" ca="1" si="362"/>
        <v>632.9053886034776</v>
      </c>
      <c r="K789" s="307">
        <f t="shared" ca="1" si="363"/>
        <v>2460.8656099607183</v>
      </c>
      <c r="L789" s="304">
        <f t="shared" ca="1" si="348"/>
        <v>2540.9503696866368</v>
      </c>
      <c r="M789" s="306">
        <f t="shared" ca="1" si="364"/>
        <v>-1.4435778519992966</v>
      </c>
      <c r="N789" s="304">
        <f t="shared" ca="1" si="365"/>
        <v>-82.710918318120676</v>
      </c>
      <c r="P789" s="310">
        <f t="shared" ca="1" si="366"/>
        <v>23</v>
      </c>
      <c r="Q789" s="304">
        <f t="shared" ca="1" si="367"/>
        <v>0</v>
      </c>
      <c r="R789" s="306">
        <f t="shared" ca="1" si="368"/>
        <v>0</v>
      </c>
      <c r="S789" s="307">
        <f t="shared" ca="1" si="369"/>
        <v>6.4679999999999849</v>
      </c>
      <c r="T789" s="304">
        <f t="shared" ca="1" si="349"/>
        <v>63.451079999999855</v>
      </c>
      <c r="U789" s="311">
        <f t="shared" ca="1" si="350"/>
        <v>0</v>
      </c>
      <c r="V789" s="306">
        <f t="shared" ca="1" si="351"/>
        <v>0.95657219988307018</v>
      </c>
      <c r="W789" s="304">
        <f t="shared" ca="1" si="352"/>
        <v>24.156904155424026</v>
      </c>
      <c r="Y789" s="314" t="str">
        <f t="shared" ca="1" si="370"/>
        <v/>
      </c>
      <c r="Z789" s="315" t="str">
        <f t="shared" ca="1" si="371"/>
        <v/>
      </c>
      <c r="AA789" s="316" t="str">
        <f t="shared" ca="1" si="372"/>
        <v/>
      </c>
      <c r="AC789" s="310" t="e">
        <f t="shared" ca="1" si="373"/>
        <v>#N/A</v>
      </c>
      <c r="AD789" s="323" t="e">
        <f t="shared" ca="1" si="374"/>
        <v>#N/A</v>
      </c>
      <c r="AE789" s="324" t="e">
        <f t="shared" ca="1" si="353"/>
        <v>#N/A</v>
      </c>
      <c r="AG789" s="306">
        <f t="shared" ca="1" si="375"/>
        <v>6.0445680243030049</v>
      </c>
      <c r="AH789" s="304">
        <f t="shared" ca="1" si="376"/>
        <v>-3.6845202544488194</v>
      </c>
    </row>
    <row r="790" spans="1:34" x14ac:dyDescent="0.2">
      <c r="A790" s="347">
        <f t="shared" ca="1" si="354"/>
        <v>0.1</v>
      </c>
      <c r="B790" s="304">
        <f t="shared" ca="1" si="355"/>
        <v>33.600000000000144</v>
      </c>
      <c r="D790" s="306">
        <f t="shared" ca="1" si="356"/>
        <v>-0.47385922610187592</v>
      </c>
      <c r="E790" s="307">
        <f t="shared" ca="1" si="357"/>
        <v>-6.1053488759614893</v>
      </c>
      <c r="F790" s="304">
        <f t="shared" ca="1" si="358"/>
        <v>6.1237102693845733</v>
      </c>
      <c r="G790" s="306">
        <f t="shared" ca="1" si="359"/>
        <v>12.169453760310812</v>
      </c>
      <c r="H790" s="307">
        <f t="shared" ca="1" si="360"/>
        <v>-96.122295280758266</v>
      </c>
      <c r="I790" s="304">
        <f t="shared" ca="1" si="361"/>
        <v>96.889582798490906</v>
      </c>
      <c r="J790" s="306">
        <f t="shared" ca="1" si="362"/>
        <v>634.12470327563915</v>
      </c>
      <c r="K790" s="307">
        <f t="shared" ca="1" si="363"/>
        <v>2451.2839071770222</v>
      </c>
      <c r="L790" s="304">
        <f t="shared" ca="1" si="348"/>
        <v>2531.976882376588</v>
      </c>
      <c r="M790" s="306">
        <f t="shared" ca="1" si="364"/>
        <v>-1.4448624585041143</v>
      </c>
      <c r="N790" s="304">
        <f t="shared" ca="1" si="365"/>
        <v>-82.784520849181789</v>
      </c>
      <c r="P790" s="310">
        <f t="shared" ca="1" si="366"/>
        <v>23</v>
      </c>
      <c r="Q790" s="304">
        <f t="shared" ca="1" si="367"/>
        <v>0</v>
      </c>
      <c r="R790" s="306">
        <f t="shared" ca="1" si="368"/>
        <v>0</v>
      </c>
      <c r="S790" s="307">
        <f t="shared" ca="1" si="369"/>
        <v>6.4679999999999849</v>
      </c>
      <c r="T790" s="304">
        <f t="shared" ca="1" si="349"/>
        <v>63.451079999999855</v>
      </c>
      <c r="U790" s="311">
        <f t="shared" ca="1" si="350"/>
        <v>0</v>
      </c>
      <c r="V790" s="306">
        <f t="shared" ca="1" si="351"/>
        <v>0.95750324580930213</v>
      </c>
      <c r="W790" s="304">
        <f t="shared" ca="1" si="352"/>
        <v>24.482533060762155</v>
      </c>
      <c r="Y790" s="314" t="str">
        <f t="shared" ca="1" si="370"/>
        <v/>
      </c>
      <c r="Z790" s="315" t="str">
        <f t="shared" ca="1" si="371"/>
        <v/>
      </c>
      <c r="AA790" s="316" t="str">
        <f t="shared" ca="1" si="372"/>
        <v/>
      </c>
      <c r="AC790" s="310" t="e">
        <f t="shared" ca="1" si="373"/>
        <v>#N/A</v>
      </c>
      <c r="AD790" s="323" t="e">
        <f t="shared" ca="1" si="374"/>
        <v>#N/A</v>
      </c>
      <c r="AE790" s="324" t="e">
        <f t="shared" ca="1" si="353"/>
        <v>#N/A</v>
      </c>
      <c r="AG790" s="306">
        <f t="shared" ca="1" si="375"/>
        <v>5.995888173069913</v>
      </c>
      <c r="AH790" s="304">
        <f t="shared" ca="1" si="376"/>
        <v>-3.7348336665776256</v>
      </c>
    </row>
    <row r="791" spans="1:34" x14ac:dyDescent="0.2">
      <c r="A791" s="347">
        <f t="shared" ca="1" si="354"/>
        <v>0.1</v>
      </c>
      <c r="B791" s="304">
        <f t="shared" ca="1" si="355"/>
        <v>33.700000000000145</v>
      </c>
      <c r="D791" s="306">
        <f t="shared" ca="1" si="356"/>
        <v>-0.47542316336186524</v>
      </c>
      <c r="E791" s="307">
        <f t="shared" ca="1" si="357"/>
        <v>-6.0547972939408083</v>
      </c>
      <c r="F791" s="304">
        <f t="shared" ca="1" si="358"/>
        <v>6.0734337450056977</v>
      </c>
      <c r="G791" s="306">
        <f t="shared" ca="1" si="359"/>
        <v>12.121911443974627</v>
      </c>
      <c r="H791" s="307">
        <f t="shared" ca="1" si="360"/>
        <v>-96.727775010152342</v>
      </c>
      <c r="I791" s="304">
        <f t="shared" ca="1" si="361"/>
        <v>97.484374109239766</v>
      </c>
      <c r="J791" s="306">
        <f t="shared" ca="1" si="362"/>
        <v>635.33927153585341</v>
      </c>
      <c r="K791" s="307">
        <f t="shared" ca="1" si="363"/>
        <v>2441.6414036624765</v>
      </c>
      <c r="L791" s="304">
        <f t="shared" ca="1" si="348"/>
        <v>2522.948420803441</v>
      </c>
      <c r="M791" s="306">
        <f t="shared" ca="1" si="364"/>
        <v>-1.4461264033240142</v>
      </c>
      <c r="N791" s="304">
        <f t="shared" ca="1" si="365"/>
        <v>-82.856939552899476</v>
      </c>
      <c r="P791" s="310">
        <f t="shared" ca="1" si="366"/>
        <v>23</v>
      </c>
      <c r="Q791" s="304">
        <f t="shared" ca="1" si="367"/>
        <v>0</v>
      </c>
      <c r="R791" s="306">
        <f t="shared" ca="1" si="368"/>
        <v>0</v>
      </c>
      <c r="S791" s="307">
        <f t="shared" ca="1" si="369"/>
        <v>6.4679999999999849</v>
      </c>
      <c r="T791" s="304">
        <f t="shared" ca="1" si="349"/>
        <v>63.451079999999855</v>
      </c>
      <c r="U791" s="311">
        <f t="shared" ca="1" si="350"/>
        <v>0</v>
      </c>
      <c r="V791" s="306">
        <f t="shared" ca="1" si="351"/>
        <v>0.95844100231470575</v>
      </c>
      <c r="W791" s="304">
        <f t="shared" ca="1" si="352"/>
        <v>24.808318166474027</v>
      </c>
      <c r="Y791" s="314" t="str">
        <f t="shared" ca="1" si="370"/>
        <v/>
      </c>
      <c r="Z791" s="315" t="str">
        <f t="shared" ca="1" si="371"/>
        <v/>
      </c>
      <c r="AA791" s="316" t="str">
        <f t="shared" ca="1" si="372"/>
        <v/>
      </c>
      <c r="AC791" s="310" t="e">
        <f t="shared" ca="1" si="373"/>
        <v>#N/A</v>
      </c>
      <c r="AD791" s="323" t="e">
        <f t="shared" ca="1" si="374"/>
        <v>#N/A</v>
      </c>
      <c r="AE791" s="324" t="e">
        <f t="shared" ca="1" si="353"/>
        <v>#N/A</v>
      </c>
      <c r="AG791" s="306">
        <f t="shared" ca="1" si="375"/>
        <v>5.9471344236108781</v>
      </c>
      <c r="AH791" s="304">
        <f t="shared" ca="1" si="376"/>
        <v>-3.7851782716082578</v>
      </c>
    </row>
    <row r="792" spans="1:34" x14ac:dyDescent="0.2">
      <c r="A792" s="347">
        <f t="shared" ca="1" si="354"/>
        <v>0.1</v>
      </c>
      <c r="B792" s="304">
        <f t="shared" ca="1" si="355"/>
        <v>33.800000000000146</v>
      </c>
      <c r="D792" s="306">
        <f t="shared" ca="1" si="356"/>
        <v>-0.47693963076167911</v>
      </c>
      <c r="E792" s="307">
        <f t="shared" ca="1" si="357"/>
        <v>-6.0042215540048334</v>
      </c>
      <c r="F792" s="304">
        <f t="shared" ca="1" si="358"/>
        <v>6.0231343900802434</v>
      </c>
      <c r="G792" s="306">
        <f t="shared" ca="1" si="359"/>
        <v>12.074217480898458</v>
      </c>
      <c r="H792" s="307">
        <f t="shared" ca="1" si="360"/>
        <v>-97.328197165552822</v>
      </c>
      <c r="I792" s="304">
        <f t="shared" ca="1" si="361"/>
        <v>98.074281497611594</v>
      </c>
      <c r="J792" s="306">
        <f t="shared" ca="1" si="362"/>
        <v>636.54907798209706</v>
      </c>
      <c r="K792" s="307">
        <f t="shared" ca="1" si="363"/>
        <v>2431.9386050536914</v>
      </c>
      <c r="L792" s="304">
        <f t="shared" ca="1" si="348"/>
        <v>2513.865570676036</v>
      </c>
      <c r="M792" s="306">
        <f t="shared" ca="1" si="364"/>
        <v>-1.4473702019809473</v>
      </c>
      <c r="N792" s="304">
        <f t="shared" ca="1" si="365"/>
        <v>-82.928203966505791</v>
      </c>
      <c r="P792" s="310">
        <f t="shared" ca="1" si="366"/>
        <v>23</v>
      </c>
      <c r="Q792" s="304">
        <f t="shared" ca="1" si="367"/>
        <v>0</v>
      </c>
      <c r="R792" s="306">
        <f t="shared" ca="1" si="368"/>
        <v>0</v>
      </c>
      <c r="S792" s="307">
        <f t="shared" ca="1" si="369"/>
        <v>6.4679999999999849</v>
      </c>
      <c r="T792" s="304">
        <f t="shared" ca="1" si="349"/>
        <v>63.451079999999855</v>
      </c>
      <c r="U792" s="311">
        <f t="shared" ca="1" si="350"/>
        <v>0</v>
      </c>
      <c r="V792" s="306">
        <f t="shared" ca="1" si="351"/>
        <v>0.95938543644020102</v>
      </c>
      <c r="W792" s="304">
        <f t="shared" ca="1" si="352"/>
        <v>25.134214370943102</v>
      </c>
      <c r="Y792" s="314" t="str">
        <f t="shared" ca="1" si="370"/>
        <v/>
      </c>
      <c r="Z792" s="315" t="str">
        <f t="shared" ca="1" si="371"/>
        <v/>
      </c>
      <c r="AA792" s="316" t="str">
        <f t="shared" ca="1" si="372"/>
        <v/>
      </c>
      <c r="AC792" s="310" t="e">
        <f t="shared" ca="1" si="373"/>
        <v>#N/A</v>
      </c>
      <c r="AD792" s="323" t="e">
        <f t="shared" ca="1" si="374"/>
        <v>#N/A</v>
      </c>
      <c r="AE792" s="324" t="e">
        <f t="shared" ca="1" si="353"/>
        <v>#N/A</v>
      </c>
      <c r="AG792" s="306">
        <f t="shared" ca="1" si="375"/>
        <v>5.8983152620371877</v>
      </c>
      <c r="AH792" s="304">
        <f t="shared" ca="1" si="376"/>
        <v>-3.8355470263565374</v>
      </c>
    </row>
    <row r="793" spans="1:34" x14ac:dyDescent="0.2">
      <c r="A793" s="347">
        <f t="shared" ca="1" si="354"/>
        <v>0.1</v>
      </c>
      <c r="B793" s="304">
        <f t="shared" ca="1" si="355"/>
        <v>33.900000000000148</v>
      </c>
      <c r="D793" s="306">
        <f t="shared" ca="1" si="356"/>
        <v>-0.47840880332741126</v>
      </c>
      <c r="E793" s="307">
        <f t="shared" ca="1" si="357"/>
        <v>-5.9536286525690718</v>
      </c>
      <c r="F793" s="304">
        <f t="shared" ca="1" si="358"/>
        <v>5.9728191932949537</v>
      </c>
      <c r="G793" s="306">
        <f t="shared" ca="1" si="359"/>
        <v>12.026376600565717</v>
      </c>
      <c r="H793" s="307">
        <f t="shared" ca="1" si="360"/>
        <v>-97.923560030809725</v>
      </c>
      <c r="I793" s="304">
        <f t="shared" ca="1" si="361"/>
        <v>98.659299324727783</v>
      </c>
      <c r="J793" s="306">
        <f t="shared" ca="1" si="362"/>
        <v>637.7541076861703</v>
      </c>
      <c r="K793" s="307">
        <f t="shared" ca="1" si="363"/>
        <v>2422.1760171938731</v>
      </c>
      <c r="L793" s="304">
        <f t="shared" ca="1" si="348"/>
        <v>2504.728919492039</v>
      </c>
      <c r="M793" s="306">
        <f t="shared" ca="1" si="364"/>
        <v>-1.448594352857911</v>
      </c>
      <c r="N793" s="304">
        <f t="shared" ca="1" si="365"/>
        <v>-82.998342645243042</v>
      </c>
      <c r="P793" s="310">
        <f t="shared" ca="1" si="366"/>
        <v>23</v>
      </c>
      <c r="Q793" s="304">
        <f t="shared" ca="1" si="367"/>
        <v>0</v>
      </c>
      <c r="R793" s="306">
        <f t="shared" ca="1" si="368"/>
        <v>0</v>
      </c>
      <c r="S793" s="307">
        <f t="shared" ca="1" si="369"/>
        <v>6.4679999999999849</v>
      </c>
      <c r="T793" s="304">
        <f t="shared" ca="1" si="349"/>
        <v>63.451079999999855</v>
      </c>
      <c r="U793" s="311">
        <f t="shared" ca="1" si="350"/>
        <v>0</v>
      </c>
      <c r="V793" s="306">
        <f t="shared" ca="1" si="351"/>
        <v>0.9603365151725507</v>
      </c>
      <c r="W793" s="304">
        <f t="shared" ca="1" si="352"/>
        <v>25.460177034734116</v>
      </c>
      <c r="Y793" s="314" t="str">
        <f t="shared" ca="1" si="370"/>
        <v/>
      </c>
      <c r="Z793" s="315" t="str">
        <f t="shared" ca="1" si="371"/>
        <v/>
      </c>
      <c r="AA793" s="316" t="str">
        <f t="shared" ca="1" si="372"/>
        <v/>
      </c>
      <c r="AC793" s="310" t="e">
        <f t="shared" ca="1" si="373"/>
        <v>#N/A</v>
      </c>
      <c r="AD793" s="323" t="e">
        <f t="shared" ca="1" si="374"/>
        <v>#N/A</v>
      </c>
      <c r="AE793" s="324" t="e">
        <f t="shared" ca="1" si="353"/>
        <v>#N/A</v>
      </c>
      <c r="AG793" s="306">
        <f t="shared" ca="1" si="375"/>
        <v>5.849439044073411</v>
      </c>
      <c r="AH793" s="304">
        <f t="shared" ca="1" si="376"/>
        <v>-3.8859329577834201</v>
      </c>
    </row>
    <row r="794" spans="1:34" x14ac:dyDescent="0.2">
      <c r="A794" s="347">
        <f t="shared" ca="1" si="354"/>
        <v>0.1</v>
      </c>
      <c r="B794" s="304">
        <f t="shared" ca="1" si="355"/>
        <v>34.000000000000149</v>
      </c>
      <c r="D794" s="306">
        <f t="shared" ca="1" si="356"/>
        <v>-0.47983086518712414</v>
      </c>
      <c r="E794" s="307">
        <f t="shared" ca="1" si="357"/>
        <v>-5.9030255144698787</v>
      </c>
      <c r="F794" s="304">
        <f t="shared" ca="1" si="358"/>
        <v>5.9224950724900225</v>
      </c>
      <c r="G794" s="306">
        <f t="shared" ca="1" si="359"/>
        <v>11.978393514047005</v>
      </c>
      <c r="H794" s="307">
        <f t="shared" ca="1" si="360"/>
        <v>-98.513862582256706</v>
      </c>
      <c r="I794" s="304">
        <f t="shared" ca="1" si="361"/>
        <v>99.239422771664294</v>
      </c>
      <c r="J794" s="306">
        <f t="shared" ca="1" si="362"/>
        <v>638.95434619190098</v>
      </c>
      <c r="K794" s="307">
        <f t="shared" ca="1" si="363"/>
        <v>2412.35414606322</v>
      </c>
      <c r="L794" s="304">
        <f t="shared" ca="1" si="348"/>
        <v>2495.5390565058137</v>
      </c>
      <c r="M794" s="306">
        <f t="shared" ca="1" si="364"/>
        <v>-1.4497993378992522</v>
      </c>
      <c r="N794" s="304">
        <f t="shared" ca="1" si="365"/>
        <v>-83.067383202488287</v>
      </c>
      <c r="P794" s="310">
        <f t="shared" ca="1" si="366"/>
        <v>23</v>
      </c>
      <c r="Q794" s="304">
        <f t="shared" ca="1" si="367"/>
        <v>0</v>
      </c>
      <c r="R794" s="306">
        <f t="shared" ca="1" si="368"/>
        <v>0</v>
      </c>
      <c r="S794" s="307">
        <f t="shared" ca="1" si="369"/>
        <v>6.4679999999999849</v>
      </c>
      <c r="T794" s="304">
        <f t="shared" ca="1" si="349"/>
        <v>63.451079999999855</v>
      </c>
      <c r="U794" s="311">
        <f t="shared" ca="1" si="350"/>
        <v>0</v>
      </c>
      <c r="V794" s="306">
        <f t="shared" ca="1" si="351"/>
        <v>0.96129420544860356</v>
      </c>
      <c r="W794" s="304">
        <f t="shared" ca="1" si="352"/>
        <v>25.786161988765336</v>
      </c>
      <c r="Y794" s="314" t="str">
        <f t="shared" ca="1" si="370"/>
        <v/>
      </c>
      <c r="Z794" s="315" t="str">
        <f t="shared" ca="1" si="371"/>
        <v/>
      </c>
      <c r="AA794" s="316" t="str">
        <f t="shared" ca="1" si="372"/>
        <v/>
      </c>
      <c r="AC794" s="310">
        <f t="shared" ca="1" si="373"/>
        <v>34.000000000000149</v>
      </c>
      <c r="AD794" s="323">
        <f t="shared" ca="1" si="374"/>
        <v>638.95434619190098</v>
      </c>
      <c r="AE794" s="324" t="e">
        <f t="shared" ca="1" si="353"/>
        <v>#N/A</v>
      </c>
      <c r="AG794" s="306">
        <f t="shared" ca="1" si="375"/>
        <v>5.8005139967261368</v>
      </c>
      <c r="AH794" s="304">
        <f t="shared" ca="1" si="376"/>
        <v>-3.9363291643064588</v>
      </c>
    </row>
    <row r="795" spans="1:34" x14ac:dyDescent="0.2">
      <c r="A795" s="347">
        <f t="shared" ca="1" si="354"/>
        <v>0.1</v>
      </c>
      <c r="B795" s="304">
        <f t="shared" ca="1" si="355"/>
        <v>34.100000000000151</v>
      </c>
      <c r="D795" s="306">
        <f t="shared" ca="1" si="356"/>
        <v>-0.48120600937443742</v>
      </c>
      <c r="E795" s="307">
        <f t="shared" ca="1" si="357"/>
        <v>-5.852418991688884</v>
      </c>
      <c r="F795" s="304">
        <f t="shared" ca="1" si="358"/>
        <v>5.872168873400935</v>
      </c>
      <c r="G795" s="306">
        <f t="shared" ca="1" si="359"/>
        <v>11.930272913109562</v>
      </c>
      <c r="H795" s="307">
        <f t="shared" ca="1" si="360"/>
        <v>-99.099104481425599</v>
      </c>
      <c r="I795" s="304">
        <f t="shared" ca="1" si="361"/>
        <v>99.81464782686848</v>
      </c>
      <c r="J795" s="306">
        <f t="shared" ca="1" si="362"/>
        <v>640.14977951325886</v>
      </c>
      <c r="K795" s="307">
        <f t="shared" ca="1" si="363"/>
        <v>2402.4734977100361</v>
      </c>
      <c r="L795" s="304">
        <f t="shared" ca="1" si="348"/>
        <v>2486.2965726980296</v>
      </c>
      <c r="M795" s="306">
        <f t="shared" ca="1" si="364"/>
        <v>-1.4509856232771492</v>
      </c>
      <c r="N795" s="304">
        <f t="shared" ca="1" si="365"/>
        <v>-83.135352347939872</v>
      </c>
      <c r="P795" s="310">
        <f t="shared" ca="1" si="366"/>
        <v>23</v>
      </c>
      <c r="Q795" s="304">
        <f t="shared" ca="1" si="367"/>
        <v>0</v>
      </c>
      <c r="R795" s="306">
        <f t="shared" ca="1" si="368"/>
        <v>0</v>
      </c>
      <c r="S795" s="307">
        <f t="shared" ca="1" si="369"/>
        <v>6.4679999999999849</v>
      </c>
      <c r="T795" s="304">
        <f t="shared" ca="1" si="349"/>
        <v>63.451079999999855</v>
      </c>
      <c r="U795" s="311">
        <f t="shared" ca="1" si="350"/>
        <v>0</v>
      </c>
      <c r="V795" s="306">
        <f t="shared" ca="1" si="351"/>
        <v>0.96225847415950472</v>
      </c>
      <c r="W795" s="304">
        <f t="shared" ca="1" si="352"/>
        <v>26.112125542170407</v>
      </c>
      <c r="Y795" s="314" t="str">
        <f t="shared" ca="1" si="370"/>
        <v/>
      </c>
      <c r="Z795" s="315" t="str">
        <f t="shared" ca="1" si="371"/>
        <v/>
      </c>
      <c r="AA795" s="316" t="str">
        <f t="shared" ca="1" si="372"/>
        <v/>
      </c>
      <c r="AC795" s="310" t="e">
        <f t="shared" ca="1" si="373"/>
        <v>#N/A</v>
      </c>
      <c r="AD795" s="323" t="e">
        <f t="shared" ca="1" si="374"/>
        <v>#N/A</v>
      </c>
      <c r="AE795" s="324" t="e">
        <f t="shared" ca="1" si="353"/>
        <v>#N/A</v>
      </c>
      <c r="AG795" s="306">
        <f t="shared" ca="1" si="375"/>
        <v>5.7515482198309504</v>
      </c>
      <c r="AH795" s="304">
        <f t="shared" ca="1" si="376"/>
        <v>-3.9867288170632955</v>
      </c>
    </row>
    <row r="796" spans="1:34" x14ac:dyDescent="0.2">
      <c r="A796" s="347">
        <f t="shared" ca="1" si="354"/>
        <v>0.1</v>
      </c>
      <c r="B796" s="304">
        <f t="shared" ca="1" si="355"/>
        <v>34.200000000000152</v>
      </c>
      <c r="D796" s="306">
        <f t="shared" ca="1" si="356"/>
        <v>-0.48253443763254406</v>
      </c>
      <c r="E796" s="307">
        <f t="shared" ca="1" si="357"/>
        <v>-5.8018158621260136</v>
      </c>
      <c r="F796" s="304">
        <f t="shared" ca="1" si="358"/>
        <v>5.8218473684491574</v>
      </c>
      <c r="G796" s="306">
        <f t="shared" ca="1" si="359"/>
        <v>11.882019469346307</v>
      </c>
      <c r="H796" s="307">
        <f t="shared" ca="1" si="360"/>
        <v>-99.679286067638202</v>
      </c>
      <c r="I796" s="304">
        <f t="shared" ca="1" si="361"/>
        <v>100.38497127371197</v>
      </c>
      <c r="J796" s="306">
        <f t="shared" ca="1" si="362"/>
        <v>641.34039413238168</v>
      </c>
      <c r="K796" s="307">
        <f t="shared" ca="1" si="363"/>
        <v>2392.5345781825831</v>
      </c>
      <c r="L796" s="304">
        <f t="shared" ca="1" si="348"/>
        <v>2477.0020607470615</v>
      </c>
      <c r="M796" s="306">
        <f t="shared" ca="1" si="364"/>
        <v>-1.4521536600261515</v>
      </c>
      <c r="N796" s="304">
        <f t="shared" ca="1" si="365"/>
        <v>-83.202275923973886</v>
      </c>
      <c r="P796" s="310">
        <f t="shared" ca="1" si="366"/>
        <v>23</v>
      </c>
      <c r="Q796" s="304">
        <f t="shared" ca="1" si="367"/>
        <v>0</v>
      </c>
      <c r="R796" s="306">
        <f t="shared" ca="1" si="368"/>
        <v>0</v>
      </c>
      <c r="S796" s="307">
        <f t="shared" ca="1" si="369"/>
        <v>6.4679999999999849</v>
      </c>
      <c r="T796" s="304">
        <f t="shared" ca="1" si="349"/>
        <v>63.451079999999855</v>
      </c>
      <c r="U796" s="311">
        <f t="shared" ca="1" si="350"/>
        <v>0</v>
      </c>
      <c r="V796" s="306">
        <f t="shared" ca="1" si="351"/>
        <v>0.96322928815487974</v>
      </c>
      <c r="W796" s="304">
        <f t="shared" ca="1" si="352"/>
        <v>26.438024489850587</v>
      </c>
      <c r="Y796" s="314" t="str">
        <f t="shared" ca="1" si="370"/>
        <v/>
      </c>
      <c r="Z796" s="315" t="str">
        <f t="shared" ca="1" si="371"/>
        <v/>
      </c>
      <c r="AA796" s="316" t="str">
        <f t="shared" ca="1" si="372"/>
        <v/>
      </c>
      <c r="AC796" s="310" t="e">
        <f t="shared" ca="1" si="373"/>
        <v>#N/A</v>
      </c>
      <c r="AD796" s="323" t="e">
        <f t="shared" ca="1" si="374"/>
        <v>#N/A</v>
      </c>
      <c r="AE796" s="324" t="e">
        <f t="shared" ca="1" si="353"/>
        <v>#N/A</v>
      </c>
      <c r="AG796" s="306">
        <f t="shared" ca="1" si="375"/>
        <v>5.7025496874885437</v>
      </c>
      <c r="AH796" s="304">
        <f t="shared" ca="1" si="376"/>
        <v>-4.0371251611271592</v>
      </c>
    </row>
    <row r="797" spans="1:34" x14ac:dyDescent="0.2">
      <c r="A797" s="347">
        <f t="shared" ca="1" si="354"/>
        <v>0.1</v>
      </c>
      <c r="B797" s="304">
        <f t="shared" ca="1" si="355"/>
        <v>34.300000000000153</v>
      </c>
      <c r="D797" s="306">
        <f t="shared" ca="1" si="356"/>
        <v>-0.48381636021867563</v>
      </c>
      <c r="E797" s="307">
        <f t="shared" ca="1" si="357"/>
        <v>-5.7512228284209295</v>
      </c>
      <c r="F797" s="304">
        <f t="shared" ca="1" si="358"/>
        <v>5.7715372555815048</v>
      </c>
      <c r="G797" s="306">
        <f t="shared" ca="1" si="359"/>
        <v>11.83363783332444</v>
      </c>
      <c r="H797" s="307">
        <f t="shared" ca="1" si="360"/>
        <v>-100.25440835048029</v>
      </c>
      <c r="I797" s="304">
        <f t="shared" ca="1" si="361"/>
        <v>100.95039067816994</v>
      </c>
      <c r="J797" s="306">
        <f t="shared" ca="1" si="362"/>
        <v>642.52617699751522</v>
      </c>
      <c r="K797" s="307">
        <f t="shared" ca="1" si="363"/>
        <v>2382.5378934616774</v>
      </c>
      <c r="L797" s="304">
        <f t="shared" ca="1" si="348"/>
        <v>2467.6561150022198</v>
      </c>
      <c r="M797" s="306">
        <f t="shared" ca="1" si="364"/>
        <v>-1.4533038846475372</v>
      </c>
      <c r="N797" s="304">
        <f t="shared" ca="1" si="365"/>
        <v>-83.268178940271326</v>
      </c>
      <c r="P797" s="310">
        <f t="shared" ca="1" si="366"/>
        <v>23</v>
      </c>
      <c r="Q797" s="304">
        <f t="shared" ca="1" si="367"/>
        <v>0</v>
      </c>
      <c r="R797" s="306">
        <f t="shared" ca="1" si="368"/>
        <v>0</v>
      </c>
      <c r="S797" s="307">
        <f t="shared" ca="1" si="369"/>
        <v>6.4679999999999849</v>
      </c>
      <c r="T797" s="304">
        <f t="shared" ca="1" si="349"/>
        <v>63.451079999999855</v>
      </c>
      <c r="U797" s="311">
        <f t="shared" ca="1" si="350"/>
        <v>0</v>
      </c>
      <c r="V797" s="306">
        <f t="shared" ca="1" si="351"/>
        <v>0.96420661424698129</v>
      </c>
      <c r="W797" s="304">
        <f t="shared" ca="1" si="352"/>
        <v>26.763816119717614</v>
      </c>
      <c r="Y797" s="314" t="str">
        <f t="shared" ca="1" si="370"/>
        <v/>
      </c>
      <c r="Z797" s="315" t="str">
        <f t="shared" ca="1" si="371"/>
        <v/>
      </c>
      <c r="AA797" s="316" t="str">
        <f t="shared" ca="1" si="372"/>
        <v/>
      </c>
      <c r="AC797" s="310" t="e">
        <f t="shared" ca="1" si="373"/>
        <v>#N/A</v>
      </c>
      <c r="AD797" s="323" t="e">
        <f t="shared" ca="1" si="374"/>
        <v>#N/A</v>
      </c>
      <c r="AE797" s="324" t="e">
        <f t="shared" ca="1" si="353"/>
        <v>#N/A</v>
      </c>
      <c r="AG797" s="306">
        <f t="shared" ca="1" si="375"/>
        <v>5.6535262493999907</v>
      </c>
      <c r="AH797" s="304">
        <f t="shared" ca="1" si="376"/>
        <v>-4.0875115166744971</v>
      </c>
    </row>
    <row r="798" spans="1:34" x14ac:dyDescent="0.2">
      <c r="A798" s="347">
        <f t="shared" ca="1" si="354"/>
        <v>0.1</v>
      </c>
      <c r="B798" s="304">
        <f t="shared" ca="1" si="355"/>
        <v>34.400000000000155</v>
      </c>
      <c r="D798" s="306">
        <f t="shared" ca="1" si="356"/>
        <v>-0.4850519957090319</v>
      </c>
      <c r="E798" s="307">
        <f t="shared" ca="1" si="357"/>
        <v>-5.7006465168228475</v>
      </c>
      <c r="F798" s="304">
        <f t="shared" ca="1" si="358"/>
        <v>5.7212451571581671</v>
      </c>
      <c r="G798" s="306">
        <f t="shared" ca="1" si="359"/>
        <v>11.785132633753538</v>
      </c>
      <c r="H798" s="307">
        <f t="shared" ca="1" si="360"/>
        <v>-100.82447300216258</v>
      </c>
      <c r="I798" s="304">
        <f t="shared" ca="1" si="361"/>
        <v>101.51090437661844</v>
      </c>
      <c r="J798" s="306">
        <f t="shared" ca="1" si="362"/>
        <v>643.70711552086914</v>
      </c>
      <c r="K798" s="307">
        <f t="shared" ca="1" si="363"/>
        <v>2372.4839493940453</v>
      </c>
      <c r="L798" s="304">
        <f t="shared" ca="1" si="348"/>
        <v>2458.2593314588607</v>
      </c>
      <c r="M798" s="306">
        <f t="shared" ca="1" si="364"/>
        <v>-1.4544367196851395</v>
      </c>
      <c r="N798" s="304">
        <f t="shared" ca="1" si="365"/>
        <v>-83.333085606810471</v>
      </c>
      <c r="P798" s="310">
        <f t="shared" ca="1" si="366"/>
        <v>23</v>
      </c>
      <c r="Q798" s="304">
        <f t="shared" ca="1" si="367"/>
        <v>0</v>
      </c>
      <c r="R798" s="306">
        <f t="shared" ca="1" si="368"/>
        <v>0</v>
      </c>
      <c r="S798" s="307">
        <f t="shared" ca="1" si="369"/>
        <v>6.4679999999999849</v>
      </c>
      <c r="T798" s="304">
        <f t="shared" ca="1" si="349"/>
        <v>63.451079999999855</v>
      </c>
      <c r="U798" s="311">
        <f t="shared" ca="1" si="350"/>
        <v>0</v>
      </c>
      <c r="V798" s="306">
        <f t="shared" ca="1" si="351"/>
        <v>0.9651904192148123</v>
      </c>
      <c r="W798" s="304">
        <f t="shared" ca="1" si="352"/>
        <v>27.089458219628774</v>
      </c>
      <c r="Y798" s="314" t="str">
        <f t="shared" ca="1" si="370"/>
        <v/>
      </c>
      <c r="Z798" s="315" t="str">
        <f t="shared" ca="1" si="371"/>
        <v/>
      </c>
      <c r="AA798" s="316" t="str">
        <f t="shared" ca="1" si="372"/>
        <v/>
      </c>
      <c r="AC798" s="310" t="e">
        <f t="shared" ca="1" si="373"/>
        <v>#N/A</v>
      </c>
      <c r="AD798" s="323" t="e">
        <f t="shared" ca="1" si="374"/>
        <v>#N/A</v>
      </c>
      <c r="AE798" s="324" t="e">
        <f t="shared" ca="1" si="353"/>
        <v>#N/A</v>
      </c>
      <c r="AG798" s="306">
        <f t="shared" ca="1" si="375"/>
        <v>5.6044856321105367</v>
      </c>
      <c r="AH798" s="304">
        <f t="shared" ca="1" si="376"/>
        <v>-4.1378812801047733</v>
      </c>
    </row>
    <row r="799" spans="1:34" x14ac:dyDescent="0.2">
      <c r="A799" s="347">
        <f t="shared" ca="1" si="354"/>
        <v>0.1</v>
      </c>
      <c r="B799" s="304">
        <f t="shared" ca="1" si="355"/>
        <v>34.500000000000156</v>
      </c>
      <c r="D799" s="306">
        <f t="shared" ca="1" si="356"/>
        <v>-0.48624157080421415</v>
      </c>
      <c r="E799" s="307">
        <f t="shared" ca="1" si="357"/>
        <v>-5.6500934761084425</v>
      </c>
      <c r="F799" s="304">
        <f t="shared" ca="1" si="358"/>
        <v>5.6709776188891219</v>
      </c>
      <c r="G799" s="306">
        <f t="shared" ca="1" si="359"/>
        <v>11.736508476673116</v>
      </c>
      <c r="H799" s="307">
        <f t="shared" ca="1" si="360"/>
        <v>-101.38948234977342</v>
      </c>
      <c r="I799" s="304">
        <f t="shared" ca="1" si="361"/>
        <v>102.06651146374131</v>
      </c>
      <c r="J799" s="306">
        <f t="shared" ca="1" si="362"/>
        <v>644.88319757639044</v>
      </c>
      <c r="K799" s="307">
        <f t="shared" ca="1" si="363"/>
        <v>2362.3732516264486</v>
      </c>
      <c r="L799" s="304">
        <f t="shared" ca="1" si="348"/>
        <v>2448.8123077354194</v>
      </c>
      <c r="M799" s="306">
        <f t="shared" ca="1" si="364"/>
        <v>-1.4555525742741933</v>
      </c>
      <c r="N799" s="304">
        <f t="shared" ca="1" si="365"/>
        <v>-83.397019365313554</v>
      </c>
      <c r="P799" s="310">
        <f t="shared" ca="1" si="366"/>
        <v>23</v>
      </c>
      <c r="Q799" s="304">
        <f t="shared" ca="1" si="367"/>
        <v>0</v>
      </c>
      <c r="R799" s="306">
        <f t="shared" ca="1" si="368"/>
        <v>0</v>
      </c>
      <c r="S799" s="307">
        <f t="shared" ca="1" si="369"/>
        <v>6.4679999999999849</v>
      </c>
      <c r="T799" s="304">
        <f t="shared" ca="1" si="349"/>
        <v>63.451079999999855</v>
      </c>
      <c r="U799" s="311">
        <f t="shared" ca="1" si="350"/>
        <v>0</v>
      </c>
      <c r="V799" s="306">
        <f t="shared" ca="1" si="351"/>
        <v>0.96618066980820805</v>
      </c>
      <c r="W799" s="304">
        <f t="shared" ca="1" si="352"/>
        <v>27.414909084014308</v>
      </c>
      <c r="Y799" s="314" t="str">
        <f t="shared" ca="1" si="370"/>
        <v/>
      </c>
      <c r="Z799" s="315" t="str">
        <f t="shared" ca="1" si="371"/>
        <v/>
      </c>
      <c r="AA799" s="316" t="str">
        <f t="shared" ca="1" si="372"/>
        <v/>
      </c>
      <c r="AC799" s="310" t="e">
        <f t="shared" ca="1" si="373"/>
        <v>#N/A</v>
      </c>
      <c r="AD799" s="323" t="e">
        <f t="shared" ca="1" si="374"/>
        <v>#N/A</v>
      </c>
      <c r="AE799" s="324" t="e">
        <f t="shared" ca="1" si="353"/>
        <v>#N/A</v>
      </c>
      <c r="AG799" s="306">
        <f t="shared" ca="1" si="375"/>
        <v>5.5554354401704353</v>
      </c>
      <c r="AH799" s="304">
        <f t="shared" ca="1" si="376"/>
        <v>-4.1882279251126837</v>
      </c>
    </row>
    <row r="800" spans="1:34" x14ac:dyDescent="0.2">
      <c r="A800" s="347">
        <f t="shared" ca="1" si="354"/>
        <v>0.1</v>
      </c>
      <c r="B800" s="304">
        <f t="shared" ca="1" si="355"/>
        <v>34.600000000000158</v>
      </c>
      <c r="D800" s="306">
        <f t="shared" ca="1" si="356"/>
        <v>-0.48738532013517133</v>
      </c>
      <c r="E800" s="307">
        <f t="shared" ca="1" si="357"/>
        <v>-5.5995701765478323</v>
      </c>
      <c r="F800" s="304">
        <f t="shared" ca="1" si="358"/>
        <v>5.6207411088189412</v>
      </c>
      <c r="G800" s="306">
        <f t="shared" ca="1" si="359"/>
        <v>11.687769944659598</v>
      </c>
      <c r="H800" s="307">
        <f t="shared" ca="1" si="360"/>
        <v>-101.9494393674282</v>
      </c>
      <c r="I800" s="304">
        <f t="shared" ca="1" si="361"/>
        <v>102.61721178054005</v>
      </c>
      <c r="J800" s="306">
        <f t="shared" ca="1" si="362"/>
        <v>646.05441149745707</v>
      </c>
      <c r="K800" s="307">
        <f t="shared" ca="1" si="363"/>
        <v>2352.2063055405883</v>
      </c>
      <c r="L800" s="304">
        <f t="shared" ca="1" si="348"/>
        <v>2439.3156430524177</v>
      </c>
      <c r="M800" s="306">
        <f t="shared" ca="1" si="364"/>
        <v>-1.4566518446646537</v>
      </c>
      <c r="N800" s="304">
        <f t="shared" ca="1" si="365"/>
        <v>-83.460002919230632</v>
      </c>
      <c r="P800" s="310">
        <f t="shared" ca="1" si="366"/>
        <v>23</v>
      </c>
      <c r="Q800" s="304">
        <f t="shared" ca="1" si="367"/>
        <v>0</v>
      </c>
      <c r="R800" s="306">
        <f t="shared" ca="1" si="368"/>
        <v>0</v>
      </c>
      <c r="S800" s="307">
        <f t="shared" ca="1" si="369"/>
        <v>6.4679999999999849</v>
      </c>
      <c r="T800" s="304">
        <f t="shared" ca="1" si="349"/>
        <v>63.451079999999855</v>
      </c>
      <c r="U800" s="311">
        <f t="shared" ca="1" si="350"/>
        <v>0</v>
      </c>
      <c r="V800" s="306">
        <f t="shared" ca="1" si="351"/>
        <v>0.96717733275189244</v>
      </c>
      <c r="W800" s="304">
        <f t="shared" ca="1" si="352"/>
        <v>27.740127520199295</v>
      </c>
      <c r="Y800" s="314" t="str">
        <f t="shared" ca="1" si="370"/>
        <v/>
      </c>
      <c r="Z800" s="315" t="str">
        <f t="shared" ca="1" si="371"/>
        <v/>
      </c>
      <c r="AA800" s="316" t="str">
        <f t="shared" ca="1" si="372"/>
        <v/>
      </c>
      <c r="AC800" s="310" t="e">
        <f t="shared" ca="1" si="373"/>
        <v>#N/A</v>
      </c>
      <c r="AD800" s="323" t="e">
        <f t="shared" ca="1" si="374"/>
        <v>#N/A</v>
      </c>
      <c r="AE800" s="324" t="e">
        <f t="shared" ca="1" si="353"/>
        <v>#N/A</v>
      </c>
      <c r="AG800" s="306">
        <f t="shared" ca="1" si="375"/>
        <v>5.5063831572209256</v>
      </c>
      <c r="AH800" s="304">
        <f t="shared" ca="1" si="376"/>
        <v>-4.2385450037127974</v>
      </c>
    </row>
    <row r="801" spans="1:34" x14ac:dyDescent="0.2">
      <c r="A801" s="347">
        <f t="shared" ca="1" si="354"/>
        <v>0.1</v>
      </c>
      <c r="B801" s="304">
        <f t="shared" ca="1" si="355"/>
        <v>34.700000000000159</v>
      </c>
      <c r="D801" s="306">
        <f t="shared" ca="1" si="356"/>
        <v>-0.48848348606971742</v>
      </c>
      <c r="E801" s="307">
        <f t="shared" ca="1" si="357"/>
        <v>-5.5490830089182532</v>
      </c>
      <c r="F801" s="304">
        <f t="shared" ca="1" si="358"/>
        <v>5.570542016359636</v>
      </c>
      <c r="G801" s="306">
        <f t="shared" ca="1" si="359"/>
        <v>11.638921596052626</v>
      </c>
      <c r="H801" s="307">
        <f t="shared" ca="1" si="360"/>
        <v>-102.50434766832002</v>
      </c>
      <c r="I801" s="304">
        <f t="shared" ca="1" si="361"/>
        <v>103.16300590244008</v>
      </c>
      <c r="J801" s="306">
        <f t="shared" ca="1" si="362"/>
        <v>647.22074607449269</v>
      </c>
      <c r="K801" s="307">
        <f t="shared" ca="1" si="363"/>
        <v>2341.9836161888011</v>
      </c>
      <c r="L801" s="304">
        <f t="shared" ca="1" si="348"/>
        <v>2429.769938213492</v>
      </c>
      <c r="M801" s="306">
        <f t="shared" ca="1" si="364"/>
        <v>-1.457734914720356</v>
      </c>
      <c r="N801" s="304">
        <f t="shared" ca="1" si="365"/>
        <v>-83.522058262339385</v>
      </c>
      <c r="P801" s="310">
        <f t="shared" ca="1" si="366"/>
        <v>23</v>
      </c>
      <c r="Q801" s="304">
        <f t="shared" ca="1" si="367"/>
        <v>0</v>
      </c>
      <c r="R801" s="306">
        <f t="shared" ca="1" si="368"/>
        <v>0</v>
      </c>
      <c r="S801" s="307">
        <f t="shared" ca="1" si="369"/>
        <v>6.4679999999999849</v>
      </c>
      <c r="T801" s="304">
        <f t="shared" ca="1" si="349"/>
        <v>63.451079999999855</v>
      </c>
      <c r="U801" s="311">
        <f t="shared" ca="1" si="350"/>
        <v>0</v>
      </c>
      <c r="V801" s="306">
        <f t="shared" ca="1" si="351"/>
        <v>0.96818037474949359</v>
      </c>
      <c r="W801" s="304">
        <f t="shared" ca="1" si="352"/>
        <v>28.065072854420734</v>
      </c>
      <c r="Y801" s="314" t="str">
        <f t="shared" ca="1" si="370"/>
        <v/>
      </c>
      <c r="Z801" s="315" t="str">
        <f t="shared" ca="1" si="371"/>
        <v/>
      </c>
      <c r="AA801" s="316" t="str">
        <f t="shared" ca="1" si="372"/>
        <v/>
      </c>
      <c r="AC801" s="310" t="e">
        <f t="shared" ca="1" si="373"/>
        <v>#N/A</v>
      </c>
      <c r="AD801" s="323" t="e">
        <f t="shared" ca="1" si="374"/>
        <v>#N/A</v>
      </c>
      <c r="AE801" s="324" t="e">
        <f t="shared" ca="1" si="353"/>
        <v>#N/A</v>
      </c>
      <c r="AG801" s="306">
        <f t="shared" ca="1" si="375"/>
        <v>5.4573361470126081</v>
      </c>
      <c r="AH801" s="304">
        <f t="shared" ca="1" si="376"/>
        <v>-4.2888261472169695</v>
      </c>
    </row>
    <row r="802" spans="1:34" x14ac:dyDescent="0.2">
      <c r="A802" s="347">
        <f t="shared" ca="1" si="354"/>
        <v>0.1</v>
      </c>
      <c r="B802" s="304">
        <f t="shared" ca="1" si="355"/>
        <v>34.800000000000161</v>
      </c>
      <c r="D802" s="306">
        <f t="shared" ca="1" si="356"/>
        <v>-0.48953631851963514</v>
      </c>
      <c r="E802" s="307">
        <f t="shared" ca="1" si="357"/>
        <v>-5.4986382835653194</v>
      </c>
      <c r="F802" s="304">
        <f t="shared" ca="1" si="358"/>
        <v>5.5203866513714344</v>
      </c>
      <c r="G802" s="306">
        <f t="shared" ca="1" si="359"/>
        <v>11.589967964200662</v>
      </c>
      <c r="H802" s="307">
        <f t="shared" ca="1" si="360"/>
        <v>-103.05421149667656</v>
      </c>
      <c r="I802" s="304">
        <f t="shared" ca="1" si="361"/>
        <v>103.70389512748757</v>
      </c>
      <c r="J802" s="306">
        <f t="shared" ca="1" si="362"/>
        <v>648.38219055250534</v>
      </c>
      <c r="K802" s="307">
        <f t="shared" ca="1" si="363"/>
        <v>2331.7056882305515</v>
      </c>
      <c r="L802" s="304">
        <f t="shared" ca="1" si="348"/>
        <v>2420.1757955884887</v>
      </c>
      <c r="M802" s="306">
        <f t="shared" ca="1" si="364"/>
        <v>-1.4588021563952984</v>
      </c>
      <c r="N802" s="304">
        <f t="shared" ca="1" si="365"/>
        <v>-83.583206706034048</v>
      </c>
      <c r="P802" s="310">
        <f t="shared" ca="1" si="366"/>
        <v>23</v>
      </c>
      <c r="Q802" s="304">
        <f t="shared" ca="1" si="367"/>
        <v>0</v>
      </c>
      <c r="R802" s="306">
        <f t="shared" ca="1" si="368"/>
        <v>0</v>
      </c>
      <c r="S802" s="307">
        <f t="shared" ca="1" si="369"/>
        <v>6.4679999999999849</v>
      </c>
      <c r="T802" s="304">
        <f t="shared" ca="1" si="349"/>
        <v>63.451079999999855</v>
      </c>
      <c r="U802" s="311">
        <f t="shared" ca="1" si="350"/>
        <v>0</v>
      </c>
      <c r="V802" s="306">
        <f t="shared" ca="1" si="351"/>
        <v>0.9691897624875293</v>
      </c>
      <c r="W802" s="304">
        <f t="shared" ca="1" si="352"/>
        <v>28.38970493754201</v>
      </c>
      <c r="Y802" s="314" t="str">
        <f t="shared" ca="1" si="370"/>
        <v/>
      </c>
      <c r="Z802" s="315" t="str">
        <f t="shared" ca="1" si="371"/>
        <v/>
      </c>
      <c r="AA802" s="316" t="str">
        <f t="shared" ca="1" si="372"/>
        <v/>
      </c>
      <c r="AC802" s="310" t="e">
        <f t="shared" ca="1" si="373"/>
        <v>#N/A</v>
      </c>
      <c r="AD802" s="323" t="e">
        <f t="shared" ca="1" si="374"/>
        <v>#N/A</v>
      </c>
      <c r="AE802" s="324" t="e">
        <f t="shared" ca="1" si="353"/>
        <v>#N/A</v>
      </c>
      <c r="AG802" s="306">
        <f t="shared" ca="1" si="375"/>
        <v>5.4083016543631661</v>
      </c>
      <c r="AH802" s="304">
        <f t="shared" ca="1" si="376"/>
        <v>-4.3390650671646256</v>
      </c>
    </row>
    <row r="803" spans="1:34" x14ac:dyDescent="0.2">
      <c r="A803" s="347">
        <f t="shared" ca="1" si="354"/>
        <v>0.1</v>
      </c>
      <c r="B803" s="304">
        <f t="shared" ca="1" si="355"/>
        <v>34.900000000000162</v>
      </c>
      <c r="D803" s="306">
        <f t="shared" ca="1" si="356"/>
        <v>-0.49054407474841771</v>
      </c>
      <c r="E803" s="307">
        <f t="shared" ca="1" si="357"/>
        <v>-5.4482422295115098</v>
      </c>
      <c r="F803" s="304">
        <f t="shared" ca="1" si="358"/>
        <v>5.4702812432911827</v>
      </c>
      <c r="G803" s="306">
        <f t="shared" ca="1" si="359"/>
        <v>11.540913556725821</v>
      </c>
      <c r="H803" s="307">
        <f t="shared" ca="1" si="360"/>
        <v>-103.59903571962771</v>
      </c>
      <c r="I803" s="304">
        <f t="shared" ca="1" si="361"/>
        <v>104.23988146463194</v>
      </c>
      <c r="J803" s="306">
        <f t="shared" ca="1" si="362"/>
        <v>649.53873462855165</v>
      </c>
      <c r="K803" s="307">
        <f t="shared" ca="1" si="363"/>
        <v>2321.3730258697365</v>
      </c>
      <c r="L803" s="304">
        <f t="shared" ca="1" si="348"/>
        <v>2410.5338190986818</v>
      </c>
      <c r="M803" s="306">
        <f t="shared" ca="1" si="364"/>
        <v>-1.459853930188256</v>
      </c>
      <c r="N803" s="304">
        <f t="shared" ca="1" si="365"/>
        <v>-83.643468905372998</v>
      </c>
      <c r="P803" s="310">
        <f t="shared" ca="1" si="366"/>
        <v>23</v>
      </c>
      <c r="Q803" s="304">
        <f t="shared" ca="1" si="367"/>
        <v>0</v>
      </c>
      <c r="R803" s="306">
        <f t="shared" ca="1" si="368"/>
        <v>0</v>
      </c>
      <c r="S803" s="307">
        <f t="shared" ca="1" si="369"/>
        <v>6.4679999999999849</v>
      </c>
      <c r="T803" s="304">
        <f t="shared" ca="1" si="349"/>
        <v>63.451079999999855</v>
      </c>
      <c r="U803" s="311">
        <f t="shared" ca="1" si="350"/>
        <v>0</v>
      </c>
      <c r="V803" s="306">
        <f t="shared" ca="1" si="351"/>
        <v>0.97020546263935548</v>
      </c>
      <c r="W803" s="304">
        <f t="shared" ca="1" si="352"/>
        <v>28.71398415046616</v>
      </c>
      <c r="Y803" s="314" t="str">
        <f t="shared" ca="1" si="370"/>
        <v/>
      </c>
      <c r="Z803" s="315" t="str">
        <f t="shared" ca="1" si="371"/>
        <v/>
      </c>
      <c r="AA803" s="316" t="str">
        <f t="shared" ca="1" si="372"/>
        <v/>
      </c>
      <c r="AC803" s="310" t="e">
        <f t="shared" ca="1" si="373"/>
        <v>#N/A</v>
      </c>
      <c r="AD803" s="323" t="e">
        <f t="shared" ca="1" si="374"/>
        <v>#N/A</v>
      </c>
      <c r="AE803" s="324" t="e">
        <f t="shared" ca="1" si="353"/>
        <v>#N/A</v>
      </c>
      <c r="AG803" s="306">
        <f t="shared" ca="1" si="375"/>
        <v>5.3592868060606467</v>
      </c>
      <c r="AH803" s="304">
        <f t="shared" ca="1" si="376"/>
        <v>-4.3892555562062583</v>
      </c>
    </row>
    <row r="804" spans="1:34" x14ac:dyDescent="0.2">
      <c r="A804" s="347">
        <f t="shared" ca="1" si="354"/>
        <v>0.1</v>
      </c>
      <c r="B804" s="304">
        <f t="shared" ca="1" si="355"/>
        <v>35.000000000000163</v>
      </c>
      <c r="D804" s="306">
        <f t="shared" ca="1" si="356"/>
        <v>-0.49150701917968576</v>
      </c>
      <c r="E804" s="307">
        <f t="shared" ca="1" si="357"/>
        <v>-5.3979009936116373</v>
      </c>
      <c r="F804" s="304">
        <f t="shared" ca="1" si="358"/>
        <v>5.4202319403081267</v>
      </c>
      <c r="G804" s="306">
        <f t="shared" ca="1" si="359"/>
        <v>11.491762854807853</v>
      </c>
      <c r="H804" s="307">
        <f t="shared" ca="1" si="360"/>
        <v>-104.13882581898888</v>
      </c>
      <c r="I804" s="304">
        <f t="shared" ca="1" si="361"/>
        <v>104.77096762208912</v>
      </c>
      <c r="J804" s="306">
        <f t="shared" ca="1" si="362"/>
        <v>650.6903684491283</v>
      </c>
      <c r="K804" s="307">
        <f t="shared" ca="1" si="363"/>
        <v>2310.9861327928056</v>
      </c>
      <c r="L804" s="304">
        <f t="shared" ca="1" si="348"/>
        <v>2400.8446142041576</v>
      </c>
      <c r="M804" s="306">
        <f t="shared" ca="1" si="364"/>
        <v>-1.4608905855768601</v>
      </c>
      <c r="N804" s="304">
        <f t="shared" ca="1" si="365"/>
        <v>-83.702864883949502</v>
      </c>
      <c r="P804" s="310">
        <f t="shared" ca="1" si="366"/>
        <v>23</v>
      </c>
      <c r="Q804" s="304">
        <f t="shared" ca="1" si="367"/>
        <v>0</v>
      </c>
      <c r="R804" s="306">
        <f t="shared" ca="1" si="368"/>
        <v>0</v>
      </c>
      <c r="S804" s="307">
        <f t="shared" ca="1" si="369"/>
        <v>6.4679999999999849</v>
      </c>
      <c r="T804" s="304">
        <f t="shared" ca="1" si="349"/>
        <v>63.451079999999855</v>
      </c>
      <c r="U804" s="311">
        <f t="shared" ca="1" si="350"/>
        <v>0</v>
      </c>
      <c r="V804" s="306">
        <f t="shared" ca="1" si="351"/>
        <v>0.97122744186907739</v>
      </c>
      <c r="W804" s="304">
        <f t="shared" ca="1" si="352"/>
        <v>29.037871409250002</v>
      </c>
      <c r="Y804" s="314" t="str">
        <f t="shared" ca="1" si="370"/>
        <v/>
      </c>
      <c r="Z804" s="315" t="str">
        <f t="shared" ca="1" si="371"/>
        <v/>
      </c>
      <c r="AA804" s="316" t="str">
        <f t="shared" ca="1" si="372"/>
        <v/>
      </c>
      <c r="AC804" s="310">
        <f t="shared" ca="1" si="373"/>
        <v>35.000000000000163</v>
      </c>
      <c r="AD804" s="323">
        <f t="shared" ca="1" si="374"/>
        <v>650.6903684491283</v>
      </c>
      <c r="AE804" s="324" t="e">
        <f t="shared" ca="1" si="353"/>
        <v>#N/A</v>
      </c>
      <c r="AG804" s="306">
        <f t="shared" ca="1" si="375"/>
        <v>5.3102986117182436</v>
      </c>
      <c r="AH804" s="304">
        <f t="shared" ca="1" si="376"/>
        <v>-4.4393914889403572</v>
      </c>
    </row>
    <row r="805" spans="1:34" x14ac:dyDescent="0.2">
      <c r="A805" s="347">
        <f t="shared" ca="1" si="354"/>
        <v>0.1</v>
      </c>
      <c r="B805" s="304">
        <f t="shared" ca="1" si="355"/>
        <v>35.100000000000165</v>
      </c>
      <c r="D805" s="306">
        <f t="shared" ca="1" si="356"/>
        <v>-0.49242542320632277</v>
      </c>
      <c r="E805" s="307">
        <f t="shared" ca="1" si="357"/>
        <v>-5.347620639754969</v>
      </c>
      <c r="F805" s="304">
        <f t="shared" ca="1" si="358"/>
        <v>5.3702448085867811</v>
      </c>
      <c r="G805" s="306">
        <f t="shared" ca="1" si="359"/>
        <v>11.44252031248722</v>
      </c>
      <c r="H805" s="307">
        <f t="shared" ca="1" si="360"/>
        <v>-104.67358788296437</v>
      </c>
      <c r="I805" s="304">
        <f t="shared" ca="1" si="361"/>
        <v>105.29715699578193</v>
      </c>
      <c r="J805" s="306">
        <f t="shared" ca="1" si="362"/>
        <v>651.83708260749302</v>
      </c>
      <c r="K805" s="307">
        <f t="shared" ca="1" si="363"/>
        <v>2300.545512107708</v>
      </c>
      <c r="L805" s="304">
        <f t="shared" ca="1" si="348"/>
        <v>2391.108787893425</v>
      </c>
      <c r="M805" s="306">
        <f t="shared" ca="1" si="364"/>
        <v>-1.4619124614322128</v>
      </c>
      <c r="N805" s="304">
        <f t="shared" ca="1" si="365"/>
        <v>-83.761414057647528</v>
      </c>
      <c r="P805" s="310">
        <f t="shared" ca="1" si="366"/>
        <v>23</v>
      </c>
      <c r="Q805" s="304">
        <f t="shared" ca="1" si="367"/>
        <v>0</v>
      </c>
      <c r="R805" s="306">
        <f t="shared" ca="1" si="368"/>
        <v>0</v>
      </c>
      <c r="S805" s="307">
        <f t="shared" ca="1" si="369"/>
        <v>6.4679999999999849</v>
      </c>
      <c r="T805" s="304">
        <f t="shared" ca="1" si="349"/>
        <v>63.451079999999855</v>
      </c>
      <c r="U805" s="311">
        <f t="shared" ca="1" si="350"/>
        <v>0</v>
      </c>
      <c r="V805" s="306">
        <f t="shared" ca="1" si="351"/>
        <v>0.97225566683542675</v>
      </c>
      <c r="W805" s="304">
        <f t="shared" ca="1" si="352"/>
        <v>29.361328169921453</v>
      </c>
      <c r="Y805" s="314" t="str">
        <f t="shared" ca="1" si="370"/>
        <v/>
      </c>
      <c r="Z805" s="315" t="str">
        <f t="shared" ca="1" si="371"/>
        <v/>
      </c>
      <c r="AA805" s="316" t="str">
        <f t="shared" ca="1" si="372"/>
        <v/>
      </c>
      <c r="AC805" s="310" t="e">
        <f t="shared" ca="1" si="373"/>
        <v>#N/A</v>
      </c>
      <c r="AD805" s="323" t="e">
        <f t="shared" ca="1" si="374"/>
        <v>#N/A</v>
      </c>
      <c r="AE805" s="324" t="e">
        <f t="shared" ca="1" si="353"/>
        <v>#N/A</v>
      </c>
      <c r="AG805" s="306">
        <f t="shared" ca="1" si="375"/>
        <v>5.2613439645859374</v>
      </c>
      <c r="AH805" s="304">
        <f t="shared" ca="1" si="376"/>
        <v>-4.4894668227040926</v>
      </c>
    </row>
    <row r="806" spans="1:34" x14ac:dyDescent="0.2">
      <c r="A806" s="347">
        <f t="shared" ca="1" si="354"/>
        <v>0.1</v>
      </c>
      <c r="B806" s="304">
        <f t="shared" ca="1" si="355"/>
        <v>35.200000000000166</v>
      </c>
      <c r="D806" s="306">
        <f t="shared" ca="1" si="356"/>
        <v>-0.49329956500037092</v>
      </c>
      <c r="E806" s="307">
        <f t="shared" ca="1" si="357"/>
        <v>-5.2974071481136269</v>
      </c>
      <c r="F806" s="304">
        <f t="shared" ca="1" si="358"/>
        <v>5.3203258315365334</v>
      </c>
      <c r="G806" s="306">
        <f t="shared" ca="1" si="359"/>
        <v>11.393190355987183</v>
      </c>
      <c r="H806" s="307">
        <f t="shared" ca="1" si="360"/>
        <v>-105.20332859777574</v>
      </c>
      <c r="I806" s="304">
        <f t="shared" ca="1" si="361"/>
        <v>105.81845365785374</v>
      </c>
      <c r="J806" s="306">
        <f t="shared" ca="1" si="362"/>
        <v>652.97886814091669</v>
      </c>
      <c r="K806" s="307">
        <f t="shared" ca="1" si="363"/>
        <v>2290.0516662836708</v>
      </c>
      <c r="L806" s="304">
        <f t="shared" ca="1" si="348"/>
        <v>2381.3269486752988</v>
      </c>
      <c r="M806" s="306">
        <f t="shared" ca="1" si="364"/>
        <v>-1.4629198864150388</v>
      </c>
      <c r="N806" s="304">
        <f t="shared" ca="1" si="365"/>
        <v>-83.819135257339497</v>
      </c>
      <c r="P806" s="310">
        <f t="shared" ca="1" si="366"/>
        <v>23</v>
      </c>
      <c r="Q806" s="304">
        <f t="shared" ca="1" si="367"/>
        <v>0</v>
      </c>
      <c r="R806" s="306">
        <f t="shared" ca="1" si="368"/>
        <v>0</v>
      </c>
      <c r="S806" s="307">
        <f t="shared" ca="1" si="369"/>
        <v>6.4679999999999849</v>
      </c>
      <c r="T806" s="304">
        <f t="shared" ca="1" si="349"/>
        <v>63.451079999999855</v>
      </c>
      <c r="U806" s="311">
        <f t="shared" ca="1" si="350"/>
        <v>0</v>
      </c>
      <c r="V806" s="306">
        <f t="shared" ca="1" si="351"/>
        <v>0.97329010419559847</v>
      </c>
      <c r="W806" s="304">
        <f t="shared" ca="1" si="352"/>
        <v>29.684316433002024</v>
      </c>
      <c r="Y806" s="314" t="str">
        <f t="shared" ca="1" si="370"/>
        <v/>
      </c>
      <c r="Z806" s="315" t="str">
        <f t="shared" ca="1" si="371"/>
        <v/>
      </c>
      <c r="AA806" s="316" t="str">
        <f t="shared" ca="1" si="372"/>
        <v/>
      </c>
      <c r="AC806" s="310" t="e">
        <f t="shared" ca="1" si="373"/>
        <v>#N/A</v>
      </c>
      <c r="AD806" s="323" t="e">
        <f t="shared" ca="1" si="374"/>
        <v>#N/A</v>
      </c>
      <c r="AE806" s="324" t="e">
        <f t="shared" ca="1" si="353"/>
        <v>#N/A</v>
      </c>
      <c r="AG806" s="306">
        <f t="shared" ca="1" si="375"/>
        <v>5.2124296423239977</v>
      </c>
      <c r="AH806" s="304">
        <f t="shared" ca="1" si="376"/>
        <v>-4.5394755983181083</v>
      </c>
    </row>
    <row r="807" spans="1:34" x14ac:dyDescent="0.2">
      <c r="A807" s="347">
        <f t="shared" ca="1" si="354"/>
        <v>0.1</v>
      </c>
      <c r="B807" s="304">
        <f t="shared" ca="1" si="355"/>
        <v>35.300000000000168</v>
      </c>
      <c r="D807" s="306">
        <f t="shared" ca="1" si="356"/>
        <v>-0.49412972932374344</v>
      </c>
      <c r="E807" s="307">
        <f t="shared" ca="1" si="357"/>
        <v>-5.2472664144369476</v>
      </c>
      <c r="F807" s="304">
        <f t="shared" ca="1" si="358"/>
        <v>5.2704809091276985</v>
      </c>
      <c r="G807" s="306">
        <f t="shared" ca="1" si="359"/>
        <v>11.343777383054809</v>
      </c>
      <c r="H807" s="307">
        <f t="shared" ca="1" si="360"/>
        <v>-105.72805523921943</v>
      </c>
      <c r="I807" s="304">
        <f t="shared" ca="1" si="361"/>
        <v>106.33486234525223</v>
      </c>
      <c r="J807" s="306">
        <f t="shared" ca="1" si="362"/>
        <v>654.11571652786881</v>
      </c>
      <c r="K807" s="307">
        <f t="shared" ca="1" si="363"/>
        <v>2279.505097091821</v>
      </c>
      <c r="L807" s="304">
        <f t="shared" ca="1" si="348"/>
        <v>2371.4997065731127</v>
      </c>
      <c r="M807" s="306">
        <f t="shared" ca="1" si="364"/>
        <v>-1.4639131793543267</v>
      </c>
      <c r="N807" s="304">
        <f t="shared" ca="1" si="365"/>
        <v>-83.876046750580841</v>
      </c>
      <c r="P807" s="310">
        <f t="shared" ca="1" si="366"/>
        <v>23</v>
      </c>
      <c r="Q807" s="304">
        <f t="shared" ca="1" si="367"/>
        <v>0</v>
      </c>
      <c r="R807" s="306">
        <f t="shared" ca="1" si="368"/>
        <v>0</v>
      </c>
      <c r="S807" s="307">
        <f t="shared" ca="1" si="369"/>
        <v>6.4679999999999849</v>
      </c>
      <c r="T807" s="304">
        <f t="shared" ca="1" si="349"/>
        <v>63.451079999999855</v>
      </c>
      <c r="U807" s="311">
        <f t="shared" ca="1" si="350"/>
        <v>0</v>
      </c>
      <c r="V807" s="306">
        <f t="shared" ca="1" si="351"/>
        <v>0.97433072060905201</v>
      </c>
      <c r="W807" s="304">
        <f t="shared" ca="1" si="352"/>
        <v>30.006798747737136</v>
      </c>
      <c r="Y807" s="314" t="str">
        <f t="shared" ca="1" si="370"/>
        <v/>
      </c>
      <c r="Z807" s="315" t="str">
        <f t="shared" ca="1" si="371"/>
        <v/>
      </c>
      <c r="AA807" s="316" t="str">
        <f t="shared" ca="1" si="372"/>
        <v/>
      </c>
      <c r="AC807" s="310" t="e">
        <f t="shared" ca="1" si="373"/>
        <v>#N/A</v>
      </c>
      <c r="AD807" s="323" t="e">
        <f t="shared" ca="1" si="374"/>
        <v>#N/A</v>
      </c>
      <c r="AE807" s="324" t="e">
        <f t="shared" ca="1" si="353"/>
        <v>#N/A</v>
      </c>
      <c r="AG807" s="306">
        <f t="shared" ca="1" si="375"/>
        <v>5.1635623077430193</v>
      </c>
      <c r="AH807" s="304">
        <f t="shared" ca="1" si="376"/>
        <v>-4.5894119407857286</v>
      </c>
    </row>
    <row r="808" spans="1:34" x14ac:dyDescent="0.2">
      <c r="A808" s="347">
        <f t="shared" ca="1" si="354"/>
        <v>0.1</v>
      </c>
      <c r="B808" s="304">
        <f t="shared" ca="1" si="355"/>
        <v>35.400000000000169</v>
      </c>
      <c r="D808" s="306">
        <f t="shared" ca="1" si="356"/>
        <v>-0.49491620733978325</v>
      </c>
      <c r="E808" s="307">
        <f t="shared" ca="1" si="357"/>
        <v>-5.1972042493913673</v>
      </c>
      <c r="F808" s="304">
        <f t="shared" ca="1" si="358"/>
        <v>5.2207158572536088</v>
      </c>
      <c r="G808" s="306">
        <f t="shared" ca="1" si="359"/>
        <v>11.294285762320831</v>
      </c>
      <c r="H808" s="307">
        <f t="shared" ca="1" si="360"/>
        <v>-106.24777566415857</v>
      </c>
      <c r="I808" s="304">
        <f t="shared" ca="1" si="361"/>
        <v>106.84638844838102</v>
      </c>
      <c r="J808" s="306">
        <f t="shared" ca="1" si="362"/>
        <v>655.24761968513758</v>
      </c>
      <c r="K808" s="307">
        <f t="shared" ca="1" si="363"/>
        <v>2268.9063055466522</v>
      </c>
      <c r="L808" s="304">
        <f t="shared" ca="1" si="348"/>
        <v>2361.6276731213152</v>
      </c>
      <c r="M808" s="306">
        <f t="shared" ca="1" si="364"/>
        <v>-1.4648926496093466</v>
      </c>
      <c r="N808" s="304">
        <f t="shared" ca="1" si="365"/>
        <v>-83.932166262352084</v>
      </c>
      <c r="P808" s="310">
        <f t="shared" ca="1" si="366"/>
        <v>23</v>
      </c>
      <c r="Q808" s="304">
        <f t="shared" ca="1" si="367"/>
        <v>0</v>
      </c>
      <c r="R808" s="306">
        <f t="shared" ca="1" si="368"/>
        <v>0</v>
      </c>
      <c r="S808" s="307">
        <f t="shared" ca="1" si="369"/>
        <v>6.4679999999999849</v>
      </c>
      <c r="T808" s="304">
        <f t="shared" ca="1" si="349"/>
        <v>63.451079999999855</v>
      </c>
      <c r="U808" s="311">
        <f t="shared" ca="1" si="350"/>
        <v>0</v>
      </c>
      <c r="V808" s="306">
        <f t="shared" ca="1" si="351"/>
        <v>0.97537748274127267</v>
      </c>
      <c r="W808" s="304">
        <f t="shared" ca="1" si="352"/>
        <v>30.328738216036925</v>
      </c>
      <c r="Y808" s="314" t="str">
        <f t="shared" ca="1" si="370"/>
        <v/>
      </c>
      <c r="Z808" s="315" t="str">
        <f t="shared" ca="1" si="371"/>
        <v/>
      </c>
      <c r="AA808" s="316" t="str">
        <f t="shared" ca="1" si="372"/>
        <v/>
      </c>
      <c r="AC808" s="310" t="e">
        <f t="shared" ca="1" si="373"/>
        <v>#N/A</v>
      </c>
      <c r="AD808" s="323" t="e">
        <f t="shared" ca="1" si="374"/>
        <v>#N/A</v>
      </c>
      <c r="AE808" s="324" t="e">
        <f t="shared" ca="1" si="353"/>
        <v>#N/A</v>
      </c>
      <c r="AG808" s="306">
        <f t="shared" ca="1" si="375"/>
        <v>5.114748509514687</v>
      </c>
      <c r="AH808" s="304">
        <f t="shared" ca="1" si="376"/>
        <v>-4.6392700599470018</v>
      </c>
    </row>
    <row r="809" spans="1:34" x14ac:dyDescent="0.2">
      <c r="A809" s="347">
        <f t="shared" ca="1" si="354"/>
        <v>0.1</v>
      </c>
      <c r="B809" s="304">
        <f t="shared" ca="1" si="355"/>
        <v>35.500000000000171</v>
      </c>
      <c r="D809" s="306">
        <f t="shared" ca="1" si="356"/>
        <v>-0.49565929642573386</v>
      </c>
      <c r="E809" s="307">
        <f t="shared" ca="1" si="357"/>
        <v>-5.1472263779454304</v>
      </c>
      <c r="F809" s="304">
        <f t="shared" ca="1" si="358"/>
        <v>5.1710364071383683</v>
      </c>
      <c r="G809" s="306">
        <f t="shared" ca="1" si="359"/>
        <v>11.244719832678257</v>
      </c>
      <c r="H809" s="307">
        <f t="shared" ca="1" si="360"/>
        <v>-106.76249830195312</v>
      </c>
      <c r="I809" s="304">
        <f t="shared" ca="1" si="361"/>
        <v>107.35303799981615</v>
      </c>
      <c r="J809" s="306">
        <f t="shared" ca="1" si="362"/>
        <v>656.37456996488754</v>
      </c>
      <c r="K809" s="307">
        <f t="shared" ca="1" si="363"/>
        <v>2258.2557918483467</v>
      </c>
      <c r="L809" s="304">
        <f t="shared" ca="1" si="348"/>
        <v>2351.711461364509</v>
      </c>
      <c r="M809" s="306">
        <f t="shared" ca="1" si="364"/>
        <v>-1.465858597415886</v>
      </c>
      <c r="N809" s="304">
        <f t="shared" ca="1" si="365"/>
        <v>-83.987510994896709</v>
      </c>
      <c r="P809" s="310">
        <f t="shared" ca="1" si="366"/>
        <v>23</v>
      </c>
      <c r="Q809" s="304">
        <f t="shared" ca="1" si="367"/>
        <v>0</v>
      </c>
      <c r="R809" s="306">
        <f t="shared" ca="1" si="368"/>
        <v>0</v>
      </c>
      <c r="S809" s="307">
        <f t="shared" ca="1" si="369"/>
        <v>6.4679999999999849</v>
      </c>
      <c r="T809" s="304">
        <f t="shared" ca="1" si="349"/>
        <v>63.451079999999855</v>
      </c>
      <c r="U809" s="311">
        <f t="shared" ca="1" si="350"/>
        <v>0</v>
      </c>
      <c r="V809" s="306">
        <f t="shared" ca="1" si="351"/>
        <v>0.97643035726749527</v>
      </c>
      <c r="W809" s="304">
        <f t="shared" ca="1" si="352"/>
        <v>30.65009849613002</v>
      </c>
      <c r="Y809" s="314" t="str">
        <f t="shared" ca="1" si="370"/>
        <v/>
      </c>
      <c r="Z809" s="315" t="str">
        <f t="shared" ca="1" si="371"/>
        <v/>
      </c>
      <c r="AA809" s="316" t="str">
        <f t="shared" ca="1" si="372"/>
        <v/>
      </c>
      <c r="AC809" s="310" t="e">
        <f t="shared" ca="1" si="373"/>
        <v>#N/A</v>
      </c>
      <c r="AD809" s="323" t="e">
        <f t="shared" ca="1" si="374"/>
        <v>#N/A</v>
      </c>
      <c r="AE809" s="324" t="e">
        <f t="shared" ca="1" si="353"/>
        <v>#N/A</v>
      </c>
      <c r="AG809" s="306">
        <f t="shared" ca="1" si="375"/>
        <v>5.065994682857287</v>
      </c>
      <c r="AH809" s="304">
        <f t="shared" ca="1" si="376"/>
        <v>-4.6890442510879708</v>
      </c>
    </row>
    <row r="810" spans="1:34" x14ac:dyDescent="0.2">
      <c r="A810" s="347">
        <f t="shared" ca="1" si="354"/>
        <v>0.1</v>
      </c>
      <c r="B810" s="304">
        <f t="shared" ca="1" si="355"/>
        <v>35.600000000000172</v>
      </c>
      <c r="D810" s="306">
        <f t="shared" ca="1" si="356"/>
        <v>-0.49635929998616707</v>
      </c>
      <c r="E810" s="307">
        <f t="shared" ca="1" si="357"/>
        <v>-5.097338438799496</v>
      </c>
      <c r="F810" s="304">
        <f t="shared" ca="1" si="358"/>
        <v>5.1214482047898953</v>
      </c>
      <c r="G810" s="306">
        <f t="shared" ca="1" si="359"/>
        <v>11.19508390267964</v>
      </c>
      <c r="H810" s="307">
        <f t="shared" ca="1" si="360"/>
        <v>-107.27223214583306</v>
      </c>
      <c r="I810" s="304">
        <f t="shared" ca="1" si="361"/>
        <v>107.85481766308604</v>
      </c>
      <c r="J810" s="306">
        <f t="shared" ca="1" si="362"/>
        <v>657.49656015165544</v>
      </c>
      <c r="K810" s="307">
        <f t="shared" ca="1" si="363"/>
        <v>2247.5540553259575</v>
      </c>
      <c r="L810" s="304">
        <f t="shared" ca="1" si="348"/>
        <v>2341.7516858589888</v>
      </c>
      <c r="M810" s="306">
        <f t="shared" ca="1" si="364"/>
        <v>-1.4668113142175006</v>
      </c>
      <c r="N810" s="304">
        <f t="shared" ca="1" si="365"/>
        <v>-84.042097646700427</v>
      </c>
      <c r="P810" s="310">
        <f t="shared" ca="1" si="366"/>
        <v>23</v>
      </c>
      <c r="Q810" s="304">
        <f t="shared" ca="1" si="367"/>
        <v>0</v>
      </c>
      <c r="R810" s="306">
        <f t="shared" ca="1" si="368"/>
        <v>0</v>
      </c>
      <c r="S810" s="307">
        <f t="shared" ca="1" si="369"/>
        <v>6.4679999999999849</v>
      </c>
      <c r="T810" s="304">
        <f t="shared" ca="1" si="349"/>
        <v>63.451079999999855</v>
      </c>
      <c r="U810" s="311">
        <f t="shared" ca="1" si="350"/>
        <v>0</v>
      </c>
      <c r="V810" s="306">
        <f t="shared" ca="1" si="351"/>
        <v>0.97748931087638546</v>
      </c>
      <c r="W810" s="304">
        <f t="shared" ca="1" si="352"/>
        <v>30.970843805933438</v>
      </c>
      <c r="Y810" s="314" t="str">
        <f t="shared" ca="1" si="370"/>
        <v/>
      </c>
      <c r="Z810" s="315" t="str">
        <f t="shared" ca="1" si="371"/>
        <v/>
      </c>
      <c r="AA810" s="316" t="str">
        <f t="shared" ca="1" si="372"/>
        <v/>
      </c>
      <c r="AC810" s="310" t="e">
        <f t="shared" ca="1" si="373"/>
        <v>#N/A</v>
      </c>
      <c r="AD810" s="323" t="e">
        <f t="shared" ca="1" si="374"/>
        <v>#N/A</v>
      </c>
      <c r="AE810" s="324" t="e">
        <f t="shared" ca="1" si="353"/>
        <v>#N/A</v>
      </c>
      <c r="AG810" s="306">
        <f t="shared" ca="1" si="375"/>
        <v>5.017307150199561</v>
      </c>
      <c r="AH810" s="304">
        <f t="shared" ca="1" si="376"/>
        <v>-4.73872889550558</v>
      </c>
    </row>
    <row r="811" spans="1:34" x14ac:dyDescent="0.2">
      <c r="A811" s="347">
        <f t="shared" ca="1" si="354"/>
        <v>0.1</v>
      </c>
      <c r="B811" s="304">
        <f t="shared" ca="1" si="355"/>
        <v>35.700000000000173</v>
      </c>
      <c r="D811" s="306">
        <f t="shared" ca="1" si="356"/>
        <v>-0.49701652726740309</v>
      </c>
      <c r="E811" s="307">
        <f t="shared" ca="1" si="357"/>
        <v>-5.0475459838596741</v>
      </c>
      <c r="F811" s="304">
        <f t="shared" ca="1" si="358"/>
        <v>5.0719568104977863</v>
      </c>
      <c r="G811" s="306">
        <f t="shared" ca="1" si="359"/>
        <v>11.145382249952899</v>
      </c>
      <c r="H811" s="307">
        <f t="shared" ca="1" si="360"/>
        <v>-107.77698674421903</v>
      </c>
      <c r="I811" s="304">
        <f t="shared" ca="1" si="361"/>
        <v>108.35173472151301</v>
      </c>
      <c r="J811" s="306">
        <f t="shared" ca="1" si="362"/>
        <v>658.61358345928704</v>
      </c>
      <c r="K811" s="307">
        <f t="shared" ca="1" si="363"/>
        <v>2236.8015943814548</v>
      </c>
      <c r="L811" s="304">
        <f t="shared" ca="1" si="348"/>
        <v>2331.7489626768361</v>
      </c>
      <c r="M811" s="306">
        <f t="shared" ca="1" si="364"/>
        <v>-1.4677510829825229</v>
      </c>
      <c r="N811" s="304">
        <f t="shared" ca="1" si="365"/>
        <v>-84.095942430654432</v>
      </c>
      <c r="P811" s="310">
        <f t="shared" ca="1" si="366"/>
        <v>23</v>
      </c>
      <c r="Q811" s="304">
        <f t="shared" ca="1" si="367"/>
        <v>0</v>
      </c>
      <c r="R811" s="306">
        <f t="shared" ca="1" si="368"/>
        <v>0</v>
      </c>
      <c r="S811" s="307">
        <f t="shared" ca="1" si="369"/>
        <v>6.4679999999999849</v>
      </c>
      <c r="T811" s="304">
        <f t="shared" ca="1" si="349"/>
        <v>63.451079999999855</v>
      </c>
      <c r="U811" s="311">
        <f t="shared" ca="1" si="350"/>
        <v>0</v>
      </c>
      <c r="V811" s="306">
        <f t="shared" ca="1" si="351"/>
        <v>0.978554310273685</v>
      </c>
      <c r="W811" s="304">
        <f t="shared" ca="1" si="352"/>
        <v>31.290938926141621</v>
      </c>
      <c r="Y811" s="314" t="str">
        <f t="shared" ca="1" si="370"/>
        <v/>
      </c>
      <c r="Z811" s="315" t="str">
        <f t="shared" ca="1" si="371"/>
        <v/>
      </c>
      <c r="AA811" s="316" t="str">
        <f t="shared" ca="1" si="372"/>
        <v/>
      </c>
      <c r="AC811" s="310" t="e">
        <f t="shared" ca="1" si="373"/>
        <v>#N/A</v>
      </c>
      <c r="AD811" s="323" t="e">
        <f t="shared" ca="1" si="374"/>
        <v>#N/A</v>
      </c>
      <c r="AE811" s="324" t="e">
        <f t="shared" ca="1" si="353"/>
        <v>#N/A</v>
      </c>
      <c r="AG811" s="306">
        <f t="shared" ca="1" si="375"/>
        <v>4.968692121826277</v>
      </c>
      <c r="AH811" s="304">
        <f t="shared" ca="1" si="376"/>
        <v>-4.7883184610286813</v>
      </c>
    </row>
    <row r="812" spans="1:34" x14ac:dyDescent="0.2">
      <c r="A812" s="347">
        <f t="shared" ca="1" si="354"/>
        <v>0.1</v>
      </c>
      <c r="B812" s="304">
        <f t="shared" ca="1" si="355"/>
        <v>35.800000000000175</v>
      </c>
      <c r="D812" s="306">
        <f t="shared" ca="1" si="356"/>
        <v>-0.49763129317299332</v>
      </c>
      <c r="E812" s="307">
        <f t="shared" ca="1" si="357"/>
        <v>-4.9978544777554879</v>
      </c>
      <c r="F812" s="304">
        <f t="shared" ca="1" si="358"/>
        <v>5.022567698375564</v>
      </c>
      <c r="G812" s="306">
        <f t="shared" ca="1" si="359"/>
        <v>11.0956191206356</v>
      </c>
      <c r="H812" s="307">
        <f t="shared" ca="1" si="360"/>
        <v>-108.27677219199458</v>
      </c>
      <c r="I812" s="304">
        <f t="shared" ca="1" si="361"/>
        <v>108.84379706711498</v>
      </c>
      <c r="J812" s="306">
        <f t="shared" ca="1" si="362"/>
        <v>659.72563352781651</v>
      </c>
      <c r="K812" s="307">
        <f t="shared" ca="1" si="363"/>
        <v>2225.9989064346441</v>
      </c>
      <c r="L812" s="304">
        <f t="shared" ca="1" si="348"/>
        <v>2321.7039094126344</v>
      </c>
      <c r="M812" s="306">
        <f t="shared" ca="1" si="364"/>
        <v>-1.4686781785075358</v>
      </c>
      <c r="N812" s="304">
        <f t="shared" ca="1" si="365"/>
        <v>-84.14906109144313</v>
      </c>
      <c r="P812" s="310">
        <f t="shared" ca="1" si="366"/>
        <v>23</v>
      </c>
      <c r="Q812" s="304">
        <f t="shared" ca="1" si="367"/>
        <v>0</v>
      </c>
      <c r="R812" s="306">
        <f t="shared" ca="1" si="368"/>
        <v>0</v>
      </c>
      <c r="S812" s="307">
        <f t="shared" ca="1" si="369"/>
        <v>6.4679999999999849</v>
      </c>
      <c r="T812" s="304">
        <f t="shared" ca="1" si="349"/>
        <v>63.451079999999855</v>
      </c>
      <c r="U812" s="311">
        <f t="shared" ca="1" si="350"/>
        <v>0</v>
      </c>
      <c r="V812" s="306">
        <f t="shared" ca="1" si="351"/>
        <v>0.97962532218581277</v>
      </c>
      <c r="W812" s="304">
        <f t="shared" ca="1" si="352"/>
        <v>31.610349203037529</v>
      </c>
      <c r="Y812" s="314" t="str">
        <f t="shared" ca="1" si="370"/>
        <v/>
      </c>
      <c r="Z812" s="315" t="str">
        <f t="shared" ca="1" si="371"/>
        <v/>
      </c>
      <c r="AA812" s="316" t="str">
        <f t="shared" ca="1" si="372"/>
        <v/>
      </c>
      <c r="AC812" s="310" t="e">
        <f t="shared" ca="1" si="373"/>
        <v>#N/A</v>
      </c>
      <c r="AD812" s="323" t="e">
        <f t="shared" ca="1" si="374"/>
        <v>#N/A</v>
      </c>
      <c r="AE812" s="324" t="e">
        <f t="shared" ca="1" si="353"/>
        <v>#N/A</v>
      </c>
      <c r="AG812" s="306">
        <f t="shared" ca="1" si="375"/>
        <v>4.9201556965085693</v>
      </c>
      <c r="AH812" s="304">
        <f t="shared" ca="1" si="376"/>
        <v>-4.8378075024956235</v>
      </c>
    </row>
    <row r="813" spans="1:34" x14ac:dyDescent="0.2">
      <c r="A813" s="347">
        <f t="shared" ca="1" si="354"/>
        <v>0.1</v>
      </c>
      <c r="B813" s="304">
        <f t="shared" ca="1" si="355"/>
        <v>35.900000000000176</v>
      </c>
      <c r="D813" s="306">
        <f t="shared" ca="1" si="356"/>
        <v>-0.49820391808030812</v>
      </c>
      <c r="E813" s="307">
        <f t="shared" ca="1" si="357"/>
        <v>-4.948269297400822</v>
      </c>
      <c r="F813" s="304">
        <f t="shared" ca="1" si="358"/>
        <v>4.9732862559468858</v>
      </c>
      <c r="G813" s="306">
        <f t="shared" ca="1" si="359"/>
        <v>11.04579872882757</v>
      </c>
      <c r="H813" s="307">
        <f t="shared" ca="1" si="360"/>
        <v>-108.77159912173467</v>
      </c>
      <c r="I813" s="304">
        <f t="shared" ca="1" si="361"/>
        <v>109.33101318956629</v>
      </c>
      <c r="J813" s="306">
        <f t="shared" ca="1" si="362"/>
        <v>660.8327044202897</v>
      </c>
      <c r="K813" s="307">
        <f t="shared" ca="1" si="363"/>
        <v>2215.1464878689576</v>
      </c>
      <c r="L813" s="304">
        <f t="shared" ca="1" si="348"/>
        <v>2311.6171451928649</v>
      </c>
      <c r="M813" s="306">
        <f t="shared" ca="1" si="364"/>
        <v>-1.4695928677079813</v>
      </c>
      <c r="N813" s="304">
        <f t="shared" ca="1" si="365"/>
        <v>-84.201468922194849</v>
      </c>
      <c r="P813" s="310">
        <f t="shared" ca="1" si="366"/>
        <v>23</v>
      </c>
      <c r="Q813" s="304">
        <f t="shared" ca="1" si="367"/>
        <v>0</v>
      </c>
      <c r="R813" s="306">
        <f t="shared" ca="1" si="368"/>
        <v>0</v>
      </c>
      <c r="S813" s="307">
        <f t="shared" ca="1" si="369"/>
        <v>6.4679999999999849</v>
      </c>
      <c r="T813" s="304">
        <f t="shared" ca="1" si="349"/>
        <v>63.451079999999855</v>
      </c>
      <c r="U813" s="311">
        <f t="shared" ca="1" si="350"/>
        <v>0</v>
      </c>
      <c r="V813" s="306">
        <f t="shared" ca="1" si="351"/>
        <v>0.98070231336342839</v>
      </c>
      <c r="W813" s="304">
        <f t="shared" ca="1" si="352"/>
        <v>31.929040551029392</v>
      </c>
      <c r="Y813" s="314" t="str">
        <f t="shared" ca="1" si="370"/>
        <v/>
      </c>
      <c r="Z813" s="315" t="str">
        <f t="shared" ca="1" si="371"/>
        <v/>
      </c>
      <c r="AA813" s="316" t="str">
        <f t="shared" ca="1" si="372"/>
        <v/>
      </c>
      <c r="AC813" s="310" t="e">
        <f t="shared" ca="1" si="373"/>
        <v>#N/A</v>
      </c>
      <c r="AD813" s="323" t="e">
        <f t="shared" ca="1" si="374"/>
        <v>#N/A</v>
      </c>
      <c r="AE813" s="324" t="e">
        <f t="shared" ca="1" si="353"/>
        <v>#N/A</v>
      </c>
      <c r="AG813" s="306">
        <f t="shared" ca="1" si="375"/>
        <v>4.8717038621219553</v>
      </c>
      <c r="AH813" s="304">
        <f t="shared" ca="1" si="376"/>
        <v>-4.8871906621888686</v>
      </c>
    </row>
    <row r="814" spans="1:34" x14ac:dyDescent="0.2">
      <c r="A814" s="347">
        <f t="shared" ca="1" si="354"/>
        <v>0.1</v>
      </c>
      <c r="B814" s="304">
        <f t="shared" ca="1" si="355"/>
        <v>36.000000000000178</v>
      </c>
      <c r="D814" s="306">
        <f t="shared" ca="1" si="356"/>
        <v>-0.49873472765826193</v>
      </c>
      <c r="E814" s="307">
        <f t="shared" ca="1" si="357"/>
        <v>-4.8987957315975761</v>
      </c>
      <c r="F814" s="304">
        <f t="shared" ca="1" si="358"/>
        <v>4.9241177837751797</v>
      </c>
      <c r="G814" s="306">
        <f t="shared" ca="1" si="359"/>
        <v>10.995925256061744</v>
      </c>
      <c r="H814" s="307">
        <f t="shared" ca="1" si="360"/>
        <v>-109.26147869489442</v>
      </c>
      <c r="I814" s="304">
        <f t="shared" ca="1" si="361"/>
        <v>109.8133921652171</v>
      </c>
      <c r="J814" s="306">
        <f t="shared" ca="1" si="362"/>
        <v>661.93479061953417</v>
      </c>
      <c r="K814" s="307">
        <f t="shared" ca="1" si="363"/>
        <v>2204.2448339781263</v>
      </c>
      <c r="L814" s="304">
        <f t="shared" ca="1" si="348"/>
        <v>2301.48929068805</v>
      </c>
      <c r="M814" s="306">
        <f t="shared" ca="1" si="364"/>
        <v>-1.4704954098965248</v>
      </c>
      <c r="N814" s="304">
        <f t="shared" ca="1" si="365"/>
        <v>-84.253180780430895</v>
      </c>
      <c r="P814" s="310">
        <f t="shared" ca="1" si="366"/>
        <v>23</v>
      </c>
      <c r="Q814" s="304">
        <f t="shared" ca="1" si="367"/>
        <v>0</v>
      </c>
      <c r="R814" s="306">
        <f t="shared" ca="1" si="368"/>
        <v>0</v>
      </c>
      <c r="S814" s="307">
        <f t="shared" ca="1" si="369"/>
        <v>6.4679999999999849</v>
      </c>
      <c r="T814" s="304">
        <f t="shared" ca="1" si="349"/>
        <v>63.451079999999855</v>
      </c>
      <c r="U814" s="311">
        <f t="shared" ca="1" si="350"/>
        <v>0</v>
      </c>
      <c r="V814" s="306">
        <f t="shared" ca="1" si="351"/>
        <v>0.98178525058495003</v>
      </c>
      <c r="W814" s="304">
        <f t="shared" ca="1" si="352"/>
        <v>32.24697945491625</v>
      </c>
      <c r="Y814" s="314" t="str">
        <f t="shared" ca="1" si="370"/>
        <v/>
      </c>
      <c r="Z814" s="315" t="str">
        <f t="shared" ca="1" si="371"/>
        <v/>
      </c>
      <c r="AA814" s="316" t="str">
        <f t="shared" ca="1" si="372"/>
        <v/>
      </c>
      <c r="AC814" s="310">
        <f t="shared" ca="1" si="373"/>
        <v>36.000000000000178</v>
      </c>
      <c r="AD814" s="323">
        <f t="shared" ca="1" si="374"/>
        <v>661.93479061953417</v>
      </c>
      <c r="AE814" s="324" t="e">
        <f t="shared" ca="1" si="353"/>
        <v>#N/A</v>
      </c>
      <c r="AG814" s="306">
        <f t="shared" ca="1" si="375"/>
        <v>4.8233424962545932</v>
      </c>
      <c r="AH814" s="304">
        <f t="shared" ca="1" si="376"/>
        <v>-4.9364626702271899</v>
      </c>
    </row>
    <row r="815" spans="1:34" x14ac:dyDescent="0.2">
      <c r="A815" s="347">
        <f t="shared" ca="1" si="354"/>
        <v>0.1</v>
      </c>
      <c r="B815" s="304">
        <f t="shared" ca="1" si="355"/>
        <v>36.100000000000179</v>
      </c>
      <c r="D815" s="306">
        <f t="shared" ca="1" si="356"/>
        <v>-0.49922405268626613</v>
      </c>
      <c r="E815" s="307">
        <f t="shared" ca="1" si="357"/>
        <v>-4.8494389806815299</v>
      </c>
      <c r="F815" s="304">
        <f t="shared" ca="1" si="358"/>
        <v>4.875067495136248</v>
      </c>
      <c r="G815" s="306">
        <f t="shared" ca="1" si="359"/>
        <v>10.946002850793118</v>
      </c>
      <c r="H815" s="307">
        <f t="shared" ca="1" si="360"/>
        <v>-109.74642259296257</v>
      </c>
      <c r="I815" s="304">
        <f t="shared" ca="1" si="361"/>
        <v>110.29094364617023</v>
      </c>
      <c r="J815" s="306">
        <f t="shared" ca="1" si="362"/>
        <v>663.03188702487694</v>
      </c>
      <c r="K815" s="307">
        <f t="shared" ca="1" si="363"/>
        <v>2193.2944389137333</v>
      </c>
      <c r="L815" s="304">
        <f t="shared" ca="1" si="348"/>
        <v>2291.3209681277035</v>
      </c>
      <c r="M815" s="306">
        <f t="shared" ca="1" si="364"/>
        <v>-1.4713860570497808</v>
      </c>
      <c r="N815" s="304">
        <f t="shared" ca="1" si="365"/>
        <v>-84.304211103347811</v>
      </c>
      <c r="P815" s="310">
        <f t="shared" ca="1" si="366"/>
        <v>23</v>
      </c>
      <c r="Q815" s="304">
        <f t="shared" ca="1" si="367"/>
        <v>0</v>
      </c>
      <c r="R815" s="306">
        <f t="shared" ca="1" si="368"/>
        <v>0</v>
      </c>
      <c r="S815" s="307">
        <f t="shared" ca="1" si="369"/>
        <v>6.4679999999999849</v>
      </c>
      <c r="T815" s="304">
        <f t="shared" ca="1" si="349"/>
        <v>63.451079999999855</v>
      </c>
      <c r="U815" s="311">
        <f t="shared" ca="1" si="350"/>
        <v>0</v>
      </c>
      <c r="V815" s="306">
        <f t="shared" ca="1" si="351"/>
        <v>0.98287410066003433</v>
      </c>
      <c r="W815" s="304">
        <f t="shared" ca="1" si="352"/>
        <v>32.56413297188606</v>
      </c>
      <c r="Y815" s="314" t="str">
        <f t="shared" ca="1" si="370"/>
        <v/>
      </c>
      <c r="Z815" s="315" t="str">
        <f t="shared" ca="1" si="371"/>
        <v/>
      </c>
      <c r="AA815" s="316" t="str">
        <f t="shared" ca="1" si="372"/>
        <v/>
      </c>
      <c r="AC815" s="310" t="e">
        <f t="shared" ca="1" si="373"/>
        <v>#N/A</v>
      </c>
      <c r="AD815" s="323" t="e">
        <f t="shared" ca="1" si="374"/>
        <v>#N/A</v>
      </c>
      <c r="AE815" s="324" t="e">
        <f t="shared" ca="1" si="353"/>
        <v>#N/A</v>
      </c>
      <c r="AG815" s="306">
        <f t="shared" ca="1" si="375"/>
        <v>4.7750773668081825</v>
      </c>
      <c r="AH815" s="304">
        <f t="shared" ca="1" si="376"/>
        <v>-4.9856183449159444</v>
      </c>
    </row>
    <row r="816" spans="1:34" x14ac:dyDescent="0.2">
      <c r="A816" s="347">
        <f t="shared" ca="1" si="354"/>
        <v>0.1</v>
      </c>
      <c r="B816" s="304">
        <f t="shared" ca="1" si="355"/>
        <v>36.20000000000018</v>
      </c>
      <c r="D816" s="306">
        <f t="shared" ca="1" si="356"/>
        <v>-0.49967222887441021</v>
      </c>
      <c r="E816" s="307">
        <f t="shared" ca="1" si="357"/>
        <v>-4.8002041562098494</v>
      </c>
      <c r="F816" s="304">
        <f t="shared" ca="1" si="358"/>
        <v>4.8261405157333153</v>
      </c>
      <c r="G816" s="306">
        <f t="shared" ca="1" si="359"/>
        <v>10.896035627905677</v>
      </c>
      <c r="H816" s="307">
        <f t="shared" ca="1" si="360"/>
        <v>-110.22644300858356</v>
      </c>
      <c r="I816" s="304">
        <f t="shared" ca="1" si="361"/>
        <v>110.76367784941554</v>
      </c>
      <c r="J816" s="306">
        <f t="shared" ca="1" si="362"/>
        <v>664.12398894881187</v>
      </c>
      <c r="K816" s="307">
        <f t="shared" ca="1" si="363"/>
        <v>2182.2957956336559</v>
      </c>
      <c r="L816" s="304">
        <f t="shared" ca="1" si="348"/>
        <v>2281.1128013181665</v>
      </c>
      <c r="M816" s="306">
        <f t="shared" ca="1" si="364"/>
        <v>-1.4722650540639515</v>
      </c>
      <c r="N816" s="304">
        <f t="shared" ca="1" si="365"/>
        <v>-84.354573922464382</v>
      </c>
      <c r="P816" s="310">
        <f t="shared" ca="1" si="366"/>
        <v>23</v>
      </c>
      <c r="Q816" s="304">
        <f t="shared" ca="1" si="367"/>
        <v>0</v>
      </c>
      <c r="R816" s="306">
        <f t="shared" ca="1" si="368"/>
        <v>0</v>
      </c>
      <c r="S816" s="307">
        <f t="shared" ca="1" si="369"/>
        <v>6.4679999999999849</v>
      </c>
      <c r="T816" s="304">
        <f t="shared" ca="1" si="349"/>
        <v>63.451079999999855</v>
      </c>
      <c r="U816" s="311">
        <f t="shared" ca="1" si="350"/>
        <v>0</v>
      </c>
      <c r="V816" s="306">
        <f t="shared" ca="1" si="351"/>
        <v>0.98396883043301253</v>
      </c>
      <c r="W816" s="304">
        <f t="shared" ca="1" si="352"/>
        <v>32.880468733249764</v>
      </c>
      <c r="Y816" s="314" t="str">
        <f t="shared" ca="1" si="370"/>
        <v/>
      </c>
      <c r="Z816" s="315" t="str">
        <f t="shared" ca="1" si="371"/>
        <v/>
      </c>
      <c r="AA816" s="316" t="str">
        <f t="shared" ca="1" si="372"/>
        <v/>
      </c>
      <c r="AC816" s="310" t="e">
        <f t="shared" ca="1" si="373"/>
        <v>#N/A</v>
      </c>
      <c r="AD816" s="323" t="e">
        <f t="shared" ca="1" si="374"/>
        <v>#N/A</v>
      </c>
      <c r="AE816" s="324" t="e">
        <f t="shared" ca="1" si="353"/>
        <v>#N/A</v>
      </c>
      <c r="AG816" s="306">
        <f t="shared" ca="1" si="375"/>
        <v>4.7269141325937243</v>
      </c>
      <c r="AH816" s="304">
        <f t="shared" ca="1" si="376"/>
        <v>-5.0346525930559887</v>
      </c>
    </row>
    <row r="817" spans="1:34" x14ac:dyDescent="0.2">
      <c r="A817" s="347">
        <f t="shared" ca="1" si="354"/>
        <v>0.1</v>
      </c>
      <c r="B817" s="304">
        <f t="shared" ca="1" si="355"/>
        <v>36.300000000000182</v>
      </c>
      <c r="D817" s="306">
        <f t="shared" ca="1" si="356"/>
        <v>-0.50007959668495849</v>
      </c>
      <c r="E817" s="307">
        <f t="shared" ca="1" si="357"/>
        <v>-4.7510962806896551</v>
      </c>
      <c r="F817" s="304">
        <f t="shared" ca="1" si="358"/>
        <v>4.7773418834539845</v>
      </c>
      <c r="G817" s="306">
        <f t="shared" ca="1" si="359"/>
        <v>10.846027668237181</v>
      </c>
      <c r="H817" s="307">
        <f t="shared" ca="1" si="360"/>
        <v>-110.70155263665252</v>
      </c>
      <c r="I817" s="304">
        <f t="shared" ca="1" si="361"/>
        <v>111.23160554602148</v>
      </c>
      <c r="J817" s="306">
        <f t="shared" ca="1" si="362"/>
        <v>665.21109211361897</v>
      </c>
      <c r="K817" s="307">
        <f t="shared" ca="1" si="363"/>
        <v>2171.2493958513942</v>
      </c>
      <c r="L817" s="304">
        <f t="shared" ca="1" si="348"/>
        <v>2270.8654156633852</v>
      </c>
      <c r="M817" s="306">
        <f t="shared" ca="1" si="364"/>
        <v>-1.4731326389999151</v>
      </c>
      <c r="N817" s="304">
        <f t="shared" ca="1" si="365"/>
        <v>-84.40428287766423</v>
      </c>
      <c r="P817" s="310">
        <f t="shared" ca="1" si="366"/>
        <v>23</v>
      </c>
      <c r="Q817" s="304">
        <f t="shared" ca="1" si="367"/>
        <v>0</v>
      </c>
      <c r="R817" s="306">
        <f t="shared" ca="1" si="368"/>
        <v>0</v>
      </c>
      <c r="S817" s="307">
        <f t="shared" ca="1" si="369"/>
        <v>6.4679999999999849</v>
      </c>
      <c r="T817" s="304">
        <f t="shared" ca="1" si="349"/>
        <v>63.451079999999855</v>
      </c>
      <c r="U817" s="311">
        <f t="shared" ca="1" si="350"/>
        <v>0</v>
      </c>
      <c r="V817" s="306">
        <f t="shared" ca="1" si="351"/>
        <v>0.98506940678628185</v>
      </c>
      <c r="W817" s="304">
        <f t="shared" ca="1" si="352"/>
        <v>33.195954945915211</v>
      </c>
      <c r="Y817" s="314" t="str">
        <f t="shared" ca="1" si="370"/>
        <v/>
      </c>
      <c r="Z817" s="315" t="str">
        <f t="shared" ca="1" si="371"/>
        <v/>
      </c>
      <c r="AA817" s="316" t="str">
        <f t="shared" ca="1" si="372"/>
        <v/>
      </c>
      <c r="AC817" s="310" t="e">
        <f t="shared" ca="1" si="373"/>
        <v>#N/A</v>
      </c>
      <c r="AD817" s="323" t="e">
        <f t="shared" ca="1" si="374"/>
        <v>#N/A</v>
      </c>
      <c r="AE817" s="324" t="e">
        <f t="shared" ca="1" si="353"/>
        <v>#N/A</v>
      </c>
      <c r="AG817" s="306">
        <f t="shared" ca="1" si="375"/>
        <v>4.6788583439241416</v>
      </c>
      <c r="AH817" s="304">
        <f t="shared" ca="1" si="376"/>
        <v>-5.0835604102117875</v>
      </c>
    </row>
    <row r="818" spans="1:34" x14ac:dyDescent="0.2">
      <c r="A818" s="347">
        <f t="shared" ca="1" si="354"/>
        <v>0.1</v>
      </c>
      <c r="B818" s="304">
        <f t="shared" ca="1" si="355"/>
        <v>36.400000000000183</v>
      </c>
      <c r="D818" s="306">
        <f t="shared" ca="1" si="356"/>
        <v>-0.5004465011551984</v>
      </c>
      <c r="E818" s="307">
        <f t="shared" ca="1" si="357"/>
        <v>-4.702120287347098</v>
      </c>
      <c r="F818" s="304">
        <f t="shared" ca="1" si="358"/>
        <v>4.7286765481685924</v>
      </c>
      <c r="G818" s="306">
        <f t="shared" ca="1" si="359"/>
        <v>10.79598301812166</v>
      </c>
      <c r="H818" s="307">
        <f t="shared" ca="1" si="360"/>
        <v>-111.17176466538723</v>
      </c>
      <c r="I818" s="304">
        <f t="shared" ca="1" si="361"/>
        <v>111.69473805038361</v>
      </c>
      <c r="J818" s="306">
        <f t="shared" ca="1" si="362"/>
        <v>666.29319264793696</v>
      </c>
      <c r="K818" s="307">
        <f t="shared" ca="1" si="363"/>
        <v>2160.155729986292</v>
      </c>
      <c r="L818" s="304">
        <f t="shared" ca="1" si="348"/>
        <v>2260.5794381887117</v>
      </c>
      <c r="M818" s="306">
        <f t="shared" ca="1" si="364"/>
        <v>-1.4739890433182667</v>
      </c>
      <c r="N818" s="304">
        <f t="shared" ca="1" si="365"/>
        <v>-84.453351230662562</v>
      </c>
      <c r="P818" s="310">
        <f t="shared" ca="1" si="366"/>
        <v>23</v>
      </c>
      <c r="Q818" s="304">
        <f t="shared" ca="1" si="367"/>
        <v>0</v>
      </c>
      <c r="R818" s="306">
        <f t="shared" ca="1" si="368"/>
        <v>0</v>
      </c>
      <c r="S818" s="307">
        <f t="shared" ca="1" si="369"/>
        <v>6.4679999999999849</v>
      </c>
      <c r="T818" s="304">
        <f t="shared" ca="1" si="349"/>
        <v>63.451079999999855</v>
      </c>
      <c r="U818" s="311">
        <f t="shared" ca="1" si="350"/>
        <v>0</v>
      </c>
      <c r="V818" s="306">
        <f t="shared" ca="1" si="351"/>
        <v>0.98617579664365984</v>
      </c>
      <c r="W818" s="304">
        <f t="shared" ca="1" si="352"/>
        <v>33.510560393604763</v>
      </c>
      <c r="Y818" s="314" t="str">
        <f t="shared" ca="1" si="370"/>
        <v/>
      </c>
      <c r="Z818" s="315" t="str">
        <f t="shared" ca="1" si="371"/>
        <v/>
      </c>
      <c r="AA818" s="316" t="str">
        <f t="shared" ca="1" si="372"/>
        <v/>
      </c>
      <c r="AC818" s="310" t="e">
        <f t="shared" ca="1" si="373"/>
        <v>#N/A</v>
      </c>
      <c r="AD818" s="323" t="e">
        <f t="shared" ca="1" si="374"/>
        <v>#N/A</v>
      </c>
      <c r="AE818" s="324" t="e">
        <f t="shared" ca="1" si="353"/>
        <v>#N/A</v>
      </c>
      <c r="AG818" s="306">
        <f t="shared" ca="1" si="375"/>
        <v>4.630915443205601</v>
      </c>
      <c r="AH818" s="304">
        <f t="shared" ca="1" si="376"/>
        <v>-5.1323368809392838</v>
      </c>
    </row>
    <row r="819" spans="1:34" x14ac:dyDescent="0.2">
      <c r="A819" s="347">
        <f t="shared" ca="1" si="354"/>
        <v>0.1</v>
      </c>
      <c r="B819" s="304">
        <f t="shared" ca="1" si="355"/>
        <v>36.500000000000185</v>
      </c>
      <c r="D819" s="306">
        <f t="shared" ca="1" si="356"/>
        <v>-0.50077329172167517</v>
      </c>
      <c r="E819" s="307">
        <f t="shared" ca="1" si="357"/>
        <v>-4.6532810199362977</v>
      </c>
      <c r="F819" s="304">
        <f t="shared" ca="1" si="358"/>
        <v>4.6801493715693683</v>
      </c>
      <c r="G819" s="306">
        <f t="shared" ca="1" si="359"/>
        <v>10.745905688949493</v>
      </c>
      <c r="H819" s="307">
        <f t="shared" ca="1" si="360"/>
        <v>-111.63709276738086</v>
      </c>
      <c r="I819" s="304">
        <f t="shared" ca="1" si="361"/>
        <v>112.1530872095307</v>
      </c>
      <c r="J819" s="306">
        <f t="shared" ca="1" si="362"/>
        <v>667.37028708329046</v>
      </c>
      <c r="K819" s="307">
        <f t="shared" ca="1" si="363"/>
        <v>2149.0152871146538</v>
      </c>
      <c r="L819" s="304">
        <f t="shared" ca="1" si="348"/>
        <v>2250.2554975678008</v>
      </c>
      <c r="M819" s="306">
        <f t="shared" ca="1" si="364"/>
        <v>-1.4748344921047829</v>
      </c>
      <c r="N819" s="304">
        <f t="shared" ca="1" si="365"/>
        <v>-84.50179187792439</v>
      </c>
      <c r="P819" s="310">
        <f t="shared" ca="1" si="366"/>
        <v>23</v>
      </c>
      <c r="Q819" s="304">
        <f t="shared" ca="1" si="367"/>
        <v>0</v>
      </c>
      <c r="R819" s="306">
        <f t="shared" ca="1" si="368"/>
        <v>0</v>
      </c>
      <c r="S819" s="307">
        <f t="shared" ca="1" si="369"/>
        <v>6.4679999999999849</v>
      </c>
      <c r="T819" s="304">
        <f t="shared" ca="1" si="349"/>
        <v>63.451079999999855</v>
      </c>
      <c r="U819" s="311">
        <f t="shared" ca="1" si="350"/>
        <v>0</v>
      </c>
      <c r="V819" s="306">
        <f t="shared" ca="1" si="351"/>
        <v>0.98728796697368748</v>
      </c>
      <c r="W819" s="304">
        <f t="shared" ca="1" si="352"/>
        <v>33.824254437820393</v>
      </c>
      <c r="Y819" s="314" t="str">
        <f t="shared" ca="1" si="370"/>
        <v/>
      </c>
      <c r="Z819" s="315" t="str">
        <f t="shared" ca="1" si="371"/>
        <v/>
      </c>
      <c r="AA819" s="316" t="str">
        <f t="shared" ca="1" si="372"/>
        <v/>
      </c>
      <c r="AC819" s="310" t="e">
        <f t="shared" ca="1" si="373"/>
        <v>#N/A</v>
      </c>
      <c r="AD819" s="323" t="e">
        <f t="shared" ca="1" si="374"/>
        <v>#N/A</v>
      </c>
      <c r="AE819" s="324" t="e">
        <f t="shared" ca="1" si="353"/>
        <v>#N/A</v>
      </c>
      <c r="AG819" s="306">
        <f t="shared" ca="1" si="375"/>
        <v>4.5830907655291897</v>
      </c>
      <c r="AH819" s="304">
        <f t="shared" ca="1" si="376"/>
        <v>-5.1809771789741559</v>
      </c>
    </row>
    <row r="820" spans="1:34" x14ac:dyDescent="0.2">
      <c r="A820" s="347">
        <f t="shared" ca="1" si="354"/>
        <v>0.1</v>
      </c>
      <c r="B820" s="304">
        <f t="shared" ca="1" si="355"/>
        <v>36.600000000000186</v>
      </c>
      <c r="D820" s="306">
        <f t="shared" ca="1" si="356"/>
        <v>-0.50106032204588613</v>
      </c>
      <c r="E820" s="307">
        <f t="shared" ca="1" si="357"/>
        <v>-4.6045832325875669</v>
      </c>
      <c r="F820" s="304">
        <f t="shared" ca="1" si="358"/>
        <v>4.631765127049869</v>
      </c>
      <c r="G820" s="306">
        <f t="shared" ca="1" si="359"/>
        <v>10.695799656744905</v>
      </c>
      <c r="H820" s="307">
        <f t="shared" ca="1" si="360"/>
        <v>-112.09755109063963</v>
      </c>
      <c r="I820" s="304">
        <f t="shared" ca="1" si="361"/>
        <v>112.60666539248814</v>
      </c>
      <c r="J820" s="306">
        <f t="shared" ca="1" si="362"/>
        <v>668.44237235057517</v>
      </c>
      <c r="K820" s="307">
        <f t="shared" ca="1" si="363"/>
        <v>2137.8285549217526</v>
      </c>
      <c r="L820" s="304">
        <f t="shared" ca="1" si="348"/>
        <v>2239.8942241526706</v>
      </c>
      <c r="M820" s="306">
        <f t="shared" ca="1" si="364"/>
        <v>-1.4756692042867645</v>
      </c>
      <c r="N820" s="304">
        <f t="shared" ca="1" si="365"/>
        <v>-84.549617363060094</v>
      </c>
      <c r="P820" s="310">
        <f t="shared" ca="1" si="366"/>
        <v>23</v>
      </c>
      <c r="Q820" s="304">
        <f t="shared" ca="1" si="367"/>
        <v>0</v>
      </c>
      <c r="R820" s="306">
        <f t="shared" ca="1" si="368"/>
        <v>0</v>
      </c>
      <c r="S820" s="307">
        <f t="shared" ca="1" si="369"/>
        <v>6.4679999999999849</v>
      </c>
      <c r="T820" s="304">
        <f t="shared" ca="1" si="349"/>
        <v>63.451079999999855</v>
      </c>
      <c r="U820" s="311">
        <f t="shared" ca="1" si="350"/>
        <v>0</v>
      </c>
      <c r="V820" s="306">
        <f t="shared" ca="1" si="351"/>
        <v>0.98840588479289504</v>
      </c>
      <c r="W820" s="304">
        <f t="shared" ca="1" si="352"/>
        <v>34.137007018560411</v>
      </c>
      <c r="Y820" s="314" t="str">
        <f t="shared" ca="1" si="370"/>
        <v/>
      </c>
      <c r="Z820" s="315" t="str">
        <f t="shared" ca="1" si="371"/>
        <v/>
      </c>
      <c r="AA820" s="316" t="str">
        <f t="shared" ca="1" si="372"/>
        <v/>
      </c>
      <c r="AC820" s="310" t="e">
        <f t="shared" ca="1" si="373"/>
        <v>#N/A</v>
      </c>
      <c r="AD820" s="323" t="e">
        <f t="shared" ca="1" si="374"/>
        <v>#N/A</v>
      </c>
      <c r="AE820" s="324" t="e">
        <f t="shared" ca="1" si="353"/>
        <v>#N/A</v>
      </c>
      <c r="AG820" s="306">
        <f t="shared" ca="1" si="375"/>
        <v>4.5353895392645018</v>
      </c>
      <c r="AH820" s="304">
        <f t="shared" ca="1" si="376"/>
        <v>-5.2294765673810257</v>
      </c>
    </row>
    <row r="821" spans="1:34" x14ac:dyDescent="0.2">
      <c r="A821" s="347">
        <f t="shared" ca="1" si="354"/>
        <v>0.1</v>
      </c>
      <c r="B821" s="304">
        <f t="shared" ca="1" si="355"/>
        <v>36.700000000000188</v>
      </c>
      <c r="D821" s="306">
        <f t="shared" ca="1" si="356"/>
        <v>-0.50130794984145666</v>
      </c>
      <c r="E821" s="307">
        <f t="shared" ca="1" si="357"/>
        <v>-4.5560315896942827</v>
      </c>
      <c r="F821" s="304">
        <f t="shared" ca="1" si="358"/>
        <v>4.5835284996241112</v>
      </c>
      <c r="G821" s="306">
        <f t="shared" ca="1" si="359"/>
        <v>10.645668861760759</v>
      </c>
      <c r="H821" s="307">
        <f t="shared" ca="1" si="360"/>
        <v>-112.55315424960905</v>
      </c>
      <c r="I821" s="304">
        <f t="shared" ca="1" si="361"/>
        <v>113.05548547969953</v>
      </c>
      <c r="J821" s="306">
        <f t="shared" ca="1" si="362"/>
        <v>669.50944577650046</v>
      </c>
      <c r="K821" s="307">
        <f t="shared" ca="1" si="363"/>
        <v>2126.5960196547403</v>
      </c>
      <c r="L821" s="304">
        <f t="shared" ca="1" si="348"/>
        <v>2229.4962500070151</v>
      </c>
      <c r="M821" s="306">
        <f t="shared" ca="1" si="364"/>
        <v>-1.4764933928406818</v>
      </c>
      <c r="N821" s="304">
        <f t="shared" ca="1" si="365"/>
        <v>-84.596839888722542</v>
      </c>
      <c r="P821" s="310">
        <f t="shared" ca="1" si="366"/>
        <v>23</v>
      </c>
      <c r="Q821" s="304">
        <f t="shared" ca="1" si="367"/>
        <v>0</v>
      </c>
      <c r="R821" s="306">
        <f t="shared" ca="1" si="368"/>
        <v>0</v>
      </c>
      <c r="S821" s="307">
        <f t="shared" ca="1" si="369"/>
        <v>6.4679999999999849</v>
      </c>
      <c r="T821" s="304">
        <f t="shared" ca="1" si="349"/>
        <v>63.451079999999855</v>
      </c>
      <c r="U821" s="311">
        <f t="shared" ca="1" si="350"/>
        <v>0</v>
      </c>
      <c r="V821" s="306">
        <f t="shared" ca="1" si="351"/>
        <v>0.9895295171690216</v>
      </c>
      <c r="W821" s="304">
        <f t="shared" ca="1" si="352"/>
        <v>34.448788654791962</v>
      </c>
      <c r="Y821" s="314" t="str">
        <f t="shared" ca="1" si="370"/>
        <v/>
      </c>
      <c r="Z821" s="315" t="str">
        <f t="shared" ca="1" si="371"/>
        <v/>
      </c>
      <c r="AA821" s="316" t="str">
        <f t="shared" ca="1" si="372"/>
        <v/>
      </c>
      <c r="AC821" s="310" t="e">
        <f t="shared" ca="1" si="373"/>
        <v>#N/A</v>
      </c>
      <c r="AD821" s="323" t="e">
        <f t="shared" ca="1" si="374"/>
        <v>#N/A</v>
      </c>
      <c r="AE821" s="324" t="e">
        <f t="shared" ca="1" si="353"/>
        <v>#N/A</v>
      </c>
      <c r="AG821" s="306">
        <f t="shared" ca="1" si="375"/>
        <v>4.48781688665649</v>
      </c>
      <c r="AH821" s="304">
        <f t="shared" ca="1" si="376"/>
        <v>-5.2778303986642685</v>
      </c>
    </row>
    <row r="822" spans="1:34" x14ac:dyDescent="0.2">
      <c r="A822" s="347">
        <f t="shared" ca="1" si="354"/>
        <v>0.1</v>
      </c>
      <c r="B822" s="304">
        <f t="shared" ca="1" si="355"/>
        <v>36.800000000000189</v>
      </c>
      <c r="D822" s="306">
        <f t="shared" ca="1" si="356"/>
        <v>-0.50151653670285712</v>
      </c>
      <c r="E822" s="307">
        <f t="shared" ca="1" si="357"/>
        <v>-4.507630665837727</v>
      </c>
      <c r="F822" s="304">
        <f t="shared" ca="1" si="358"/>
        <v>4.535444085884766</v>
      </c>
      <c r="G822" s="306">
        <f t="shared" ca="1" si="359"/>
        <v>10.595517208090474</v>
      </c>
      <c r="H822" s="307">
        <f t="shared" ca="1" si="360"/>
        <v>-113.00391731619283</v>
      </c>
      <c r="I822" s="304">
        <f t="shared" ca="1" si="361"/>
        <v>113.49956085250678</v>
      </c>
      <c r="J822" s="306">
        <f t="shared" ca="1" si="362"/>
        <v>670.57150507999302</v>
      </c>
      <c r="K822" s="307">
        <f t="shared" ca="1" si="363"/>
        <v>2115.3181660764503</v>
      </c>
      <c r="L822" s="304">
        <f t="shared" ca="1" si="348"/>
        <v>2219.0622089428416</v>
      </c>
      <c r="M822" s="306">
        <f t="shared" ca="1" si="364"/>
        <v>-1.477307264991524</v>
      </c>
      <c r="N822" s="304">
        <f t="shared" ca="1" si="365"/>
        <v>-84.643471328029037</v>
      </c>
      <c r="P822" s="310">
        <f t="shared" ca="1" si="366"/>
        <v>23</v>
      </c>
      <c r="Q822" s="304">
        <f t="shared" ca="1" si="367"/>
        <v>0</v>
      </c>
      <c r="R822" s="306">
        <f t="shared" ca="1" si="368"/>
        <v>0</v>
      </c>
      <c r="S822" s="307">
        <f t="shared" ca="1" si="369"/>
        <v>6.4679999999999849</v>
      </c>
      <c r="T822" s="304">
        <f t="shared" ca="1" si="349"/>
        <v>63.451079999999855</v>
      </c>
      <c r="U822" s="311">
        <f t="shared" ca="1" si="350"/>
        <v>0</v>
      </c>
      <c r="V822" s="306">
        <f t="shared" ca="1" si="351"/>
        <v>0.99065883122418819</v>
      </c>
      <c r="W822" s="304">
        <f t="shared" ca="1" si="352"/>
        <v>34.759570444683263</v>
      </c>
      <c r="Y822" s="314" t="str">
        <f t="shared" ca="1" si="370"/>
        <v/>
      </c>
      <c r="Z822" s="315" t="str">
        <f t="shared" ca="1" si="371"/>
        <v/>
      </c>
      <c r="AA822" s="316" t="str">
        <f t="shared" ca="1" si="372"/>
        <v/>
      </c>
      <c r="AC822" s="310" t="e">
        <f t="shared" ca="1" si="373"/>
        <v>#N/A</v>
      </c>
      <c r="AD822" s="323" t="e">
        <f t="shared" ca="1" si="374"/>
        <v>#N/A</v>
      </c>
      <c r="AE822" s="324" t="e">
        <f t="shared" ca="1" si="353"/>
        <v>#N/A</v>
      </c>
      <c r="AG822" s="306">
        <f t="shared" ca="1" si="375"/>
        <v>4.4403778244268182</v>
      </c>
      <c r="AH822" s="304">
        <f t="shared" ca="1" si="376"/>
        <v>-5.3260341148410699</v>
      </c>
    </row>
    <row r="823" spans="1:34" x14ac:dyDescent="0.2">
      <c r="A823" s="347">
        <f t="shared" ca="1" si="354"/>
        <v>0.1</v>
      </c>
      <c r="B823" s="304">
        <f t="shared" ca="1" si="355"/>
        <v>36.90000000000019</v>
      </c>
      <c r="D823" s="306">
        <f t="shared" ca="1" si="356"/>
        <v>-0.50168644793570749</v>
      </c>
      <c r="E823" s="307">
        <f t="shared" ca="1" si="357"/>
        <v>-4.4593849457493118</v>
      </c>
      <c r="F823" s="304">
        <f t="shared" ca="1" si="358"/>
        <v>4.4875163939999085</v>
      </c>
      <c r="G823" s="306">
        <f t="shared" ca="1" si="359"/>
        <v>10.545348563296903</v>
      </c>
      <c r="H823" s="307">
        <f t="shared" ca="1" si="360"/>
        <v>-113.44985581076776</v>
      </c>
      <c r="I823" s="304">
        <f t="shared" ca="1" si="361"/>
        <v>113.93890538268928</v>
      </c>
      <c r="J823" s="306">
        <f t="shared" ca="1" si="362"/>
        <v>671.62854836856241</v>
      </c>
      <c r="K823" s="307">
        <f t="shared" ca="1" si="363"/>
        <v>2103.9954774201024</v>
      </c>
      <c r="L823" s="304">
        <f t="shared" ca="1" si="348"/>
        <v>2208.5927365605248</v>
      </c>
      <c r="M823" s="306">
        <f t="shared" ca="1" si="364"/>
        <v>-1.4781110224042402</v>
      </c>
      <c r="N823" s="304">
        <f t="shared" ca="1" si="365"/>
        <v>-84.689523235530032</v>
      </c>
      <c r="P823" s="310">
        <f t="shared" ca="1" si="366"/>
        <v>23</v>
      </c>
      <c r="Q823" s="304">
        <f t="shared" ca="1" si="367"/>
        <v>0</v>
      </c>
      <c r="R823" s="306">
        <f t="shared" ca="1" si="368"/>
        <v>0</v>
      </c>
      <c r="S823" s="307">
        <f t="shared" ca="1" si="369"/>
        <v>6.4679999999999849</v>
      </c>
      <c r="T823" s="304">
        <f t="shared" ca="1" si="349"/>
        <v>63.451079999999855</v>
      </c>
      <c r="U823" s="311">
        <f t="shared" ca="1" si="350"/>
        <v>0</v>
      </c>
      <c r="V823" s="306">
        <f t="shared" ca="1" si="351"/>
        <v>0.99179379413803148</v>
      </c>
      <c r="W823" s="304">
        <f t="shared" ca="1" si="352"/>
        <v>35.069324065600135</v>
      </c>
      <c r="Y823" s="314" t="str">
        <f t="shared" ca="1" si="370"/>
        <v/>
      </c>
      <c r="Z823" s="315" t="str">
        <f t="shared" ca="1" si="371"/>
        <v/>
      </c>
      <c r="AA823" s="316" t="str">
        <f t="shared" ca="1" si="372"/>
        <v/>
      </c>
      <c r="AC823" s="310" t="e">
        <f t="shared" ca="1" si="373"/>
        <v>#N/A</v>
      </c>
      <c r="AD823" s="323" t="e">
        <f t="shared" ca="1" si="374"/>
        <v>#N/A</v>
      </c>
      <c r="AE823" s="324" t="e">
        <f t="shared" ca="1" si="353"/>
        <v>#N/A</v>
      </c>
      <c r="AG823" s="306">
        <f t="shared" ca="1" si="375"/>
        <v>4.3930772643808815</v>
      </c>
      <c r="AH823" s="304">
        <f t="shared" ca="1" si="376"/>
        <v>-5.3740832474773264</v>
      </c>
    </row>
    <row r="824" spans="1:34" x14ac:dyDescent="0.2">
      <c r="A824" s="347">
        <f t="shared" ca="1" si="354"/>
        <v>0.1</v>
      </c>
      <c r="B824" s="304">
        <f t="shared" ca="1" si="355"/>
        <v>37.000000000000192</v>
      </c>
      <c r="D824" s="306">
        <f t="shared" ca="1" si="356"/>
        <v>-0.50181805238869348</v>
      </c>
      <c r="E824" s="307">
        <f t="shared" ca="1" si="357"/>
        <v>-4.4112988243094584</v>
      </c>
      <c r="F824" s="304">
        <f t="shared" ca="1" si="358"/>
        <v>4.4397498437476397</v>
      </c>
      <c r="G824" s="306">
        <f t="shared" ca="1" si="359"/>
        <v>10.495166758058033</v>
      </c>
      <c r="H824" s="307">
        <f t="shared" ca="1" si="360"/>
        <v>-113.8909856931987</v>
      </c>
      <c r="I824" s="304">
        <f t="shared" ca="1" si="361"/>
        <v>114.37353342206333</v>
      </c>
      <c r="J824" s="306">
        <f t="shared" ca="1" si="362"/>
        <v>672.68057413463021</v>
      </c>
      <c r="K824" s="307">
        <f t="shared" ca="1" si="363"/>
        <v>2092.6284353449041</v>
      </c>
      <c r="L824" s="304">
        <f t="shared" ca="1" si="348"/>
        <v>2198.0884702923486</v>
      </c>
      <c r="M824" s="306">
        <f t="shared" ca="1" si="364"/>
        <v>-1.4789048613676281</v>
      </c>
      <c r="N824" s="304">
        <f t="shared" ca="1" si="365"/>
        <v>-84.735006857745205</v>
      </c>
      <c r="P824" s="310">
        <f t="shared" ca="1" si="366"/>
        <v>23</v>
      </c>
      <c r="Q824" s="304">
        <f t="shared" ca="1" si="367"/>
        <v>0</v>
      </c>
      <c r="R824" s="306">
        <f t="shared" ca="1" si="368"/>
        <v>0</v>
      </c>
      <c r="S824" s="307">
        <f t="shared" ca="1" si="369"/>
        <v>6.4679999999999849</v>
      </c>
      <c r="T824" s="304">
        <f t="shared" ca="1" si="349"/>
        <v>63.451079999999855</v>
      </c>
      <c r="U824" s="311">
        <f t="shared" ca="1" si="350"/>
        <v>0</v>
      </c>
      <c r="V824" s="306">
        <f t="shared" ca="1" si="351"/>
        <v>0.99293437315078925</v>
      </c>
      <c r="W824" s="304">
        <f t="shared" ca="1" si="352"/>
        <v>35.378021773870984</v>
      </c>
      <c r="Y824" s="314" t="str">
        <f t="shared" ca="1" si="370"/>
        <v/>
      </c>
      <c r="Z824" s="315" t="str">
        <f t="shared" ca="1" si="371"/>
        <v/>
      </c>
      <c r="AA824" s="316" t="str">
        <f t="shared" ca="1" si="372"/>
        <v/>
      </c>
      <c r="AC824" s="310">
        <f t="shared" ca="1" si="373"/>
        <v>37.000000000000192</v>
      </c>
      <c r="AD824" s="323">
        <f t="shared" ca="1" si="374"/>
        <v>672.68057413463021</v>
      </c>
      <c r="AE824" s="324" t="e">
        <f t="shared" ca="1" si="353"/>
        <v>#N/A</v>
      </c>
      <c r="AG824" s="306">
        <f t="shared" ca="1" si="375"/>
        <v>4.3459200140214334</v>
      </c>
      <c r="AH824" s="304">
        <f t="shared" ca="1" si="376"/>
        <v>-5.4219734176871084</v>
      </c>
    </row>
    <row r="825" spans="1:34" x14ac:dyDescent="0.2">
      <c r="A825" s="347">
        <f t="shared" ca="1" si="354"/>
        <v>0.1</v>
      </c>
      <c r="B825" s="304">
        <f t="shared" ca="1" si="355"/>
        <v>37.100000000000193</v>
      </c>
      <c r="D825" s="306">
        <f t="shared" ca="1" si="356"/>
        <v>-0.5019117222871704</v>
      </c>
      <c r="E825" s="307">
        <f t="shared" ca="1" si="357"/>
        <v>-4.3633766065824755</v>
      </c>
      <c r="F825" s="304">
        <f t="shared" ca="1" si="358"/>
        <v>4.3921487665879981</v>
      </c>
      <c r="G825" s="306">
        <f t="shared" ca="1" si="359"/>
        <v>10.444975585829317</v>
      </c>
      <c r="H825" s="307">
        <f t="shared" ca="1" si="360"/>
        <v>-114.32732335385695</v>
      </c>
      <c r="I825" s="304">
        <f t="shared" ca="1" si="361"/>
        <v>114.80345979214188</v>
      </c>
      <c r="J825" s="306">
        <f t="shared" ca="1" si="362"/>
        <v>673.72758125182452</v>
      </c>
      <c r="K825" s="307">
        <f t="shared" ca="1" si="363"/>
        <v>2081.2175198925515</v>
      </c>
      <c r="L825" s="304">
        <f t="shared" ca="1" si="348"/>
        <v>2187.5500494496432</v>
      </c>
      <c r="M825" s="306">
        <f t="shared" ca="1" si="364"/>
        <v>-1.4796889729710196</v>
      </c>
      <c r="N825" s="304">
        <f t="shared" ca="1" si="365"/>
        <v>-84.779933143286769</v>
      </c>
      <c r="P825" s="310">
        <f t="shared" ca="1" si="366"/>
        <v>23</v>
      </c>
      <c r="Q825" s="304">
        <f t="shared" ca="1" si="367"/>
        <v>0</v>
      </c>
      <c r="R825" s="306">
        <f t="shared" ca="1" si="368"/>
        <v>0</v>
      </c>
      <c r="S825" s="307">
        <f t="shared" ca="1" si="369"/>
        <v>6.4679999999999849</v>
      </c>
      <c r="T825" s="304">
        <f t="shared" ca="1" si="349"/>
        <v>63.451079999999855</v>
      </c>
      <c r="U825" s="311">
        <f t="shared" ca="1" si="350"/>
        <v>0</v>
      </c>
      <c r="V825" s="306">
        <f t="shared" ca="1" si="351"/>
        <v>0.99408053556633957</v>
      </c>
      <c r="W825" s="304">
        <f t="shared" ca="1" si="352"/>
        <v>35.685636404324434</v>
      </c>
      <c r="Y825" s="314" t="str">
        <f t="shared" ca="1" si="370"/>
        <v/>
      </c>
      <c r="Z825" s="315" t="str">
        <f t="shared" ca="1" si="371"/>
        <v/>
      </c>
      <c r="AA825" s="316" t="str">
        <f t="shared" ca="1" si="372"/>
        <v/>
      </c>
      <c r="AC825" s="310" t="e">
        <f t="shared" ca="1" si="373"/>
        <v>#N/A</v>
      </c>
      <c r="AD825" s="323" t="e">
        <f t="shared" ca="1" si="374"/>
        <v>#N/A</v>
      </c>
      <c r="AE825" s="324" t="e">
        <f t="shared" ca="1" si="353"/>
        <v>#N/A</v>
      </c>
      <c r="AG825" s="306">
        <f t="shared" ca="1" si="375"/>
        <v>4.2989107771697661</v>
      </c>
      <c r="AH825" s="304">
        <f t="shared" ca="1" si="376"/>
        <v>-5.4697003360963308</v>
      </c>
    </row>
    <row r="826" spans="1:34" x14ac:dyDescent="0.2">
      <c r="A826" s="347">
        <f t="shared" ca="1" si="354"/>
        <v>0.1</v>
      </c>
      <c r="B826" s="304">
        <f t="shared" ca="1" si="355"/>
        <v>37.200000000000195</v>
      </c>
      <c r="D826" s="306">
        <f t="shared" ca="1" si="356"/>
        <v>-0.50196783306845782</v>
      </c>
      <c r="E826" s="307">
        <f t="shared" ca="1" si="357"/>
        <v>-4.3156225078868014</v>
      </c>
      <c r="F826" s="304">
        <f t="shared" ca="1" si="358"/>
        <v>4.3447174057715889</v>
      </c>
      <c r="G826" s="306">
        <f t="shared" ca="1" si="359"/>
        <v>10.39477880252247</v>
      </c>
      <c r="H826" s="307">
        <f t="shared" ca="1" si="360"/>
        <v>-114.75888560464564</v>
      </c>
      <c r="I826" s="304">
        <f t="shared" ca="1" si="361"/>
        <v>115.22869977385632</v>
      </c>
      <c r="J826" s="306">
        <f t="shared" ca="1" si="362"/>
        <v>674.76956897124205</v>
      </c>
      <c r="K826" s="307">
        <f t="shared" ca="1" si="363"/>
        <v>2069.7632094446262</v>
      </c>
      <c r="L826" s="304">
        <f t="shared" ca="1" si="348"/>
        <v>2176.9781152735909</v>
      </c>
      <c r="M826" s="306">
        <f t="shared" ca="1" si="364"/>
        <v>-1.4804635432740865</v>
      </c>
      <c r="N826" s="304">
        <f t="shared" ca="1" si="365"/>
        <v>-84.824312752588668</v>
      </c>
      <c r="P826" s="310">
        <f t="shared" ca="1" si="366"/>
        <v>23</v>
      </c>
      <c r="Q826" s="304">
        <f t="shared" ca="1" si="367"/>
        <v>0</v>
      </c>
      <c r="R826" s="306">
        <f t="shared" ca="1" si="368"/>
        <v>0</v>
      </c>
      <c r="S826" s="307">
        <f t="shared" ca="1" si="369"/>
        <v>6.4679999999999849</v>
      </c>
      <c r="T826" s="304">
        <f t="shared" ca="1" si="349"/>
        <v>63.451079999999855</v>
      </c>
      <c r="U826" s="311">
        <f t="shared" ca="1" si="350"/>
        <v>0</v>
      </c>
      <c r="V826" s="306">
        <f t="shared" ca="1" si="351"/>
        <v>0.995232248755199</v>
      </c>
      <c r="W826" s="304">
        <f t="shared" ca="1" si="352"/>
        <v>35.992141369604575</v>
      </c>
      <c r="Y826" s="314" t="str">
        <f t="shared" ca="1" si="370"/>
        <v/>
      </c>
      <c r="Z826" s="315" t="str">
        <f t="shared" ca="1" si="371"/>
        <v/>
      </c>
      <c r="AA826" s="316" t="str">
        <f t="shared" ca="1" si="372"/>
        <v/>
      </c>
      <c r="AC826" s="310" t="e">
        <f t="shared" ca="1" si="373"/>
        <v>#N/A</v>
      </c>
      <c r="AD826" s="323" t="e">
        <f t="shared" ca="1" si="374"/>
        <v>#N/A</v>
      </c>
      <c r="AE826" s="324" t="e">
        <f t="shared" ca="1" si="353"/>
        <v>#N/A</v>
      </c>
      <c r="AG826" s="306">
        <f t="shared" ca="1" si="375"/>
        <v>4.2520541545952506</v>
      </c>
      <c r="AH826" s="304">
        <f t="shared" ca="1" si="376"/>
        <v>-5.5172598027712612</v>
      </c>
    </row>
    <row r="827" spans="1:34" x14ac:dyDescent="0.2">
      <c r="A827" s="347">
        <f t="shared" ca="1" si="354"/>
        <v>0.1</v>
      </c>
      <c r="B827" s="304">
        <f t="shared" ca="1" si="355"/>
        <v>37.300000000000196</v>
      </c>
      <c r="D827" s="306">
        <f t="shared" ca="1" si="356"/>
        <v>-0.50198676321889524</v>
      </c>
      <c r="E827" s="307">
        <f t="shared" ca="1" si="357"/>
        <v>-4.2680406538998179</v>
      </c>
      <c r="F827" s="304">
        <f t="shared" ca="1" si="358"/>
        <v>4.2974599164842209</v>
      </c>
      <c r="G827" s="306">
        <f t="shared" ca="1" si="359"/>
        <v>10.344580126200581</v>
      </c>
      <c r="H827" s="307">
        <f t="shared" ca="1" si="360"/>
        <v>-115.18568967003563</v>
      </c>
      <c r="I827" s="304">
        <f t="shared" ca="1" si="361"/>
        <v>115.64926909734075</v>
      </c>
      <c r="J827" s="306">
        <f t="shared" ca="1" si="362"/>
        <v>675.80653691767816</v>
      </c>
      <c r="K827" s="307">
        <f t="shared" ca="1" si="363"/>
        <v>2058.265980680892</v>
      </c>
      <c r="L827" s="304">
        <f t="shared" ca="1" si="348"/>
        <v>2166.3733109898071</v>
      </c>
      <c r="M827" s="306">
        <f t="shared" ca="1" si="364"/>
        <v>-1.4812287534700759</v>
      </c>
      <c r="N827" s="304">
        <f t="shared" ca="1" si="365"/>
        <v>-84.868156067259235</v>
      </c>
      <c r="P827" s="310">
        <f t="shared" ca="1" si="366"/>
        <v>23</v>
      </c>
      <c r="Q827" s="304">
        <f t="shared" ca="1" si="367"/>
        <v>0</v>
      </c>
      <c r="R827" s="306">
        <f t="shared" ca="1" si="368"/>
        <v>0</v>
      </c>
      <c r="S827" s="307">
        <f t="shared" ca="1" si="369"/>
        <v>6.4679999999999849</v>
      </c>
      <c r="T827" s="304">
        <f t="shared" ca="1" si="349"/>
        <v>63.451079999999855</v>
      </c>
      <c r="U827" s="311">
        <f t="shared" ca="1" si="350"/>
        <v>0</v>
      </c>
      <c r="V827" s="306">
        <f t="shared" ca="1" si="351"/>
        <v>0.9963894801574732</v>
      </c>
      <c r="W827" s="304">
        <f t="shared" ca="1" si="352"/>
        <v>36.29751065926785</v>
      </c>
      <c r="Y827" s="314" t="str">
        <f t="shared" ca="1" si="370"/>
        <v/>
      </c>
      <c r="Z827" s="315" t="str">
        <f t="shared" ca="1" si="371"/>
        <v/>
      </c>
      <c r="AA827" s="316" t="str">
        <f t="shared" ca="1" si="372"/>
        <v/>
      </c>
      <c r="AC827" s="310" t="e">
        <f t="shared" ca="1" si="373"/>
        <v>#N/A</v>
      </c>
      <c r="AD827" s="323" t="e">
        <f t="shared" ca="1" si="374"/>
        <v>#N/A</v>
      </c>
      <c r="AE827" s="324" t="e">
        <f t="shared" ca="1" si="353"/>
        <v>#N/A</v>
      </c>
      <c r="AG827" s="306">
        <f t="shared" ca="1" si="375"/>
        <v>4.2053546446538563</v>
      </c>
      <c r="AH827" s="304">
        <f t="shared" ca="1" si="376"/>
        <v>-5.5646477071126563</v>
      </c>
    </row>
    <row r="828" spans="1:34" x14ac:dyDescent="0.2">
      <c r="A828" s="347">
        <f t="shared" ca="1" si="354"/>
        <v>0.1</v>
      </c>
      <c r="B828" s="304">
        <f t="shared" ca="1" si="355"/>
        <v>37.400000000000198</v>
      </c>
      <c r="D828" s="306">
        <f t="shared" ca="1" si="356"/>
        <v>-0.50196889411267909</v>
      </c>
      <c r="E828" s="307">
        <f t="shared" ca="1" si="357"/>
        <v>-4.2206350807966224</v>
      </c>
      <c r="F828" s="304">
        <f t="shared" ca="1" si="358"/>
        <v>4.2503803660270005</v>
      </c>
      <c r="G828" s="306">
        <f t="shared" ca="1" si="359"/>
        <v>10.294383236789313</v>
      </c>
      <c r="H828" s="307">
        <f t="shared" ca="1" si="360"/>
        <v>-115.60775317811529</v>
      </c>
      <c r="I828" s="304">
        <f t="shared" ca="1" si="361"/>
        <v>116.06518393177997</v>
      </c>
      <c r="J828" s="306">
        <f t="shared" ca="1" si="362"/>
        <v>676.83848508582764</v>
      </c>
      <c r="K828" s="307">
        <f t="shared" ca="1" si="363"/>
        <v>2046.7263085384843</v>
      </c>
      <c r="L828" s="304">
        <f t="shared" ca="1" si="348"/>
        <v>2155.7362818667893</v>
      </c>
      <c r="M828" s="306">
        <f t="shared" ca="1" si="364"/>
        <v>-1.4819847800427695</v>
      </c>
      <c r="N828" s="304">
        <f t="shared" ca="1" si="365"/>
        <v>-84.911473199074322</v>
      </c>
      <c r="P828" s="310">
        <f t="shared" ca="1" si="366"/>
        <v>23</v>
      </c>
      <c r="Q828" s="304">
        <f t="shared" ca="1" si="367"/>
        <v>0</v>
      </c>
      <c r="R828" s="306">
        <f t="shared" ca="1" si="368"/>
        <v>0</v>
      </c>
      <c r="S828" s="307">
        <f t="shared" ca="1" si="369"/>
        <v>6.4679999999999849</v>
      </c>
      <c r="T828" s="304">
        <f t="shared" ca="1" si="349"/>
        <v>63.451079999999855</v>
      </c>
      <c r="U828" s="311">
        <f t="shared" ca="1" si="350"/>
        <v>0</v>
      </c>
      <c r="V828" s="306">
        <f t="shared" ca="1" si="351"/>
        <v>0.99755219728576106</v>
      </c>
      <c r="W828" s="304">
        <f t="shared" ca="1" si="352"/>
        <v>36.601718838666351</v>
      </c>
      <c r="Y828" s="314" t="str">
        <f t="shared" ca="1" si="370"/>
        <v/>
      </c>
      <c r="Z828" s="315" t="str">
        <f t="shared" ca="1" si="371"/>
        <v/>
      </c>
      <c r="AA828" s="316" t="str">
        <f t="shared" ca="1" si="372"/>
        <v/>
      </c>
      <c r="AC828" s="310" t="e">
        <f t="shared" ca="1" si="373"/>
        <v>#N/A</v>
      </c>
      <c r="AD828" s="323" t="e">
        <f t="shared" ca="1" si="374"/>
        <v>#N/A</v>
      </c>
      <c r="AE828" s="324" t="e">
        <f t="shared" ca="1" si="353"/>
        <v>#N/A</v>
      </c>
      <c r="AG828" s="306">
        <f t="shared" ca="1" si="375"/>
        <v>4.1588166439363681</v>
      </c>
      <c r="AH828" s="304">
        <f t="shared" ca="1" si="376"/>
        <v>-5.6118600277161308</v>
      </c>
    </row>
    <row r="829" spans="1:34" x14ac:dyDescent="0.2">
      <c r="A829" s="347">
        <f t="shared" ca="1" si="354"/>
        <v>0.1</v>
      </c>
      <c r="B829" s="304">
        <f t="shared" ca="1" si="355"/>
        <v>37.500000000000199</v>
      </c>
      <c r="D829" s="306">
        <f t="shared" ca="1" si="356"/>
        <v>-0.50191460985253289</v>
      </c>
      <c r="E829" s="307">
        <f t="shared" ca="1" si="357"/>
        <v>-4.1734097354219921</v>
      </c>
      <c r="F829" s="304">
        <f t="shared" ca="1" si="358"/>
        <v>4.2034827340312084</v>
      </c>
      <c r="G829" s="306">
        <f t="shared" ca="1" si="359"/>
        <v>10.24419177580406</v>
      </c>
      <c r="H829" s="307">
        <f t="shared" ca="1" si="360"/>
        <v>-116.02509415165748</v>
      </c>
      <c r="I829" s="304">
        <f t="shared" ca="1" si="361"/>
        <v>116.47646087532208</v>
      </c>
      <c r="J829" s="306">
        <f t="shared" ca="1" si="362"/>
        <v>677.86541383645726</v>
      </c>
      <c r="K829" s="307">
        <f t="shared" ca="1" si="363"/>
        <v>2035.1446661719956</v>
      </c>
      <c r="L829" s="304">
        <f t="shared" ca="1" si="348"/>
        <v>2145.0676752783338</v>
      </c>
      <c r="M829" s="306">
        <f t="shared" ca="1" si="364"/>
        <v>-1.482731794917445</v>
      </c>
      <c r="N829" s="304">
        <f t="shared" ca="1" si="365"/>
        <v>-84.954273998626732</v>
      </c>
      <c r="P829" s="310">
        <f t="shared" ca="1" si="366"/>
        <v>23</v>
      </c>
      <c r="Q829" s="304">
        <f t="shared" ca="1" si="367"/>
        <v>0</v>
      </c>
      <c r="R829" s="306">
        <f t="shared" ca="1" si="368"/>
        <v>0</v>
      </c>
      <c r="S829" s="307">
        <f t="shared" ca="1" si="369"/>
        <v>6.4679999999999849</v>
      </c>
      <c r="T829" s="304">
        <f t="shared" ca="1" si="349"/>
        <v>63.451079999999855</v>
      </c>
      <c r="U829" s="311">
        <f t="shared" ca="1" si="350"/>
        <v>0</v>
      </c>
      <c r="V829" s="306">
        <f t="shared" ca="1" si="351"/>
        <v>0.99872036772801509</v>
      </c>
      <c r="W829" s="304">
        <f t="shared" ca="1" si="352"/>
        <v>36.904741047621997</v>
      </c>
      <c r="Y829" s="314" t="str">
        <f t="shared" ca="1" si="370"/>
        <v/>
      </c>
      <c r="Z829" s="315" t="str">
        <f t="shared" ca="1" si="371"/>
        <v/>
      </c>
      <c r="AA829" s="316" t="str">
        <f t="shared" ca="1" si="372"/>
        <v/>
      </c>
      <c r="AC829" s="310" t="e">
        <f t="shared" ca="1" si="373"/>
        <v>#N/A</v>
      </c>
      <c r="AD829" s="323" t="e">
        <f t="shared" ca="1" si="374"/>
        <v>#N/A</v>
      </c>
      <c r="AE829" s="324" t="e">
        <f t="shared" ca="1" si="353"/>
        <v>#N/A</v>
      </c>
      <c r="AG829" s="306">
        <f t="shared" ca="1" si="375"/>
        <v>4.1124444479267339</v>
      </c>
      <c r="AH829" s="304">
        <f t="shared" ca="1" si="376"/>
        <v>-5.6588928321995109</v>
      </c>
    </row>
    <row r="830" spans="1:34" x14ac:dyDescent="0.2">
      <c r="A830" s="347">
        <f t="shared" ca="1" si="354"/>
        <v>0.1</v>
      </c>
      <c r="B830" s="304">
        <f t="shared" ca="1" si="355"/>
        <v>37.6000000000002</v>
      </c>
      <c r="D830" s="306">
        <f t="shared" ca="1" si="356"/>
        <v>-0.50182429711223142</v>
      </c>
      <c r="E830" s="307">
        <f t="shared" ca="1" si="357"/>
        <v>-4.1263684754948793</v>
      </c>
      <c r="F830" s="304">
        <f t="shared" ca="1" si="358"/>
        <v>4.1567709127073771</v>
      </c>
      <c r="G830" s="306">
        <f t="shared" ca="1" si="359"/>
        <v>10.194009346092837</v>
      </c>
      <c r="H830" s="307">
        <f t="shared" ca="1" si="360"/>
        <v>-116.43773099920698</v>
      </c>
      <c r="I830" s="304">
        <f t="shared" ca="1" si="361"/>
        <v>116.88311694505718</v>
      </c>
      <c r="J830" s="306">
        <f t="shared" ca="1" si="362"/>
        <v>678.8873238925521</v>
      </c>
      <c r="K830" s="307">
        <f t="shared" ca="1" si="363"/>
        <v>2023.5215249144524</v>
      </c>
      <c r="L830" s="304">
        <f t="shared" ca="1" si="348"/>
        <v>2134.3681407700269</v>
      </c>
      <c r="M830" s="306">
        <f t="shared" ca="1" si="364"/>
        <v>-1.4834699656061054</v>
      </c>
      <c r="N830" s="304">
        <f t="shared" ca="1" si="365"/>
        <v>-84.996568063647231</v>
      </c>
      <c r="P830" s="310">
        <f t="shared" ca="1" si="366"/>
        <v>23</v>
      </c>
      <c r="Q830" s="304">
        <f t="shared" ca="1" si="367"/>
        <v>0</v>
      </c>
      <c r="R830" s="306">
        <f t="shared" ca="1" si="368"/>
        <v>0</v>
      </c>
      <c r="S830" s="307">
        <f t="shared" ca="1" si="369"/>
        <v>6.4679999999999849</v>
      </c>
      <c r="T830" s="304">
        <f t="shared" ca="1" si="349"/>
        <v>63.451079999999855</v>
      </c>
      <c r="U830" s="311">
        <f t="shared" ca="1" si="350"/>
        <v>0</v>
      </c>
      <c r="V830" s="306">
        <f t="shared" ca="1" si="351"/>
        <v>0.99989395915035595</v>
      </c>
      <c r="W830" s="304">
        <f t="shared" ca="1" si="352"/>
        <v>37.206552998896555</v>
      </c>
      <c r="Y830" s="314" t="str">
        <f t="shared" ca="1" si="370"/>
        <v/>
      </c>
      <c r="Z830" s="315" t="str">
        <f t="shared" ca="1" si="371"/>
        <v/>
      </c>
      <c r="AA830" s="316" t="str">
        <f t="shared" ca="1" si="372"/>
        <v/>
      </c>
      <c r="AC830" s="310" t="e">
        <f t="shared" ca="1" si="373"/>
        <v>#N/A</v>
      </c>
      <c r="AD830" s="323" t="e">
        <f t="shared" ca="1" si="374"/>
        <v>#N/A</v>
      </c>
      <c r="AE830" s="324" t="e">
        <f t="shared" ca="1" si="353"/>
        <v>#N/A</v>
      </c>
      <c r="AG830" s="306">
        <f t="shared" ca="1" si="375"/>
        <v>4.0662422516710874</v>
      </c>
      <c r="AH830" s="304">
        <f t="shared" ca="1" si="376"/>
        <v>-5.7057422769978485</v>
      </c>
    </row>
    <row r="831" spans="1:34" x14ac:dyDescent="0.2">
      <c r="A831" s="347">
        <f t="shared" ca="1" si="354"/>
        <v>0.1</v>
      </c>
      <c r="B831" s="304">
        <f t="shared" ca="1" si="355"/>
        <v>37.700000000000202</v>
      </c>
      <c r="D831" s="306">
        <f t="shared" ca="1" si="356"/>
        <v>-0.50169834498102561</v>
      </c>
      <c r="E831" s="307">
        <f t="shared" ca="1" si="357"/>
        <v>-4.0795150698446285</v>
      </c>
      <c r="F831" s="304">
        <f t="shared" ca="1" si="358"/>
        <v>4.1102487071278455</v>
      </c>
      <c r="G831" s="306">
        <f t="shared" ca="1" si="359"/>
        <v>10.143839511594734</v>
      </c>
      <c r="H831" s="307">
        <f t="shared" ca="1" si="360"/>
        <v>-116.84568250619144</v>
      </c>
      <c r="I831" s="304">
        <f t="shared" ca="1" si="361"/>
        <v>117.28516956706284</v>
      </c>
      <c r="J831" s="306">
        <f t="shared" ca="1" si="362"/>
        <v>679.90421633543644</v>
      </c>
      <c r="K831" s="307">
        <f t="shared" ca="1" si="363"/>
        <v>2011.8573542391825</v>
      </c>
      <c r="L831" s="304">
        <f t="shared" ca="1" si="348"/>
        <v>2123.6383301299179</v>
      </c>
      <c r="M831" s="306">
        <f t="shared" ca="1" si="364"/>
        <v>-1.4841994553472264</v>
      </c>
      <c r="N831" s="304">
        <f t="shared" ca="1" si="365"/>
        <v>-85.038364747011556</v>
      </c>
      <c r="P831" s="310">
        <f t="shared" ca="1" si="366"/>
        <v>23</v>
      </c>
      <c r="Q831" s="304">
        <f t="shared" ca="1" si="367"/>
        <v>0</v>
      </c>
      <c r="R831" s="306">
        <f t="shared" ca="1" si="368"/>
        <v>0</v>
      </c>
      <c r="S831" s="307">
        <f t="shared" ca="1" si="369"/>
        <v>6.4679999999999849</v>
      </c>
      <c r="T831" s="304">
        <f t="shared" ca="1" si="349"/>
        <v>63.451079999999855</v>
      </c>
      <c r="U831" s="311">
        <f t="shared" ca="1" si="350"/>
        <v>0</v>
      </c>
      <c r="V831" s="306">
        <f t="shared" ca="1" si="351"/>
        <v>1.0010729392998392</v>
      </c>
      <c r="W831" s="304">
        <f t="shared" ca="1" si="352"/>
        <v>37.507130976461617</v>
      </c>
      <c r="Y831" s="314" t="str">
        <f t="shared" ca="1" si="370"/>
        <v/>
      </c>
      <c r="Z831" s="315" t="str">
        <f t="shared" ca="1" si="371"/>
        <v/>
      </c>
      <c r="AA831" s="316" t="str">
        <f t="shared" ca="1" si="372"/>
        <v/>
      </c>
      <c r="AC831" s="310" t="e">
        <f t="shared" ca="1" si="373"/>
        <v>#N/A</v>
      </c>
      <c r="AD831" s="323" t="e">
        <f t="shared" ca="1" si="374"/>
        <v>#N/A</v>
      </c>
      <c r="AE831" s="324" t="e">
        <f t="shared" ca="1" si="353"/>
        <v>#N/A</v>
      </c>
      <c r="AG831" s="306">
        <f t="shared" ca="1" si="375"/>
        <v>4.0202141504577256</v>
      </c>
      <c r="AH831" s="304">
        <f t="shared" ca="1" si="376"/>
        <v>-5.7524046071268771</v>
      </c>
    </row>
    <row r="832" spans="1:34" x14ac:dyDescent="0.2">
      <c r="A832" s="347">
        <f t="shared" ca="1" si="354"/>
        <v>0.1</v>
      </c>
      <c r="B832" s="304">
        <f t="shared" ca="1" si="355"/>
        <v>37.800000000000203</v>
      </c>
      <c r="D832" s="306">
        <f t="shared" ca="1" si="356"/>
        <v>-0.50153714480999312</v>
      </c>
      <c r="E832" s="307">
        <f t="shared" ca="1" si="357"/>
        <v>-4.0328531986782945</v>
      </c>
      <c r="F832" s="304">
        <f t="shared" ca="1" si="358"/>
        <v>4.0639198355422694</v>
      </c>
      <c r="G832" s="306">
        <f t="shared" ca="1" si="359"/>
        <v>10.093685797113736</v>
      </c>
      <c r="H832" s="307">
        <f t="shared" ca="1" si="360"/>
        <v>-117.24896782605927</v>
      </c>
      <c r="I832" s="304">
        <f t="shared" ca="1" si="361"/>
        <v>117.6826365665179</v>
      </c>
      <c r="J832" s="306">
        <f t="shared" ca="1" si="362"/>
        <v>680.91609260087182</v>
      </c>
      <c r="K832" s="307">
        <f t="shared" ca="1" si="363"/>
        <v>2000.1526217225701</v>
      </c>
      <c r="L832" s="304">
        <f t="shared" ca="1" si="348"/>
        <v>2112.8788974634845</v>
      </c>
      <c r="M832" s="306">
        <f t="shared" ca="1" si="364"/>
        <v>-1.4849204232402609</v>
      </c>
      <c r="N832" s="304">
        <f t="shared" ca="1" si="365"/>
        <v>-85.079673164446874</v>
      </c>
      <c r="P832" s="310">
        <f t="shared" ca="1" si="366"/>
        <v>23</v>
      </c>
      <c r="Q832" s="304">
        <f t="shared" ca="1" si="367"/>
        <v>0</v>
      </c>
      <c r="R832" s="306">
        <f t="shared" ca="1" si="368"/>
        <v>0</v>
      </c>
      <c r="S832" s="307">
        <f t="shared" ca="1" si="369"/>
        <v>6.4679999999999849</v>
      </c>
      <c r="T832" s="304">
        <f t="shared" ca="1" si="349"/>
        <v>63.451079999999855</v>
      </c>
      <c r="U832" s="311">
        <f t="shared" ca="1" si="350"/>
        <v>0</v>
      </c>
      <c r="V832" s="306">
        <f t="shared" ca="1" si="351"/>
        <v>1.0022572760071786</v>
      </c>
      <c r="W832" s="304">
        <f t="shared" ca="1" si="352"/>
        <v>37.806451833573831</v>
      </c>
      <c r="Y832" s="314" t="str">
        <f t="shared" ca="1" si="370"/>
        <v/>
      </c>
      <c r="Z832" s="315" t="str">
        <f t="shared" ca="1" si="371"/>
        <v/>
      </c>
      <c r="AA832" s="316" t="str">
        <f t="shared" ca="1" si="372"/>
        <v/>
      </c>
      <c r="AC832" s="310" t="e">
        <f t="shared" ca="1" si="373"/>
        <v>#N/A</v>
      </c>
      <c r="AD832" s="323" t="e">
        <f t="shared" ca="1" si="374"/>
        <v>#N/A</v>
      </c>
      <c r="AE832" s="324" t="e">
        <f t="shared" ca="1" si="353"/>
        <v>#N/A</v>
      </c>
      <c r="AG832" s="306">
        <f t="shared" ca="1" si="375"/>
        <v>3.9743641405084427</v>
      </c>
      <c r="AH832" s="304">
        <f t="shared" ca="1" si="376"/>
        <v>-5.7988761559155391</v>
      </c>
    </row>
    <row r="833" spans="1:34" x14ac:dyDescent="0.2">
      <c r="A833" s="347">
        <f t="shared" ca="1" si="354"/>
        <v>0.1</v>
      </c>
      <c r="B833" s="304">
        <f t="shared" ca="1" si="355"/>
        <v>37.900000000000205</v>
      </c>
      <c r="D833" s="306">
        <f t="shared" ca="1" si="356"/>
        <v>-0.50134109006035743</v>
      </c>
      <c r="E833" s="307">
        <f t="shared" ca="1" si="357"/>
        <v>-3.9863864538782394</v>
      </c>
      <c r="F833" s="304">
        <f t="shared" ca="1" si="358"/>
        <v>4.0177879297253645</v>
      </c>
      <c r="G833" s="306">
        <f t="shared" ca="1" si="359"/>
        <v>10.0435516881077</v>
      </c>
      <c r="H833" s="307">
        <f t="shared" ca="1" si="360"/>
        <v>-117.64760647144709</v>
      </c>
      <c r="I833" s="304">
        <f t="shared" ca="1" si="361"/>
        <v>118.07553615788568</v>
      </c>
      <c r="J833" s="306">
        <f t="shared" ca="1" si="362"/>
        <v>681.92295447513288</v>
      </c>
      <c r="K833" s="307">
        <f t="shared" ca="1" si="363"/>
        <v>1988.4077930076949</v>
      </c>
      <c r="L833" s="304">
        <f t="shared" ca="1" si="348"/>
        <v>2102.0904992730038</v>
      </c>
      <c r="M833" s="306">
        <f t="shared" ca="1" si="364"/>
        <v>-1.4856330243751295</v>
      </c>
      <c r="N833" s="304">
        <f t="shared" ca="1" si="365"/>
        <v>-85.120502201951069</v>
      </c>
      <c r="P833" s="310">
        <f t="shared" ca="1" si="366"/>
        <v>23</v>
      </c>
      <c r="Q833" s="304">
        <f t="shared" ca="1" si="367"/>
        <v>0</v>
      </c>
      <c r="R833" s="306">
        <f t="shared" ca="1" si="368"/>
        <v>0</v>
      </c>
      <c r="S833" s="307">
        <f t="shared" ca="1" si="369"/>
        <v>6.4679999999999849</v>
      </c>
      <c r="T833" s="304">
        <f t="shared" ca="1" si="349"/>
        <v>63.451079999999855</v>
      </c>
      <c r="U833" s="311">
        <f t="shared" ca="1" si="350"/>
        <v>0</v>
      </c>
      <c r="V833" s="306">
        <f t="shared" ca="1" si="351"/>
        <v>1.0034469371894212</v>
      </c>
      <c r="W833" s="304">
        <f t="shared" ca="1" si="352"/>
        <v>38.104492990659715</v>
      </c>
      <c r="Y833" s="314" t="str">
        <f t="shared" ca="1" si="370"/>
        <v/>
      </c>
      <c r="Z833" s="315" t="str">
        <f t="shared" ca="1" si="371"/>
        <v/>
      </c>
      <c r="AA833" s="316" t="str">
        <f t="shared" ca="1" si="372"/>
        <v/>
      </c>
      <c r="AC833" s="310" t="e">
        <f t="shared" ca="1" si="373"/>
        <v>#N/A</v>
      </c>
      <c r="AD833" s="323" t="e">
        <f t="shared" ca="1" si="374"/>
        <v>#N/A</v>
      </c>
      <c r="AE833" s="324" t="e">
        <f t="shared" ca="1" si="353"/>
        <v>#N/A</v>
      </c>
      <c r="AG833" s="306">
        <f t="shared" ca="1" si="375"/>
        <v>3.9286961196814101</v>
      </c>
      <c r="AH833" s="304">
        <f t="shared" ca="1" si="376"/>
        <v>-5.8451533447083985</v>
      </c>
    </row>
    <row r="834" spans="1:34" x14ac:dyDescent="0.2">
      <c r="A834" s="347">
        <f t="shared" ca="1" si="354"/>
        <v>0.1</v>
      </c>
      <c r="B834" s="304">
        <f t="shared" ca="1" si="355"/>
        <v>38.000000000000206</v>
      </c>
      <c r="D834" s="306">
        <f t="shared" ca="1" si="356"/>
        <v>-0.50111057615379273</v>
      </c>
      <c r="E834" s="307">
        <f t="shared" ca="1" si="357"/>
        <v>-3.9401183393293175</v>
      </c>
      <c r="F834" s="304">
        <f t="shared" ca="1" si="358"/>
        <v>3.9718565353562818</v>
      </c>
      <c r="G834" s="306">
        <f t="shared" ca="1" si="359"/>
        <v>9.9934406304923211</v>
      </c>
      <c r="H834" s="307">
        <f t="shared" ca="1" si="360"/>
        <v>-118.04161830538003</v>
      </c>
      <c r="I834" s="304">
        <f t="shared" ca="1" si="361"/>
        <v>118.46388693516774</v>
      </c>
      <c r="J834" s="306">
        <f t="shared" ca="1" si="362"/>
        <v>682.92480409106292</v>
      </c>
      <c r="K834" s="307">
        <f t="shared" ca="1" si="363"/>
        <v>1976.6233317688534</v>
      </c>
      <c r="L834" s="304">
        <f t="shared" ca="1" si="348"/>
        <v>2091.2737945414556</v>
      </c>
      <c r="M834" s="306">
        <f t="shared" ca="1" si="364"/>
        <v>-1.486337409956912</v>
      </c>
      <c r="N834" s="304">
        <f t="shared" ca="1" si="365"/>
        <v>-85.160860522937085</v>
      </c>
      <c r="P834" s="310">
        <f t="shared" ca="1" si="366"/>
        <v>23</v>
      </c>
      <c r="Q834" s="304">
        <f t="shared" ca="1" si="367"/>
        <v>0</v>
      </c>
      <c r="R834" s="306">
        <f t="shared" ca="1" si="368"/>
        <v>0</v>
      </c>
      <c r="S834" s="307">
        <f t="shared" ca="1" si="369"/>
        <v>6.4679999999999849</v>
      </c>
      <c r="T834" s="304">
        <f t="shared" ca="1" si="349"/>
        <v>63.451079999999855</v>
      </c>
      <c r="U834" s="311">
        <f t="shared" ca="1" si="350"/>
        <v>0</v>
      </c>
      <c r="V834" s="306">
        <f t="shared" ca="1" si="351"/>
        <v>1.0046418908525785</v>
      </c>
      <c r="W834" s="304">
        <f t="shared" ca="1" si="352"/>
        <v>38.401232433014975</v>
      </c>
      <c r="Y834" s="314" t="str">
        <f t="shared" ca="1" si="370"/>
        <v/>
      </c>
      <c r="Z834" s="315" t="str">
        <f t="shared" ca="1" si="371"/>
        <v/>
      </c>
      <c r="AA834" s="316" t="str">
        <f t="shared" ca="1" si="372"/>
        <v/>
      </c>
      <c r="AC834" s="310">
        <f t="shared" ca="1" si="373"/>
        <v>38.000000000000206</v>
      </c>
      <c r="AD834" s="323">
        <f t="shared" ca="1" si="374"/>
        <v>682.92480409106292</v>
      </c>
      <c r="AE834" s="324" t="e">
        <f t="shared" ca="1" si="353"/>
        <v>#N/A</v>
      </c>
      <c r="AG834" s="306">
        <f t="shared" ca="1" si="375"/>
        <v>3.8832138881858249</v>
      </c>
      <c r="AH834" s="304">
        <f t="shared" ca="1" si="376"/>
        <v>-5.8912326825386216</v>
      </c>
    </row>
    <row r="835" spans="1:34" x14ac:dyDescent="0.2">
      <c r="A835" s="347">
        <f t="shared" ca="1" si="354"/>
        <v>0.1</v>
      </c>
      <c r="B835" s="304">
        <f t="shared" ca="1" si="355"/>
        <v>38.100000000000207</v>
      </c>
      <c r="D835" s="306">
        <f t="shared" ca="1" si="356"/>
        <v>-0.50084600032474924</v>
      </c>
      <c r="E835" s="307">
        <f t="shared" ca="1" si="357"/>
        <v>-3.8940522712748944</v>
      </c>
      <c r="F835" s="304">
        <f t="shared" ca="1" si="358"/>
        <v>3.9261291124289919</v>
      </c>
      <c r="G835" s="306">
        <f t="shared" ca="1" si="359"/>
        <v>9.9433560304598458</v>
      </c>
      <c r="H835" s="307">
        <f t="shared" ca="1" si="360"/>
        <v>-118.43102353250751</v>
      </c>
      <c r="I835" s="304">
        <f t="shared" ca="1" si="361"/>
        <v>118.84770786222943</v>
      </c>
      <c r="J835" s="306">
        <f t="shared" ca="1" si="362"/>
        <v>683.92164392411053</v>
      </c>
      <c r="K835" s="307">
        <f t="shared" ca="1" si="363"/>
        <v>1964.7996996769591</v>
      </c>
      <c r="L835" s="304">
        <f t="shared" ca="1" si="348"/>
        <v>2080.4294448210749</v>
      </c>
      <c r="M835" s="306">
        <f t="shared" ca="1" si="364"/>
        <v>-1.4870337274259446</v>
      </c>
      <c r="N835" s="304">
        <f t="shared" ca="1" si="365"/>
        <v>-85.200756575113886</v>
      </c>
      <c r="P835" s="310">
        <f t="shared" ca="1" si="366"/>
        <v>23</v>
      </c>
      <c r="Q835" s="304">
        <f t="shared" ca="1" si="367"/>
        <v>0</v>
      </c>
      <c r="R835" s="306">
        <f t="shared" ca="1" si="368"/>
        <v>0</v>
      </c>
      <c r="S835" s="307">
        <f t="shared" ca="1" si="369"/>
        <v>6.4679999999999849</v>
      </c>
      <c r="T835" s="304">
        <f t="shared" ca="1" si="349"/>
        <v>63.451079999999855</v>
      </c>
      <c r="U835" s="311">
        <f t="shared" ca="1" si="350"/>
        <v>0</v>
      </c>
      <c r="V835" s="306">
        <f t="shared" ca="1" si="351"/>
        <v>1.0058421050942092</v>
      </c>
      <c r="W835" s="304">
        <f t="shared" ca="1" si="352"/>
        <v>38.696648708323011</v>
      </c>
      <c r="Y835" s="314" t="str">
        <f t="shared" ca="1" si="370"/>
        <v/>
      </c>
      <c r="Z835" s="315" t="str">
        <f t="shared" ca="1" si="371"/>
        <v/>
      </c>
      <c r="AA835" s="316" t="str">
        <f t="shared" ca="1" si="372"/>
        <v/>
      </c>
      <c r="AC835" s="310" t="e">
        <f t="shared" ca="1" si="373"/>
        <v>#N/A</v>
      </c>
      <c r="AD835" s="323" t="e">
        <f t="shared" ca="1" si="374"/>
        <v>#N/A</v>
      </c>
      <c r="AE835" s="324" t="e">
        <f t="shared" ca="1" si="353"/>
        <v>#N/A</v>
      </c>
      <c r="AG835" s="306">
        <f t="shared" ca="1" si="375"/>
        <v>3.8379211493084435</v>
      </c>
      <c r="AH835" s="304">
        <f t="shared" ca="1" si="376"/>
        <v>-5.9371107657722737</v>
      </c>
    </row>
    <row r="836" spans="1:34" x14ac:dyDescent="0.2">
      <c r="A836" s="347">
        <f t="shared" ca="1" si="354"/>
        <v>0.1</v>
      </c>
      <c r="B836" s="304">
        <f t="shared" ca="1" si="355"/>
        <v>38.200000000000209</v>
      </c>
      <c r="D836" s="306">
        <f t="shared" ca="1" si="356"/>
        <v>-0.50054776147483249</v>
      </c>
      <c r="E836" s="307">
        <f t="shared" ca="1" si="357"/>
        <v>-3.8481915787009804</v>
      </c>
      <c r="F836" s="304">
        <f t="shared" ca="1" si="358"/>
        <v>3.8806090356930585</v>
      </c>
      <c r="G836" s="306">
        <f t="shared" ca="1" si="359"/>
        <v>9.8933012543123624</v>
      </c>
      <c r="H836" s="307">
        <f t="shared" ca="1" si="360"/>
        <v>-118.81584269037761</v>
      </c>
      <c r="I836" s="304">
        <f t="shared" ca="1" si="361"/>
        <v>119.22701826319879</v>
      </c>
      <c r="J836" s="306">
        <f t="shared" ca="1" si="362"/>
        <v>684.91347678834916</v>
      </c>
      <c r="K836" s="307">
        <f t="shared" ca="1" si="363"/>
        <v>1952.9373563658148</v>
      </c>
      <c r="L836" s="304">
        <f t="shared" ref="L836:L899" ca="1" si="377">SQRT(pos_x^2+pos_z^2)</f>
        <v>2069.55811432668</v>
      </c>
      <c r="M836" s="306">
        <f t="shared" ca="1" si="364"/>
        <v>-1.4877221205735194</v>
      </c>
      <c r="N836" s="304">
        <f t="shared" ca="1" si="365"/>
        <v>-85.240198597115636</v>
      </c>
      <c r="P836" s="310">
        <f t="shared" ca="1" si="366"/>
        <v>23</v>
      </c>
      <c r="Q836" s="304">
        <f t="shared" ca="1" si="367"/>
        <v>0</v>
      </c>
      <c r="R836" s="306">
        <f t="shared" ca="1" si="368"/>
        <v>0</v>
      </c>
      <c r="S836" s="307">
        <f t="shared" ca="1" si="369"/>
        <v>6.4679999999999849</v>
      </c>
      <c r="T836" s="304">
        <f t="shared" ref="T836:T899" ca="1" si="378">m*g</f>
        <v>63.451079999999855</v>
      </c>
      <c r="U836" s="311">
        <f t="shared" ref="U836:U899" ca="1" si="379">IF(pos_xz&lt;L_rampe,Poids*COS(Beta),0)</f>
        <v>0</v>
      </c>
      <c r="V836" s="306">
        <f t="shared" ref="V836:V899" ca="1" si="380">Rho_moyen*(20000-Alt_rampe-pos_z)/(20000+Alt_rampe+pos_z)</f>
        <v>1.0070475481059575</v>
      </c>
      <c r="W836" s="304">
        <f t="shared" ref="W836:W899" ca="1" si="381">1/2*Rho*Sref*Cx*vit_xz^2</f>
        <v>38.990720923997571</v>
      </c>
      <c r="Y836" s="314" t="str">
        <f t="shared" ca="1" si="370"/>
        <v/>
      </c>
      <c r="Z836" s="315" t="str">
        <f t="shared" ca="1" si="371"/>
        <v/>
      </c>
      <c r="AA836" s="316" t="str">
        <f t="shared" ca="1" si="372"/>
        <v/>
      </c>
      <c r="AC836" s="310" t="e">
        <f t="shared" ca="1" si="373"/>
        <v>#N/A</v>
      </c>
      <c r="AD836" s="323" t="e">
        <f t="shared" ca="1" si="374"/>
        <v>#N/A</v>
      </c>
      <c r="AE836" s="324" t="e">
        <f t="shared" ref="AE836:AE899" ca="1" si="382">IF(t&lt;T_para, pos_z, NA())</f>
        <v>#N/A</v>
      </c>
      <c r="AG836" s="306">
        <f t="shared" ca="1" si="375"/>
        <v>3.7928215101521214</v>
      </c>
      <c r="AH836" s="304">
        <f t="shared" ca="1" si="376"/>
        <v>-5.9827842777246598</v>
      </c>
    </row>
    <row r="837" spans="1:34" x14ac:dyDescent="0.2">
      <c r="A837" s="347">
        <f t="shared" ref="A837:A900" ca="1" si="383">IF(B836+0.01&lt;=T_ini+ROUNDUP(Temps_fin_propu,0), 0.01, IF(K836&gt;0, 0.1, 0.0001))</f>
        <v>0.1</v>
      </c>
      <c r="B837" s="304">
        <f t="shared" ref="B837:B900" ca="1" si="384">B836+pas</f>
        <v>38.30000000000021</v>
      </c>
      <c r="D837" s="306">
        <f t="shared" ref="D837:D900" ca="1" si="385">IF(AND(L836&lt;L_rampe,Poussee&lt;Poids*SIN(M836)),0,(-W836+Poussee)/m*COS(M836)-U836/m*SIN(M836))</f>
        <v>-0.50021626002925612</v>
      </c>
      <c r="E837" s="307">
        <f t="shared" ref="E837:E900" ca="1" si="386">IF(AND(L836&lt;L_rampe,Poussee&lt;Poids*SIN(M836)),0,(-W836+Poussee)/m*SIN(M836)+U836/m*COS(M836)-Poids/m)</f>
        <v>-3.8025395037476741</v>
      </c>
      <c r="F837" s="304">
        <f t="shared" ref="F837:F900" ca="1" si="387">SQRT(acc_x^2+acc_z^2)</f>
        <v>3.8352995951241233</v>
      </c>
      <c r="G837" s="306">
        <f t="shared" ref="G837:G900" ca="1" si="388">G836+acc_x*pas</f>
        <v>9.8432796283094373</v>
      </c>
      <c r="H837" s="307">
        <f t="shared" ref="H837:H900" ca="1" si="389">H836+acc_z*pas</f>
        <v>-119.19609664075237</v>
      </c>
      <c r="I837" s="304">
        <f t="shared" ref="I837:I900" ca="1" si="390">SQRT(vit_x^2+vit_z^2)</f>
        <v>119.60183781293944</v>
      </c>
      <c r="J837" s="306">
        <f t="shared" ref="J837:J900" ca="1" si="391">J836+0.5*(vit_x+G836)*pas*(K836&gt;=0)</f>
        <v>685.90030583248029</v>
      </c>
      <c r="K837" s="307">
        <f t="shared" ref="K837:K900" ca="1" si="392">K836+0.5*(vit_z+H836)*pas</f>
        <v>1941.0367593992582</v>
      </c>
      <c r="L837" s="304">
        <f t="shared" ca="1" si="377"/>
        <v>2058.6604700339162</v>
      </c>
      <c r="M837" s="306">
        <f t="shared" ref="M837:M900" ca="1" si="393">IF(AND(L836&gt;L_rampe,G837&gt;0),ATAN2(G837,H837),$M$4)</f>
        <v>-1.4884027296533735</v>
      </c>
      <c r="N837" s="304">
        <f t="shared" ref="N837:N900" ca="1" si="394">DEGREES(Beta)</f>
        <v>-85.27919462488957</v>
      </c>
      <c r="P837" s="310">
        <f t="shared" ref="P837:P900" ca="1" si="395">MATCH(t-pas/2-T_ini,CdP_t)</f>
        <v>23</v>
      </c>
      <c r="Q837" s="304">
        <f t="shared" ref="Q837:Q900" ca="1" si="396">(INDEX(CdP,2,i_P+1)-INDEX(CdP,2,i_P+0))/(INDEX(CdP,1,i_P+1)-INDEX(CdP,1,i_P+0))*(t-pas/2-T_ini-INDEX(CdP,1,i_P+0))+INDEX(CdP,2,i_P+0)</f>
        <v>0</v>
      </c>
      <c r="R837" s="306">
        <f t="shared" ref="R837:R900" ca="1" si="397">Poussee/(g*ISP)</f>
        <v>0</v>
      </c>
      <c r="S837" s="307">
        <f t="shared" ref="S837:S900" ca="1" si="398">S836-Débit*pas</f>
        <v>6.4679999999999849</v>
      </c>
      <c r="T837" s="304">
        <f t="shared" ca="1" si="378"/>
        <v>63.451079999999855</v>
      </c>
      <c r="U837" s="311">
        <f t="shared" ca="1" si="379"/>
        <v>0</v>
      </c>
      <c r="V837" s="306">
        <f t="shared" ca="1" si="380"/>
        <v>1.0082581881760455</v>
      </c>
      <c r="W837" s="304">
        <f t="shared" ca="1" si="381"/>
        <v>39.283428744354147</v>
      </c>
      <c r="Y837" s="314" t="str">
        <f t="shared" ref="Y837:Y900" ca="1" si="399">IF(AND(pos_z&lt;=0,K836&gt;0),"Impact balistique","") &amp; IF(AND(H838&lt;0,vit_z&gt;=0),"Apogée","") &amp; IF(AND(Poussee=0,Q836&gt;0),"Fin de propulsion","") &amp; IF(AND(L838&gt;L_rampe,pos_xz&lt;=L_rampe),"Sortie de rampe","")</f>
        <v/>
      </c>
      <c r="Z837" s="315" t="str">
        <f t="shared" ref="Z837:Z900" ca="1" si="400">IF(ABS(t-T_para)&lt;pas/2,"Para","")</f>
        <v/>
      </c>
      <c r="AA837" s="316" t="str">
        <f t="shared" ref="AA837:AA900" ca="1" si="401">IF(ABS(t-T_satellite)&lt;pas/2,"Satellite","")</f>
        <v/>
      </c>
      <c r="AC837" s="310" t="e">
        <f t="shared" ref="AC837:AC900" ca="1" si="402">IF(ABS(t-ROUND(t,0))&lt;0.001,t,NA())</f>
        <v>#N/A</v>
      </c>
      <c r="AD837" s="323" t="e">
        <f t="shared" ref="AD837:AD900" ca="1" si="403">IF(ABS(t-ROUND(t,0))&lt;0.001,pos_x,NA())</f>
        <v>#N/A</v>
      </c>
      <c r="AE837" s="324" t="e">
        <f t="shared" ca="1" si="382"/>
        <v>#N/A</v>
      </c>
      <c r="AG837" s="306">
        <f t="shared" ref="AG837:AG900" ca="1" si="404">IF(AND(L836&lt;L_rampe,Poussee&lt;Poids*SIN(M836)),0,(-W836+Poussee)/m-Poids*SIN(M836)/m)</f>
        <v>3.7479184823863312</v>
      </c>
      <c r="AH837" s="304">
        <f t="shared" ref="AH837:AH900" ca="1" si="405">IF(AND(L836&lt;L_rampe,Poussee&lt;Poids*SIN(M836)), g*SIN(M836), (-W836+Poussee)/m)</f>
        <v>-6.0282499882494838</v>
      </c>
    </row>
    <row r="838" spans="1:34" x14ac:dyDescent="0.2">
      <c r="A838" s="347">
        <f t="shared" ca="1" si="383"/>
        <v>0.1</v>
      </c>
      <c r="B838" s="304">
        <f t="shared" ca="1" si="384"/>
        <v>38.400000000000212</v>
      </c>
      <c r="D838" s="306">
        <f t="shared" ca="1" si="385"/>
        <v>-0.4998518977953838</v>
      </c>
      <c r="E838" s="307">
        <f t="shared" ca="1" si="386"/>
        <v>-3.7570992021472449</v>
      </c>
      <c r="F838" s="304">
        <f t="shared" ca="1" si="387"/>
        <v>3.7902039964235583</v>
      </c>
      <c r="G838" s="306">
        <f t="shared" ca="1" si="388"/>
        <v>9.7932944385298981</v>
      </c>
      <c r="H838" s="307">
        <f t="shared" ca="1" si="389"/>
        <v>-119.5718065609671</v>
      </c>
      <c r="I838" s="304">
        <f t="shared" ca="1" si="390"/>
        <v>119.97218652759929</v>
      </c>
      <c r="J838" s="306">
        <f t="shared" ca="1" si="391"/>
        <v>686.88213453582227</v>
      </c>
      <c r="K838" s="307">
        <f t="shared" ca="1" si="392"/>
        <v>1929.0983642391723</v>
      </c>
      <c r="L838" s="304">
        <f t="shared" ca="1" si="377"/>
        <v>2047.7371817825492</v>
      </c>
      <c r="M838" s="306">
        <f t="shared" ca="1" si="393"/>
        <v>-1.4890756914891425</v>
      </c>
      <c r="N838" s="304">
        <f t="shared" ca="1" si="394"/>
        <v>-85.31775249785251</v>
      </c>
      <c r="P838" s="310">
        <f t="shared" ca="1" si="395"/>
        <v>23</v>
      </c>
      <c r="Q838" s="304">
        <f t="shared" ca="1" si="396"/>
        <v>0</v>
      </c>
      <c r="R838" s="306">
        <f t="shared" ca="1" si="397"/>
        <v>0</v>
      </c>
      <c r="S838" s="307">
        <f t="shared" ca="1" si="398"/>
        <v>6.4679999999999849</v>
      </c>
      <c r="T838" s="304">
        <f t="shared" ca="1" si="378"/>
        <v>63.451079999999855</v>
      </c>
      <c r="U838" s="311">
        <f t="shared" ca="1" si="379"/>
        <v>0</v>
      </c>
      <c r="V838" s="306">
        <f t="shared" ca="1" si="380"/>
        <v>1.009473993691717</v>
      </c>
      <c r="W838" s="304">
        <f t="shared" ca="1" si="381"/>
        <v>39.574752387614957</v>
      </c>
      <c r="Y838" s="314" t="str">
        <f t="shared" ca="1" si="399"/>
        <v/>
      </c>
      <c r="Z838" s="315" t="str">
        <f t="shared" ca="1" si="400"/>
        <v/>
      </c>
      <c r="AA838" s="316" t="str">
        <f t="shared" ca="1" si="401"/>
        <v/>
      </c>
      <c r="AC838" s="310" t="e">
        <f t="shared" ca="1" si="402"/>
        <v>#N/A</v>
      </c>
      <c r="AD838" s="323" t="e">
        <f t="shared" ca="1" si="403"/>
        <v>#N/A</v>
      </c>
      <c r="AE838" s="324" t="e">
        <f t="shared" ca="1" si="382"/>
        <v>#N/A</v>
      </c>
      <c r="AG838" s="306">
        <f t="shared" ca="1" si="404"/>
        <v>3.7032154830097257</v>
      </c>
      <c r="AH838" s="304">
        <f t="shared" ca="1" si="405"/>
        <v>-6.0735047533015214</v>
      </c>
    </row>
    <row r="839" spans="1:34" x14ac:dyDescent="0.2">
      <c r="A839" s="347">
        <f t="shared" ca="1" si="383"/>
        <v>0.1</v>
      </c>
      <c r="B839" s="304">
        <f t="shared" ca="1" si="384"/>
        <v>38.500000000000213</v>
      </c>
      <c r="D839" s="306">
        <f t="shared" ca="1" si="385"/>
        <v>-0.49945507782340448</v>
      </c>
      <c r="E839" s="307">
        <f t="shared" ca="1" si="386"/>
        <v>-3.711873743688062</v>
      </c>
      <c r="F839" s="304">
        <f t="shared" ca="1" si="387"/>
        <v>3.7453253615466324</v>
      </c>
      <c r="G839" s="306">
        <f t="shared" ca="1" si="388"/>
        <v>9.7433489307475583</v>
      </c>
      <c r="H839" s="307">
        <f t="shared" ca="1" si="389"/>
        <v>-119.94299393533591</v>
      </c>
      <c r="I839" s="304">
        <f t="shared" ca="1" si="390"/>
        <v>120.33808475523584</v>
      </c>
      <c r="J839" s="306">
        <f t="shared" ca="1" si="391"/>
        <v>687.8589667042861</v>
      </c>
      <c r="K839" s="307">
        <f t="shared" ca="1" si="392"/>
        <v>1917.1226242143571</v>
      </c>
      <c r="L839" s="304">
        <f t="shared" ca="1" si="377"/>
        <v>2036.7889223849463</v>
      </c>
      <c r="M839" s="306">
        <f t="shared" ca="1" si="393"/>
        <v>-1.4897411395779481</v>
      </c>
      <c r="N839" s="304">
        <f t="shared" ca="1" si="394"/>
        <v>-85.355879864826107</v>
      </c>
      <c r="P839" s="310">
        <f t="shared" ca="1" si="395"/>
        <v>23</v>
      </c>
      <c r="Q839" s="304">
        <f t="shared" ca="1" si="396"/>
        <v>0</v>
      </c>
      <c r="R839" s="306">
        <f t="shared" ca="1" si="397"/>
        <v>0</v>
      </c>
      <c r="S839" s="307">
        <f t="shared" ca="1" si="398"/>
        <v>6.4679999999999849</v>
      </c>
      <c r="T839" s="304">
        <f t="shared" ca="1" si="378"/>
        <v>63.451079999999855</v>
      </c>
      <c r="U839" s="311">
        <f t="shared" ca="1" si="379"/>
        <v>0</v>
      </c>
      <c r="V839" s="306">
        <f t="shared" ca="1" si="380"/>
        <v>1.0106949331416382</v>
      </c>
      <c r="W839" s="304">
        <f t="shared" ca="1" si="381"/>
        <v>39.864672622752401</v>
      </c>
      <c r="Y839" s="314" t="str">
        <f t="shared" ca="1" si="399"/>
        <v/>
      </c>
      <c r="Z839" s="315" t="str">
        <f t="shared" ca="1" si="400"/>
        <v/>
      </c>
      <c r="AA839" s="316" t="str">
        <f t="shared" ca="1" si="401"/>
        <v/>
      </c>
      <c r="AC839" s="310" t="e">
        <f t="shared" ca="1" si="402"/>
        <v>#N/A</v>
      </c>
      <c r="AD839" s="323" t="e">
        <f t="shared" ca="1" si="403"/>
        <v>#N/A</v>
      </c>
      <c r="AE839" s="324" t="e">
        <f t="shared" ca="1" si="382"/>
        <v>#N/A</v>
      </c>
      <c r="AG839" s="306">
        <f t="shared" ca="1" si="404"/>
        <v>3.6587158351246716</v>
      </c>
      <c r="AH839" s="304">
        <f t="shared" ca="1" si="405"/>
        <v>-6.1185455144735696</v>
      </c>
    </row>
    <row r="840" spans="1:34" x14ac:dyDescent="0.2">
      <c r="A840" s="347">
        <f t="shared" ca="1" si="383"/>
        <v>0.1</v>
      </c>
      <c r="B840" s="304">
        <f t="shared" ca="1" si="384"/>
        <v>38.600000000000215</v>
      </c>
      <c r="D840" s="306">
        <f t="shared" ca="1" si="385"/>
        <v>-0.49902620426914823</v>
      </c>
      <c r="E840" s="307">
        <f t="shared" ca="1" si="386"/>
        <v>-3.6668661127036337</v>
      </c>
      <c r="F840" s="304">
        <f t="shared" ca="1" si="387"/>
        <v>3.7006667292585984</v>
      </c>
      <c r="G840" s="306">
        <f t="shared" ca="1" si="388"/>
        <v>9.6934463103206436</v>
      </c>
      <c r="H840" s="307">
        <f t="shared" ca="1" si="389"/>
        <v>-120.30968054660627</v>
      </c>
      <c r="I840" s="304">
        <f t="shared" ca="1" si="390"/>
        <v>120.69955316651972</v>
      </c>
      <c r="J840" s="306">
        <f t="shared" ca="1" si="391"/>
        <v>688.83080646633948</v>
      </c>
      <c r="K840" s="307">
        <f t="shared" ca="1" si="392"/>
        <v>1905.1099904902599</v>
      </c>
      <c r="L840" s="304">
        <f t="shared" ca="1" si="377"/>
        <v>2025.8163677398961</v>
      </c>
      <c r="M840" s="306">
        <f t="shared" ca="1" si="393"/>
        <v>-1.4903992041902816</v>
      </c>
      <c r="N840" s="304">
        <f t="shared" ca="1" si="394"/>
        <v>-85.393584189759736</v>
      </c>
      <c r="P840" s="310">
        <f t="shared" ca="1" si="395"/>
        <v>23</v>
      </c>
      <c r="Q840" s="304">
        <f t="shared" ca="1" si="396"/>
        <v>0</v>
      </c>
      <c r="R840" s="306">
        <f t="shared" ca="1" si="397"/>
        <v>0</v>
      </c>
      <c r="S840" s="307">
        <f t="shared" ca="1" si="398"/>
        <v>6.4679999999999849</v>
      </c>
      <c r="T840" s="304">
        <f t="shared" ca="1" si="378"/>
        <v>63.451079999999855</v>
      </c>
      <c r="U840" s="311">
        <f t="shared" ca="1" si="379"/>
        <v>0</v>
      </c>
      <c r="V840" s="306">
        <f t="shared" ca="1" si="380"/>
        <v>1.0119209751182507</v>
      </c>
      <c r="W840" s="304">
        <f t="shared" ca="1" si="381"/>
        <v>40.153170766175862</v>
      </c>
      <c r="Y840" s="314" t="str">
        <f t="shared" ca="1" si="399"/>
        <v/>
      </c>
      <c r="Z840" s="315" t="str">
        <f t="shared" ca="1" si="400"/>
        <v/>
      </c>
      <c r="AA840" s="316" t="str">
        <f t="shared" ca="1" si="401"/>
        <v/>
      </c>
      <c r="AC840" s="310" t="e">
        <f t="shared" ca="1" si="402"/>
        <v>#N/A</v>
      </c>
      <c r="AD840" s="323" t="e">
        <f t="shared" ca="1" si="403"/>
        <v>#N/A</v>
      </c>
      <c r="AE840" s="324" t="e">
        <f t="shared" ca="1" si="382"/>
        <v>#N/A</v>
      </c>
      <c r="AG840" s="306">
        <f t="shared" ca="1" si="404"/>
        <v>3.6144227687236432</v>
      </c>
      <c r="AH840" s="304">
        <f t="shared" ca="1" si="405"/>
        <v>-6.1633692985084254</v>
      </c>
    </row>
    <row r="841" spans="1:34" x14ac:dyDescent="0.2">
      <c r="A841" s="347">
        <f t="shared" ca="1" si="383"/>
        <v>0.1</v>
      </c>
      <c r="B841" s="304">
        <f t="shared" ca="1" si="384"/>
        <v>38.700000000000216</v>
      </c>
      <c r="D841" s="306">
        <f t="shared" ca="1" si="385"/>
        <v>-0.49856568225906167</v>
      </c>
      <c r="E841" s="307">
        <f t="shared" ca="1" si="386"/>
        <v>-3.6220792085859932</v>
      </c>
      <c r="F841" s="304">
        <f t="shared" ca="1" si="387"/>
        <v>3.6562310557180844</v>
      </c>
      <c r="G841" s="306">
        <f t="shared" ca="1" si="388"/>
        <v>9.6435897420947381</v>
      </c>
      <c r="H841" s="307">
        <f t="shared" ca="1" si="389"/>
        <v>-120.67188846746487</v>
      </c>
      <c r="I841" s="304">
        <f t="shared" ca="1" si="390"/>
        <v>121.05661274551719</v>
      </c>
      <c r="J841" s="306">
        <f t="shared" ca="1" si="391"/>
        <v>689.79765826896028</v>
      </c>
      <c r="K841" s="307">
        <f t="shared" ca="1" si="392"/>
        <v>1893.0609120395563</v>
      </c>
      <c r="L841" s="304">
        <f t="shared" ca="1" si="377"/>
        <v>2014.8201969519212</v>
      </c>
      <c r="M841" s="306">
        <f t="shared" ca="1" si="393"/>
        <v>-1.491050012466336</v>
      </c>
      <c r="N841" s="304">
        <f t="shared" ca="1" si="394"/>
        <v>-85.43087275724983</v>
      </c>
      <c r="P841" s="310">
        <f t="shared" ca="1" si="395"/>
        <v>23</v>
      </c>
      <c r="Q841" s="304">
        <f t="shared" ca="1" si="396"/>
        <v>0</v>
      </c>
      <c r="R841" s="306">
        <f t="shared" ca="1" si="397"/>
        <v>0</v>
      </c>
      <c r="S841" s="307">
        <f t="shared" ca="1" si="398"/>
        <v>6.4679999999999849</v>
      </c>
      <c r="T841" s="304">
        <f t="shared" ca="1" si="378"/>
        <v>63.451079999999855</v>
      </c>
      <c r="U841" s="311">
        <f t="shared" ca="1" si="379"/>
        <v>0</v>
      </c>
      <c r="V841" s="306">
        <f t="shared" ca="1" si="380"/>
        <v>1.013152088320078</v>
      </c>
      <c r="W841" s="304">
        <f t="shared" ca="1" si="381"/>
        <v>40.440228678266188</v>
      </c>
      <c r="Y841" s="314" t="str">
        <f t="shared" ca="1" si="399"/>
        <v/>
      </c>
      <c r="Z841" s="315" t="str">
        <f t="shared" ca="1" si="400"/>
        <v/>
      </c>
      <c r="AA841" s="316" t="str">
        <f t="shared" ca="1" si="401"/>
        <v/>
      </c>
      <c r="AC841" s="310" t="e">
        <f t="shared" ca="1" si="402"/>
        <v>#N/A</v>
      </c>
      <c r="AD841" s="323" t="e">
        <f t="shared" ca="1" si="403"/>
        <v>#N/A</v>
      </c>
      <c r="AE841" s="324" t="e">
        <f t="shared" ca="1" si="382"/>
        <v>#N/A</v>
      </c>
      <c r="AG841" s="306">
        <f t="shared" ca="1" si="404"/>
        <v>3.5703394214873905</v>
      </c>
      <c r="AH841" s="304">
        <f t="shared" ca="1" si="405"/>
        <v>-6.2079732167866348</v>
      </c>
    </row>
    <row r="842" spans="1:34" x14ac:dyDescent="0.2">
      <c r="A842" s="347">
        <f t="shared" ca="1" si="383"/>
        <v>0.1</v>
      </c>
      <c r="B842" s="304">
        <f t="shared" ca="1" si="384"/>
        <v>38.800000000000217</v>
      </c>
      <c r="D842" s="306">
        <f t="shared" ca="1" si="385"/>
        <v>-0.49807391775736498</v>
      </c>
      <c r="E842" s="307">
        <f t="shared" ca="1" si="386"/>
        <v>-3.5775158463227452</v>
      </c>
      <c r="F842" s="304">
        <f t="shared" ca="1" si="387"/>
        <v>3.6120212150872701</v>
      </c>
      <c r="G842" s="306">
        <f t="shared" ca="1" si="388"/>
        <v>9.5937823503190014</v>
      </c>
      <c r="H842" s="307">
        <f t="shared" ca="1" si="389"/>
        <v>-121.02964005209714</v>
      </c>
      <c r="I842" s="304">
        <f t="shared" ca="1" si="390"/>
        <v>121.40928478055328</v>
      </c>
      <c r="J842" s="306">
        <f t="shared" ca="1" si="391"/>
        <v>690.75952687358097</v>
      </c>
      <c r="K842" s="307">
        <f t="shared" ca="1" si="392"/>
        <v>1880.9758356135783</v>
      </c>
      <c r="L842" s="304">
        <f t="shared" ca="1" si="377"/>
        <v>2003.8010924562379</v>
      </c>
      <c r="M842" s="306">
        <f t="shared" ca="1" si="393"/>
        <v>-1.4916936885089314</v>
      </c>
      <c r="N842" s="304">
        <f t="shared" ca="1" si="394"/>
        <v>-85.46775267786424</v>
      </c>
      <c r="P842" s="310">
        <f t="shared" ca="1" si="395"/>
        <v>23</v>
      </c>
      <c r="Q842" s="304">
        <f t="shared" ca="1" si="396"/>
        <v>0</v>
      </c>
      <c r="R842" s="306">
        <f t="shared" ca="1" si="397"/>
        <v>0</v>
      </c>
      <c r="S842" s="307">
        <f t="shared" ca="1" si="398"/>
        <v>6.4679999999999849</v>
      </c>
      <c r="T842" s="304">
        <f t="shared" ca="1" si="378"/>
        <v>63.451079999999855</v>
      </c>
      <c r="U842" s="311">
        <f t="shared" ca="1" si="379"/>
        <v>0</v>
      </c>
      <c r="V842" s="306">
        <f t="shared" ca="1" si="380"/>
        <v>1.0143882415539882</v>
      </c>
      <c r="W842" s="304">
        <f t="shared" ca="1" si="381"/>
        <v>40.725828759763495</v>
      </c>
      <c r="Y842" s="314" t="str">
        <f t="shared" ca="1" si="399"/>
        <v/>
      </c>
      <c r="Z842" s="315" t="str">
        <f t="shared" ca="1" si="400"/>
        <v/>
      </c>
      <c r="AA842" s="316" t="str">
        <f t="shared" ca="1" si="401"/>
        <v/>
      </c>
      <c r="AC842" s="310" t="e">
        <f t="shared" ca="1" si="402"/>
        <v>#N/A</v>
      </c>
      <c r="AD842" s="323" t="e">
        <f t="shared" ca="1" si="403"/>
        <v>#N/A</v>
      </c>
      <c r="AE842" s="324" t="e">
        <f t="shared" ca="1" si="382"/>
        <v>#N/A</v>
      </c>
      <c r="AG842" s="306">
        <f t="shared" ca="1" si="404"/>
        <v>3.5264688395947621</v>
      </c>
      <c r="AH842" s="304">
        <f t="shared" ca="1" si="405"/>
        <v>-6.252354464790705</v>
      </c>
    </row>
    <row r="843" spans="1:34" x14ac:dyDescent="0.2">
      <c r="A843" s="347">
        <f t="shared" ca="1" si="383"/>
        <v>0.1</v>
      </c>
      <c r="B843" s="304">
        <f t="shared" ca="1" si="384"/>
        <v>38.900000000000219</v>
      </c>
      <c r="D843" s="306">
        <f t="shared" ca="1" si="385"/>
        <v>-0.49755131743541281</v>
      </c>
      <c r="E843" s="307">
        <f t="shared" ca="1" si="386"/>
        <v>-3.5331787570569206</v>
      </c>
      <c r="F843" s="304">
        <f t="shared" ca="1" si="387"/>
        <v>3.5680400001681596</v>
      </c>
      <c r="G843" s="306">
        <f t="shared" ca="1" si="388"/>
        <v>9.5440272185754598</v>
      </c>
      <c r="H843" s="307">
        <f t="shared" ca="1" si="389"/>
        <v>-121.38295792780283</v>
      </c>
      <c r="I843" s="304">
        <f t="shared" ca="1" si="390"/>
        <v>121.75759085515639</v>
      </c>
      <c r="J843" s="306">
        <f t="shared" ca="1" si="391"/>
        <v>691.7164173520257</v>
      </c>
      <c r="K843" s="307">
        <f t="shared" ca="1" si="392"/>
        <v>1868.8552057145832</v>
      </c>
      <c r="L843" s="304">
        <f t="shared" ca="1" si="377"/>
        <v>1992.7597401495291</v>
      </c>
      <c r="M843" s="306">
        <f t="shared" ca="1" si="393"/>
        <v>-1.4923303534731751</v>
      </c>
      <c r="N843" s="304">
        <f t="shared" ca="1" si="394"/>
        <v>-85.504230893279242</v>
      </c>
      <c r="P843" s="310">
        <f t="shared" ca="1" si="395"/>
        <v>23</v>
      </c>
      <c r="Q843" s="304">
        <f t="shared" ca="1" si="396"/>
        <v>0</v>
      </c>
      <c r="R843" s="306">
        <f t="shared" ca="1" si="397"/>
        <v>0</v>
      </c>
      <c r="S843" s="307">
        <f t="shared" ca="1" si="398"/>
        <v>6.4679999999999849</v>
      </c>
      <c r="T843" s="304">
        <f t="shared" ca="1" si="378"/>
        <v>63.451079999999855</v>
      </c>
      <c r="U843" s="311">
        <f t="shared" ca="1" si="379"/>
        <v>0</v>
      </c>
      <c r="V843" s="306">
        <f t="shared" ca="1" si="380"/>
        <v>1.0156294037374092</v>
      </c>
      <c r="W843" s="304">
        <f t="shared" ca="1" si="381"/>
        <v>41.00995394801209</v>
      </c>
      <c r="Y843" s="314" t="str">
        <f t="shared" ca="1" si="399"/>
        <v/>
      </c>
      <c r="Z843" s="315" t="str">
        <f t="shared" ca="1" si="400"/>
        <v/>
      </c>
      <c r="AA843" s="316" t="str">
        <f t="shared" ca="1" si="401"/>
        <v/>
      </c>
      <c r="AC843" s="310" t="e">
        <f t="shared" ca="1" si="402"/>
        <v>#N/A</v>
      </c>
      <c r="AD843" s="323" t="e">
        <f t="shared" ca="1" si="403"/>
        <v>#N/A</v>
      </c>
      <c r="AE843" s="324" t="e">
        <f t="shared" ca="1" si="382"/>
        <v>#N/A</v>
      </c>
      <c r="AG843" s="306">
        <f t="shared" ca="1" si="404"/>
        <v>3.4828139785438763</v>
      </c>
      <c r="AH843" s="304">
        <f t="shared" ca="1" si="405"/>
        <v>-6.296510321546628</v>
      </c>
    </row>
    <row r="844" spans="1:34" x14ac:dyDescent="0.2">
      <c r="A844" s="347">
        <f t="shared" ca="1" si="383"/>
        <v>0.1</v>
      </c>
      <c r="B844" s="304">
        <f t="shared" ca="1" si="384"/>
        <v>39.00000000000022</v>
      </c>
      <c r="D844" s="306">
        <f t="shared" ca="1" si="385"/>
        <v>-0.49699828854326289</v>
      </c>
      <c r="E844" s="307">
        <f t="shared" ca="1" si="386"/>
        <v>-3.4890705886690263</v>
      </c>
      <c r="F844" s="304">
        <f t="shared" ca="1" si="387"/>
        <v>3.524290123064524</v>
      </c>
      <c r="G844" s="306">
        <f t="shared" ca="1" si="388"/>
        <v>9.4943273897211338</v>
      </c>
      <c r="H844" s="307">
        <f t="shared" ca="1" si="389"/>
        <v>-121.73186498666973</v>
      </c>
      <c r="I844" s="304">
        <f t="shared" ca="1" si="390"/>
        <v>122.10155283908554</v>
      </c>
      <c r="J844" s="306">
        <f t="shared" ca="1" si="391"/>
        <v>692.66833508244054</v>
      </c>
      <c r="K844" s="307">
        <f t="shared" ca="1" si="392"/>
        <v>1856.6994645688596</v>
      </c>
      <c r="L844" s="304">
        <f t="shared" ca="1" si="377"/>
        <v>1981.6968295266988</v>
      </c>
      <c r="M844" s="306">
        <f t="shared" ca="1" si="393"/>
        <v>-1.492960125652987</v>
      </c>
      <c r="N844" s="304">
        <f t="shared" ca="1" si="394"/>
        <v>-85.540314181237221</v>
      </c>
      <c r="P844" s="310">
        <f t="shared" ca="1" si="395"/>
        <v>23</v>
      </c>
      <c r="Q844" s="304">
        <f t="shared" ca="1" si="396"/>
        <v>0</v>
      </c>
      <c r="R844" s="306">
        <f t="shared" ca="1" si="397"/>
        <v>0</v>
      </c>
      <c r="S844" s="307">
        <f t="shared" ca="1" si="398"/>
        <v>6.4679999999999849</v>
      </c>
      <c r="T844" s="304">
        <f t="shared" ca="1" si="378"/>
        <v>63.451079999999855</v>
      </c>
      <c r="U844" s="311">
        <f t="shared" ca="1" si="379"/>
        <v>0</v>
      </c>
      <c r="V844" s="306">
        <f t="shared" ca="1" si="380"/>
        <v>1.0168755439004962</v>
      </c>
      <c r="W844" s="304">
        <f t="shared" ca="1" si="381"/>
        <v>41.29258771306786</v>
      </c>
      <c r="Y844" s="314" t="str">
        <f t="shared" ca="1" si="399"/>
        <v/>
      </c>
      <c r="Z844" s="315" t="str">
        <f t="shared" ca="1" si="400"/>
        <v/>
      </c>
      <c r="AA844" s="316" t="str">
        <f t="shared" ca="1" si="401"/>
        <v/>
      </c>
      <c r="AC844" s="310">
        <f t="shared" ca="1" si="402"/>
        <v>39.00000000000022</v>
      </c>
      <c r="AD844" s="323">
        <f t="shared" ca="1" si="403"/>
        <v>692.66833508244054</v>
      </c>
      <c r="AE844" s="324" t="e">
        <f t="shared" ca="1" si="382"/>
        <v>#N/A</v>
      </c>
      <c r="AG844" s="306">
        <f t="shared" ca="1" si="404"/>
        <v>3.4393777039846025</v>
      </c>
      <c r="AH844" s="304">
        <f t="shared" ca="1" si="405"/>
        <v>-6.3404381490433188</v>
      </c>
    </row>
    <row r="845" spans="1:34" x14ac:dyDescent="0.2">
      <c r="A845" s="347">
        <f t="shared" ca="1" si="383"/>
        <v>0.1</v>
      </c>
      <c r="B845" s="304">
        <f t="shared" ca="1" si="384"/>
        <v>39.100000000000222</v>
      </c>
      <c r="D845" s="306">
        <f t="shared" ca="1" si="385"/>
        <v>-0.49641523878347976</v>
      </c>
      <c r="E845" s="307">
        <f t="shared" ca="1" si="386"/>
        <v>-3.4451939063804646</v>
      </c>
      <c r="F845" s="304">
        <f t="shared" ca="1" si="387"/>
        <v>3.4807742158688697</v>
      </c>
      <c r="G845" s="306">
        <f t="shared" ca="1" si="388"/>
        <v>9.4446858658427857</v>
      </c>
      <c r="H845" s="307">
        <f t="shared" ca="1" si="389"/>
        <v>-122.07638437730778</v>
      </c>
      <c r="I845" s="304">
        <f t="shared" ca="1" si="390"/>
        <v>122.4411928794417</v>
      </c>
      <c r="J845" s="306">
        <f t="shared" ca="1" si="391"/>
        <v>693.61528574521878</v>
      </c>
      <c r="K845" s="307">
        <f t="shared" ca="1" si="392"/>
        <v>1844.5090521006607</v>
      </c>
      <c r="L845" s="304">
        <f t="shared" ca="1" si="377"/>
        <v>1970.613053823784</v>
      </c>
      <c r="M845" s="306">
        <f t="shared" ca="1" si="393"/>
        <v>-1.4935831205646199</v>
      </c>
      <c r="N845" s="304">
        <f t="shared" ca="1" si="394"/>
        <v>-85.576009160331921</v>
      </c>
      <c r="P845" s="310">
        <f t="shared" ca="1" si="395"/>
        <v>23</v>
      </c>
      <c r="Q845" s="304">
        <f t="shared" ca="1" si="396"/>
        <v>0</v>
      </c>
      <c r="R845" s="306">
        <f t="shared" ca="1" si="397"/>
        <v>0</v>
      </c>
      <c r="S845" s="307">
        <f t="shared" ca="1" si="398"/>
        <v>6.4679999999999849</v>
      </c>
      <c r="T845" s="304">
        <f t="shared" ca="1" si="378"/>
        <v>63.451079999999855</v>
      </c>
      <c r="U845" s="311">
        <f t="shared" ca="1" si="379"/>
        <v>0</v>
      </c>
      <c r="V845" s="306">
        <f t="shared" ca="1" si="380"/>
        <v>1.0181266311882597</v>
      </c>
      <c r="W845" s="304">
        <f t="shared" ca="1" si="381"/>
        <v>41.573714053673029</v>
      </c>
      <c r="Y845" s="314" t="str">
        <f t="shared" ca="1" si="399"/>
        <v/>
      </c>
      <c r="Z845" s="315" t="str">
        <f t="shared" ca="1" si="400"/>
        <v/>
      </c>
      <c r="AA845" s="316" t="str">
        <f t="shared" ca="1" si="401"/>
        <v/>
      </c>
      <c r="AC845" s="310" t="e">
        <f t="shared" ca="1" si="402"/>
        <v>#N/A</v>
      </c>
      <c r="AD845" s="323" t="e">
        <f t="shared" ca="1" si="403"/>
        <v>#N/A</v>
      </c>
      <c r="AE845" s="324" t="e">
        <f t="shared" ca="1" si="382"/>
        <v>#N/A</v>
      </c>
      <c r="AG845" s="306">
        <f t="shared" ca="1" si="404"/>
        <v>3.3961627925620137</v>
      </c>
      <c r="AH845" s="304">
        <f t="shared" ca="1" si="405"/>
        <v>-6.3841353916307915</v>
      </c>
    </row>
    <row r="846" spans="1:34" x14ac:dyDescent="0.2">
      <c r="A846" s="347">
        <f t="shared" ca="1" si="383"/>
        <v>0.1</v>
      </c>
      <c r="B846" s="304">
        <f t="shared" ca="1" si="384"/>
        <v>39.200000000000223</v>
      </c>
      <c r="D846" s="306">
        <f t="shared" ca="1" si="385"/>
        <v>-0.49580257618716655</v>
      </c>
      <c r="E846" s="307">
        <f t="shared" ca="1" si="386"/>
        <v>-3.4015511933775695</v>
      </c>
      <c r="F846" s="304">
        <f t="shared" ca="1" si="387"/>
        <v>3.4374948313738884</v>
      </c>
      <c r="G846" s="306">
        <f t="shared" ca="1" si="388"/>
        <v>9.3951056082240694</v>
      </c>
      <c r="H846" s="307">
        <f t="shared" ca="1" si="389"/>
        <v>-122.41653949664553</v>
      </c>
      <c r="I846" s="304">
        <f t="shared" ca="1" si="390"/>
        <v>122.77653339186384</v>
      </c>
      <c r="J846" s="306">
        <f t="shared" ca="1" si="391"/>
        <v>694.55727531892217</v>
      </c>
      <c r="K846" s="307">
        <f t="shared" ca="1" si="392"/>
        <v>1832.284405906963</v>
      </c>
      <c r="L846" s="304">
        <f t="shared" ca="1" si="377"/>
        <v>1959.5091101672065</v>
      </c>
      <c r="M846" s="306">
        <f t="shared" ca="1" si="393"/>
        <v>-1.4941994510272918</v>
      </c>
      <c r="N846" s="304">
        <f t="shared" ca="1" si="394"/>
        <v>-85.611322294628366</v>
      </c>
      <c r="P846" s="310">
        <f t="shared" ca="1" si="395"/>
        <v>23</v>
      </c>
      <c r="Q846" s="304">
        <f t="shared" ca="1" si="396"/>
        <v>0</v>
      </c>
      <c r="R846" s="306">
        <f t="shared" ca="1" si="397"/>
        <v>0</v>
      </c>
      <c r="S846" s="307">
        <f t="shared" ca="1" si="398"/>
        <v>6.4679999999999849</v>
      </c>
      <c r="T846" s="304">
        <f t="shared" ca="1" si="378"/>
        <v>63.451079999999855</v>
      </c>
      <c r="U846" s="311">
        <f t="shared" ca="1" si="379"/>
        <v>0</v>
      </c>
      <c r="V846" s="306">
        <f t="shared" ca="1" si="380"/>
        <v>1.0193826348626405</v>
      </c>
      <c r="W846" s="304">
        <f t="shared" ca="1" si="381"/>
        <v>41.853317493102239</v>
      </c>
      <c r="Y846" s="314" t="str">
        <f t="shared" ca="1" si="399"/>
        <v/>
      </c>
      <c r="Z846" s="315" t="str">
        <f t="shared" ca="1" si="400"/>
        <v/>
      </c>
      <c r="AA846" s="316" t="str">
        <f t="shared" ca="1" si="401"/>
        <v/>
      </c>
      <c r="AC846" s="310" t="e">
        <f t="shared" ca="1" si="402"/>
        <v>#N/A</v>
      </c>
      <c r="AD846" s="323" t="e">
        <f t="shared" ca="1" si="403"/>
        <v>#N/A</v>
      </c>
      <c r="AE846" s="324" t="e">
        <f t="shared" ca="1" si="382"/>
        <v>#N/A</v>
      </c>
      <c r="AG846" s="306">
        <f t="shared" ca="1" si="404"/>
        <v>3.3531719327705307</v>
      </c>
      <c r="AH846" s="304">
        <f t="shared" ca="1" si="405"/>
        <v>-6.4275995753978243</v>
      </c>
    </row>
    <row r="847" spans="1:34" x14ac:dyDescent="0.2">
      <c r="A847" s="347">
        <f t="shared" ca="1" si="383"/>
        <v>0.1</v>
      </c>
      <c r="B847" s="304">
        <f t="shared" ca="1" si="384"/>
        <v>39.300000000000225</v>
      </c>
      <c r="D847" s="306">
        <f t="shared" ca="1" si="385"/>
        <v>-0.49516070899226428</v>
      </c>
      <c r="E847" s="307">
        <f t="shared" ca="1" si="386"/>
        <v>-3.3581448514556351</v>
      </c>
      <c r="F847" s="304">
        <f t="shared" ca="1" si="387"/>
        <v>3.3944544438079753</v>
      </c>
      <c r="G847" s="306">
        <f t="shared" ca="1" si="388"/>
        <v>9.3455895373248428</v>
      </c>
      <c r="H847" s="307">
        <f t="shared" ca="1" si="389"/>
        <v>-122.75235398179109</v>
      </c>
      <c r="I847" s="304">
        <f t="shared" ca="1" si="390"/>
        <v>123.10759705181113</v>
      </c>
      <c r="J847" s="306">
        <f t="shared" ca="1" si="391"/>
        <v>695.49431007619967</v>
      </c>
      <c r="K847" s="307">
        <f t="shared" ca="1" si="392"/>
        <v>1820.0259612330412</v>
      </c>
      <c r="L847" s="304">
        <f t="shared" ca="1" si="377"/>
        <v>1948.3856997295543</v>
      </c>
      <c r="M847" s="306">
        <f t="shared" ca="1" si="393"/>
        <v>-1.4948092272410483</v>
      </c>
      <c r="N847" s="304">
        <f t="shared" ca="1" si="394"/>
        <v>-85.646259898124072</v>
      </c>
      <c r="P847" s="310">
        <f t="shared" ca="1" si="395"/>
        <v>23</v>
      </c>
      <c r="Q847" s="304">
        <f t="shared" ca="1" si="396"/>
        <v>0</v>
      </c>
      <c r="R847" s="306">
        <f t="shared" ca="1" si="397"/>
        <v>0</v>
      </c>
      <c r="S847" s="307">
        <f t="shared" ca="1" si="398"/>
        <v>6.4679999999999849</v>
      </c>
      <c r="T847" s="304">
        <f t="shared" ca="1" si="378"/>
        <v>63.451079999999855</v>
      </c>
      <c r="U847" s="311">
        <f t="shared" ca="1" si="379"/>
        <v>0</v>
      </c>
      <c r="V847" s="306">
        <f t="shared" ca="1" si="380"/>
        <v>1.0206435243045435</v>
      </c>
      <c r="W847" s="304">
        <f t="shared" ca="1" si="381"/>
        <v>42.131383074885527</v>
      </c>
      <c r="Y847" s="314" t="str">
        <f t="shared" ca="1" si="399"/>
        <v/>
      </c>
      <c r="Z847" s="315" t="str">
        <f t="shared" ca="1" si="400"/>
        <v/>
      </c>
      <c r="AA847" s="316" t="str">
        <f t="shared" ca="1" si="401"/>
        <v/>
      </c>
      <c r="AC847" s="310" t="e">
        <f t="shared" ca="1" si="402"/>
        <v>#N/A</v>
      </c>
      <c r="AD847" s="323" t="e">
        <f t="shared" ca="1" si="403"/>
        <v>#N/A</v>
      </c>
      <c r="AE847" s="324" t="e">
        <f t="shared" ca="1" si="382"/>
        <v>#N/A</v>
      </c>
      <c r="AG847" s="306">
        <f t="shared" ca="1" si="404"/>
        <v>3.3104077258185898</v>
      </c>
      <c r="AH847" s="304">
        <f t="shared" ca="1" si="405"/>
        <v>-6.4708283075297368</v>
      </c>
    </row>
    <row r="848" spans="1:34" x14ac:dyDescent="0.2">
      <c r="A848" s="347">
        <f t="shared" ca="1" si="383"/>
        <v>0.1</v>
      </c>
      <c r="B848" s="304">
        <f t="shared" ca="1" si="384"/>
        <v>39.400000000000226</v>
      </c>
      <c r="D848" s="306">
        <f t="shared" ca="1" si="385"/>
        <v>-0.49449004552410081</v>
      </c>
      <c r="E848" s="307">
        <f t="shared" ca="1" si="386"/>
        <v>-3.3149772016820727</v>
      </c>
      <c r="F848" s="304">
        <f t="shared" ca="1" si="387"/>
        <v>3.3516554495941753</v>
      </c>
      <c r="G848" s="306">
        <f t="shared" ca="1" si="388"/>
        <v>9.2961405327724336</v>
      </c>
      <c r="H848" s="307">
        <f t="shared" ca="1" si="389"/>
        <v>-123.08385170195929</v>
      </c>
      <c r="I848" s="304">
        <f t="shared" ca="1" si="390"/>
        <v>123.43440678593211</v>
      </c>
      <c r="J848" s="306">
        <f t="shared" ca="1" si="391"/>
        <v>696.42639657970449</v>
      </c>
      <c r="K848" s="307">
        <f t="shared" ca="1" si="392"/>
        <v>1807.7341509488538</v>
      </c>
      <c r="L848" s="304">
        <f t="shared" ca="1" si="377"/>
        <v>1937.2435278920834</v>
      </c>
      <c r="M848" s="306">
        <f t="shared" ca="1" si="393"/>
        <v>-1.4954125568619652</v>
      </c>
      <c r="N848" s="304">
        <f t="shared" ca="1" si="394"/>
        <v>-85.680828139057837</v>
      </c>
      <c r="P848" s="310">
        <f t="shared" ca="1" si="395"/>
        <v>23</v>
      </c>
      <c r="Q848" s="304">
        <f t="shared" ca="1" si="396"/>
        <v>0</v>
      </c>
      <c r="R848" s="306">
        <f t="shared" ca="1" si="397"/>
        <v>0</v>
      </c>
      <c r="S848" s="307">
        <f t="shared" ca="1" si="398"/>
        <v>6.4679999999999849</v>
      </c>
      <c r="T848" s="304">
        <f t="shared" ca="1" si="378"/>
        <v>63.451079999999855</v>
      </c>
      <c r="U848" s="311">
        <f t="shared" ca="1" si="379"/>
        <v>0</v>
      </c>
      <c r="V848" s="306">
        <f t="shared" ca="1" si="380"/>
        <v>1.021909269015828</v>
      </c>
      <c r="W848" s="304">
        <f t="shared" ca="1" si="381"/>
        <v>42.407896358412216</v>
      </c>
      <c r="Y848" s="314" t="str">
        <f t="shared" ca="1" si="399"/>
        <v/>
      </c>
      <c r="Z848" s="315" t="str">
        <f t="shared" ca="1" si="400"/>
        <v/>
      </c>
      <c r="AA848" s="316" t="str">
        <f t="shared" ca="1" si="401"/>
        <v/>
      </c>
      <c r="AC848" s="310" t="e">
        <f t="shared" ca="1" si="402"/>
        <v>#N/A</v>
      </c>
      <c r="AD848" s="323" t="e">
        <f t="shared" ca="1" si="403"/>
        <v>#N/A</v>
      </c>
      <c r="AE848" s="324" t="e">
        <f t="shared" ca="1" si="382"/>
        <v>#N/A</v>
      </c>
      <c r="AG848" s="306">
        <f t="shared" ca="1" si="404"/>
        <v>3.2678726865034289</v>
      </c>
      <c r="AH848" s="304">
        <f t="shared" ca="1" si="405"/>
        <v>-6.513819275647128</v>
      </c>
    </row>
    <row r="849" spans="1:34" x14ac:dyDescent="0.2">
      <c r="A849" s="347">
        <f t="shared" ca="1" si="383"/>
        <v>0.1</v>
      </c>
      <c r="B849" s="304">
        <f t="shared" ca="1" si="384"/>
        <v>39.500000000000227</v>
      </c>
      <c r="D849" s="306">
        <f t="shared" ca="1" si="385"/>
        <v>-0.49379099407821125</v>
      </c>
      <c r="E849" s="307">
        <f t="shared" ca="1" si="386"/>
        <v>-3.2720504850780721</v>
      </c>
      <c r="F849" s="304">
        <f t="shared" ca="1" si="387"/>
        <v>3.3091001681321757</v>
      </c>
      <c r="G849" s="306">
        <f t="shared" ca="1" si="388"/>
        <v>9.2467614333646129</v>
      </c>
      <c r="H849" s="307">
        <f t="shared" ca="1" si="389"/>
        <v>-123.4110567504671</v>
      </c>
      <c r="I849" s="304">
        <f t="shared" ca="1" si="390"/>
        <v>123.75698576352194</v>
      </c>
      <c r="J849" s="306">
        <f t="shared" ca="1" si="391"/>
        <v>697.35354167801131</v>
      </c>
      <c r="K849" s="307">
        <f t="shared" ca="1" si="392"/>
        <v>1795.4094055262324</v>
      </c>
      <c r="L849" s="304">
        <f t="shared" ca="1" si="377"/>
        <v>1926.0833044141484</v>
      </c>
      <c r="M849" s="306">
        <f t="shared" ca="1" si="393"/>
        <v>-1.4960095450747943</v>
      </c>
      <c r="N849" s="304">
        <f t="shared" ca="1" si="394"/>
        <v>-85.715033044072001</v>
      </c>
      <c r="P849" s="310">
        <f t="shared" ca="1" si="395"/>
        <v>23</v>
      </c>
      <c r="Q849" s="304">
        <f t="shared" ca="1" si="396"/>
        <v>0</v>
      </c>
      <c r="R849" s="306">
        <f t="shared" ca="1" si="397"/>
        <v>0</v>
      </c>
      <c r="S849" s="307">
        <f t="shared" ca="1" si="398"/>
        <v>6.4679999999999849</v>
      </c>
      <c r="T849" s="304">
        <f t="shared" ca="1" si="378"/>
        <v>63.451079999999855</v>
      </c>
      <c r="U849" s="311">
        <f t="shared" ca="1" si="379"/>
        <v>0</v>
      </c>
      <c r="V849" s="306">
        <f t="shared" ca="1" si="380"/>
        <v>1.0231798386212483</v>
      </c>
      <c r="W849" s="304">
        <f t="shared" ca="1" si="381"/>
        <v>42.682843414420617</v>
      </c>
      <c r="Y849" s="314" t="str">
        <f t="shared" ca="1" si="399"/>
        <v/>
      </c>
      <c r="Z849" s="315" t="str">
        <f t="shared" ca="1" si="400"/>
        <v/>
      </c>
      <c r="AA849" s="316" t="str">
        <f t="shared" ca="1" si="401"/>
        <v/>
      </c>
      <c r="AC849" s="310" t="e">
        <f t="shared" ca="1" si="402"/>
        <v>#N/A</v>
      </c>
      <c r="AD849" s="323" t="e">
        <f t="shared" ca="1" si="403"/>
        <v>#N/A</v>
      </c>
      <c r="AE849" s="324" t="e">
        <f t="shared" ca="1" si="382"/>
        <v>#N/A</v>
      </c>
      <c r="AG849" s="306">
        <f t="shared" ca="1" si="404"/>
        <v>3.2255692440957393</v>
      </c>
      <c r="AH849" s="304">
        <f t="shared" ca="1" si="405"/>
        <v>-6.5565702471262082</v>
      </c>
    </row>
    <row r="850" spans="1:34" x14ac:dyDescent="0.2">
      <c r="A850" s="347">
        <f t="shared" ca="1" si="383"/>
        <v>0.1</v>
      </c>
      <c r="B850" s="304">
        <f t="shared" ca="1" si="384"/>
        <v>39.600000000000229</v>
      </c>
      <c r="D850" s="306">
        <f t="shared" ca="1" si="385"/>
        <v>-0.49306396280543913</v>
      </c>
      <c r="E850" s="307">
        <f t="shared" ca="1" si="386"/>
        <v>-3.2293668633180115</v>
      </c>
      <c r="F850" s="304">
        <f t="shared" ca="1" si="387"/>
        <v>3.2667908426028465</v>
      </c>
      <c r="G850" s="306">
        <f t="shared" ca="1" si="388"/>
        <v>9.1974550370840689</v>
      </c>
      <c r="H850" s="307">
        <f t="shared" ca="1" si="389"/>
        <v>-123.7339934367989</v>
      </c>
      <c r="I850" s="304">
        <f t="shared" ca="1" si="390"/>
        <v>124.07535738806871</v>
      </c>
      <c r="J850" s="306">
        <f t="shared" ca="1" si="391"/>
        <v>698.2757525015337</v>
      </c>
      <c r="K850" s="307">
        <f t="shared" ca="1" si="392"/>
        <v>1783.0521530168692</v>
      </c>
      <c r="L850" s="304">
        <f t="shared" ca="1" si="377"/>
        <v>1914.9057436097673</v>
      </c>
      <c r="M850" s="306">
        <f t="shared" ca="1" si="393"/>
        <v>-1.496600294663156</v>
      </c>
      <c r="N850" s="304">
        <f t="shared" ca="1" si="394"/>
        <v>-85.748880502234229</v>
      </c>
      <c r="P850" s="310">
        <f t="shared" ca="1" si="395"/>
        <v>23</v>
      </c>
      <c r="Q850" s="304">
        <f t="shared" ca="1" si="396"/>
        <v>0</v>
      </c>
      <c r="R850" s="306">
        <f t="shared" ca="1" si="397"/>
        <v>0</v>
      </c>
      <c r="S850" s="307">
        <f t="shared" ca="1" si="398"/>
        <v>6.4679999999999849</v>
      </c>
      <c r="T850" s="304">
        <f t="shared" ca="1" si="378"/>
        <v>63.451079999999855</v>
      </c>
      <c r="U850" s="311">
        <f t="shared" ca="1" si="379"/>
        <v>0</v>
      </c>
      <c r="V850" s="306">
        <f t="shared" ca="1" si="380"/>
        <v>1.0244552028703511</v>
      </c>
      <c r="W850" s="304">
        <f t="shared" ca="1" si="381"/>
        <v>42.956210820378182</v>
      </c>
      <c r="Y850" s="314" t="str">
        <f t="shared" ca="1" si="399"/>
        <v/>
      </c>
      <c r="Z850" s="315" t="str">
        <f t="shared" ca="1" si="400"/>
        <v/>
      </c>
      <c r="AA850" s="316" t="str">
        <f t="shared" ca="1" si="401"/>
        <v/>
      </c>
      <c r="AC850" s="310" t="e">
        <f t="shared" ca="1" si="402"/>
        <v>#N/A</v>
      </c>
      <c r="AD850" s="323" t="e">
        <f t="shared" ca="1" si="403"/>
        <v>#N/A</v>
      </c>
      <c r="AE850" s="324" t="e">
        <f t="shared" ca="1" si="382"/>
        <v>#N/A</v>
      </c>
      <c r="AG850" s="306">
        <f t="shared" ca="1" si="404"/>
        <v>3.1834997432338374</v>
      </c>
      <c r="AH850" s="304">
        <f t="shared" ca="1" si="405"/>
        <v>-6.5990790684014717</v>
      </c>
    </row>
    <row r="851" spans="1:34" x14ac:dyDescent="0.2">
      <c r="A851" s="347">
        <f t="shared" ca="1" si="383"/>
        <v>0.1</v>
      </c>
      <c r="B851" s="304">
        <f t="shared" ca="1" si="384"/>
        <v>39.70000000000023</v>
      </c>
      <c r="D851" s="306">
        <f t="shared" ca="1" si="385"/>
        <v>-0.49230935959931132</v>
      </c>
      <c r="E851" s="307">
        <f t="shared" ca="1" si="386"/>
        <v>-3.1869284194458842</v>
      </c>
      <c r="F851" s="304">
        <f t="shared" ca="1" si="387"/>
        <v>3.2247296407948567</v>
      </c>
      <c r="G851" s="306">
        <f t="shared" ca="1" si="388"/>
        <v>9.1482241011241374</v>
      </c>
      <c r="H851" s="307">
        <f t="shared" ca="1" si="389"/>
        <v>-124.05268627874348</v>
      </c>
      <c r="I851" s="304">
        <f t="shared" ca="1" si="390"/>
        <v>124.38954528888969</v>
      </c>
      <c r="J851" s="306">
        <f t="shared" ca="1" si="391"/>
        <v>699.19303645844411</v>
      </c>
      <c r="K851" s="307">
        <f t="shared" ca="1" si="392"/>
        <v>1770.6628190310921</v>
      </c>
      <c r="L851" s="304">
        <f t="shared" ca="1" si="377"/>
        <v>1903.7115645315373</v>
      </c>
      <c r="M851" s="306">
        <f t="shared" ca="1" si="393"/>
        <v>-1.4971849060773712</v>
      </c>
      <c r="N851" s="304">
        <f t="shared" ca="1" si="394"/>
        <v>-85.782376268923926</v>
      </c>
      <c r="P851" s="310">
        <f t="shared" ca="1" si="395"/>
        <v>23</v>
      </c>
      <c r="Q851" s="304">
        <f t="shared" ca="1" si="396"/>
        <v>0</v>
      </c>
      <c r="R851" s="306">
        <f t="shared" ca="1" si="397"/>
        <v>0</v>
      </c>
      <c r="S851" s="307">
        <f t="shared" ca="1" si="398"/>
        <v>6.4679999999999849</v>
      </c>
      <c r="T851" s="304">
        <f t="shared" ca="1" si="378"/>
        <v>63.451079999999855</v>
      </c>
      <c r="U851" s="311">
        <f t="shared" ca="1" si="379"/>
        <v>0</v>
      </c>
      <c r="V851" s="306">
        <f t="shared" ca="1" si="380"/>
        <v>1.0257353316393312</v>
      </c>
      <c r="W851" s="304">
        <f t="shared" ca="1" si="381"/>
        <v>43.227985655756548</v>
      </c>
      <c r="Y851" s="314" t="str">
        <f t="shared" ca="1" si="399"/>
        <v/>
      </c>
      <c r="Z851" s="315" t="str">
        <f t="shared" ca="1" si="400"/>
        <v/>
      </c>
      <c r="AA851" s="316" t="str">
        <f t="shared" ca="1" si="401"/>
        <v/>
      </c>
      <c r="AC851" s="310" t="e">
        <f t="shared" ca="1" si="402"/>
        <v>#N/A</v>
      </c>
      <c r="AD851" s="323" t="e">
        <f t="shared" ca="1" si="403"/>
        <v>#N/A</v>
      </c>
      <c r="AE851" s="324" t="e">
        <f t="shared" ca="1" si="382"/>
        <v>#N/A</v>
      </c>
      <c r="AG851" s="306">
        <f t="shared" ca="1" si="404"/>
        <v>3.1416664448270115</v>
      </c>
      <c r="AH851" s="304">
        <f t="shared" ca="1" si="405"/>
        <v>-6.6413436642514352</v>
      </c>
    </row>
    <row r="852" spans="1:34" x14ac:dyDescent="0.2">
      <c r="A852" s="347">
        <f t="shared" ca="1" si="383"/>
        <v>0.1</v>
      </c>
      <c r="B852" s="304">
        <f t="shared" ca="1" si="384"/>
        <v>39.800000000000232</v>
      </c>
      <c r="D852" s="306">
        <f t="shared" ca="1" si="385"/>
        <v>-0.49152759198570589</v>
      </c>
      <c r="E852" s="307">
        <f t="shared" ca="1" si="386"/>
        <v>-3.1447371586080592</v>
      </c>
      <c r="F852" s="304">
        <f t="shared" ca="1" si="387"/>
        <v>3.1829186559529847</v>
      </c>
      <c r="G852" s="306">
        <f t="shared" ca="1" si="388"/>
        <v>9.0990713419255673</v>
      </c>
      <c r="H852" s="307">
        <f t="shared" ca="1" si="389"/>
        <v>-124.36715999460428</v>
      </c>
      <c r="I852" s="304">
        <f t="shared" ca="1" si="390"/>
        <v>124.69957331285842</v>
      </c>
      <c r="J852" s="306">
        <f t="shared" ca="1" si="391"/>
        <v>700.10540123059661</v>
      </c>
      <c r="K852" s="307">
        <f t="shared" ca="1" si="392"/>
        <v>1758.2418267174248</v>
      </c>
      <c r="L852" s="304">
        <f t="shared" ca="1" si="377"/>
        <v>1892.501491162129</v>
      </c>
      <c r="M852" s="306">
        <f t="shared" ca="1" si="393"/>
        <v>-1.4977634775000275</v>
      </c>
      <c r="N852" s="304">
        <f t="shared" ca="1" si="394"/>
        <v>-85.815525969589004</v>
      </c>
      <c r="P852" s="310">
        <f t="shared" ca="1" si="395"/>
        <v>23</v>
      </c>
      <c r="Q852" s="304">
        <f t="shared" ca="1" si="396"/>
        <v>0</v>
      </c>
      <c r="R852" s="306">
        <f t="shared" ca="1" si="397"/>
        <v>0</v>
      </c>
      <c r="S852" s="307">
        <f t="shared" ca="1" si="398"/>
        <v>6.4679999999999849</v>
      </c>
      <c r="T852" s="304">
        <f t="shared" ca="1" si="378"/>
        <v>63.451079999999855</v>
      </c>
      <c r="U852" s="311">
        <f t="shared" ca="1" si="379"/>
        <v>0</v>
      </c>
      <c r="V852" s="306">
        <f t="shared" ca="1" si="380"/>
        <v>1.0270201949328377</v>
      </c>
      <c r="W852" s="304">
        <f t="shared" ca="1" si="381"/>
        <v>43.498155497206</v>
      </c>
      <c r="Y852" s="314" t="str">
        <f t="shared" ca="1" si="399"/>
        <v/>
      </c>
      <c r="Z852" s="315" t="str">
        <f t="shared" ca="1" si="400"/>
        <v/>
      </c>
      <c r="AA852" s="316" t="str">
        <f t="shared" ca="1" si="401"/>
        <v/>
      </c>
      <c r="AC852" s="310" t="e">
        <f t="shared" ca="1" si="402"/>
        <v>#N/A</v>
      </c>
      <c r="AD852" s="323" t="e">
        <f t="shared" ca="1" si="403"/>
        <v>#N/A</v>
      </c>
      <c r="AE852" s="324" t="e">
        <f t="shared" ca="1" si="382"/>
        <v>#N/A</v>
      </c>
      <c r="AG852" s="306">
        <f t="shared" ca="1" si="404"/>
        <v>3.1000715269676631</v>
      </c>
      <c r="AH852" s="304">
        <f t="shared" ca="1" si="405"/>
        <v>-6.6833620370681279</v>
      </c>
    </row>
    <row r="853" spans="1:34" x14ac:dyDescent="0.2">
      <c r="A853" s="347">
        <f t="shared" ca="1" si="383"/>
        <v>0.1</v>
      </c>
      <c r="B853" s="304">
        <f t="shared" ca="1" si="384"/>
        <v>39.900000000000233</v>
      </c>
      <c r="D853" s="306">
        <f t="shared" ca="1" si="385"/>
        <v>-0.49071906701480156</v>
      </c>
      <c r="E853" s="307">
        <f t="shared" ca="1" si="386"/>
        <v>-3.1027950088016762</v>
      </c>
      <c r="F853" s="304">
        <f t="shared" ca="1" si="387"/>
        <v>3.1413599076477166</v>
      </c>
      <c r="G853" s="306">
        <f t="shared" ca="1" si="388"/>
        <v>9.0499994352240876</v>
      </c>
      <c r="H853" s="307">
        <f t="shared" ca="1" si="389"/>
        <v>-124.67743949548445</v>
      </c>
      <c r="I853" s="304">
        <f t="shared" ca="1" si="390"/>
        <v>125.0054655162235</v>
      </c>
      <c r="J853" s="306">
        <f t="shared" ca="1" si="391"/>
        <v>701.01285476945407</v>
      </c>
      <c r="K853" s="307">
        <f t="shared" ca="1" si="392"/>
        <v>1745.7895967429204</v>
      </c>
      <c r="L853" s="304">
        <f t="shared" ca="1" si="377"/>
        <v>1881.2762526135891</v>
      </c>
      <c r="M853" s="306">
        <f t="shared" ca="1" si="393"/>
        <v>-1.4983361049093644</v>
      </c>
      <c r="N853" s="304">
        <f t="shared" ca="1" si="394"/>
        <v>-85.848335103377522</v>
      </c>
      <c r="P853" s="310">
        <f t="shared" ca="1" si="395"/>
        <v>23</v>
      </c>
      <c r="Q853" s="304">
        <f t="shared" ca="1" si="396"/>
        <v>0</v>
      </c>
      <c r="R853" s="306">
        <f t="shared" ca="1" si="397"/>
        <v>0</v>
      </c>
      <c r="S853" s="307">
        <f t="shared" ca="1" si="398"/>
        <v>6.4679999999999849</v>
      </c>
      <c r="T853" s="304">
        <f t="shared" ca="1" si="378"/>
        <v>63.451079999999855</v>
      </c>
      <c r="U853" s="311">
        <f t="shared" ca="1" si="379"/>
        <v>0</v>
      </c>
      <c r="V853" s="306">
        <f t="shared" ca="1" si="380"/>
        <v>1.0283097628857407</v>
      </c>
      <c r="W853" s="304">
        <f t="shared" ca="1" si="381"/>
        <v>43.766708413633907</v>
      </c>
      <c r="Y853" s="314" t="str">
        <f t="shared" ca="1" si="399"/>
        <v/>
      </c>
      <c r="Z853" s="315" t="str">
        <f t="shared" ca="1" si="400"/>
        <v/>
      </c>
      <c r="AA853" s="316" t="str">
        <f t="shared" ca="1" si="401"/>
        <v/>
      </c>
      <c r="AC853" s="310" t="e">
        <f t="shared" ca="1" si="402"/>
        <v>#N/A</v>
      </c>
      <c r="AD853" s="323" t="e">
        <f t="shared" ca="1" si="403"/>
        <v>#N/A</v>
      </c>
      <c r="AE853" s="324" t="e">
        <f t="shared" ca="1" si="382"/>
        <v>#N/A</v>
      </c>
      <c r="AG853" s="306">
        <f t="shared" ca="1" si="404"/>
        <v>3.0587170858519404</v>
      </c>
      <c r="AH853" s="304">
        <f t="shared" ca="1" si="405"/>
        <v>-6.7251322661110233</v>
      </c>
    </row>
    <row r="854" spans="1:34" x14ac:dyDescent="0.2">
      <c r="A854" s="347">
        <f t="shared" ca="1" si="383"/>
        <v>0.1</v>
      </c>
      <c r="B854" s="304">
        <f t="shared" ca="1" si="384"/>
        <v>40.000000000000234</v>
      </c>
      <c r="D854" s="306">
        <f t="shared" ca="1" si="385"/>
        <v>-0.48988419115532617</v>
      </c>
      <c r="E854" s="307">
        <f t="shared" ca="1" si="386"/>
        <v>-3.0611038216379525</v>
      </c>
      <c r="F854" s="304">
        <f t="shared" ca="1" si="387"/>
        <v>3.1000553426657382</v>
      </c>
      <c r="G854" s="306">
        <f t="shared" ca="1" si="388"/>
        <v>9.0010110161085546</v>
      </c>
      <c r="H854" s="307">
        <f t="shared" ca="1" si="389"/>
        <v>-124.98354987764824</v>
      </c>
      <c r="I854" s="304">
        <f t="shared" ca="1" si="390"/>
        <v>125.30724615651999</v>
      </c>
      <c r="J854" s="306">
        <f t="shared" ca="1" si="391"/>
        <v>701.91540529202075</v>
      </c>
      <c r="K854" s="307">
        <f t="shared" ca="1" si="392"/>
        <v>1733.3065472742637</v>
      </c>
      <c r="L854" s="304">
        <f t="shared" ca="1" si="377"/>
        <v>1870.0365833346928</v>
      </c>
      <c r="M854" s="306">
        <f t="shared" ca="1" si="393"/>
        <v>-1.498902882140565</v>
      </c>
      <c r="N854" s="304">
        <f t="shared" ca="1" si="394"/>
        <v>-85.880809046649432</v>
      </c>
      <c r="P854" s="310">
        <f t="shared" ca="1" si="395"/>
        <v>23</v>
      </c>
      <c r="Q854" s="304">
        <f t="shared" ca="1" si="396"/>
        <v>0</v>
      </c>
      <c r="R854" s="306">
        <f t="shared" ca="1" si="397"/>
        <v>0</v>
      </c>
      <c r="S854" s="307">
        <f t="shared" ca="1" si="398"/>
        <v>6.4679999999999849</v>
      </c>
      <c r="T854" s="304">
        <f t="shared" ca="1" si="378"/>
        <v>63.451079999999855</v>
      </c>
      <c r="U854" s="311">
        <f t="shared" ca="1" si="379"/>
        <v>0</v>
      </c>
      <c r="V854" s="306">
        <f t="shared" ca="1" si="380"/>
        <v>1.0296040057648501</v>
      </c>
      <c r="W854" s="304">
        <f t="shared" ca="1" si="381"/>
        <v>44.033632961191522</v>
      </c>
      <c r="Y854" s="314" t="str">
        <f t="shared" ca="1" si="399"/>
        <v/>
      </c>
      <c r="Z854" s="315" t="str">
        <f t="shared" ca="1" si="400"/>
        <v/>
      </c>
      <c r="AA854" s="316" t="str">
        <f t="shared" ca="1" si="401"/>
        <v/>
      </c>
      <c r="AC854" s="310">
        <f t="shared" ca="1" si="402"/>
        <v>40.000000000000234</v>
      </c>
      <c r="AD854" s="323">
        <f t="shared" ca="1" si="403"/>
        <v>701.91540529202075</v>
      </c>
      <c r="AE854" s="324" t="e">
        <f t="shared" ca="1" si="382"/>
        <v>#N/A</v>
      </c>
      <c r="AG854" s="306">
        <f t="shared" ca="1" si="404"/>
        <v>3.0176051367084016</v>
      </c>
      <c r="AH854" s="304">
        <f t="shared" ca="1" si="405"/>
        <v>-6.7666525067461363</v>
      </c>
    </row>
    <row r="855" spans="1:34" x14ac:dyDescent="0.2">
      <c r="A855" s="347">
        <f t="shared" ca="1" si="383"/>
        <v>0.1</v>
      </c>
      <c r="B855" s="304">
        <f t="shared" ca="1" si="384"/>
        <v>40.100000000000236</v>
      </c>
      <c r="D855" s="306">
        <f t="shared" ca="1" si="385"/>
        <v>-0.48902337019108078</v>
      </c>
      <c r="E855" s="307">
        <f t="shared" ca="1" si="386"/>
        <v>-3.0196653731197411</v>
      </c>
      <c r="F855" s="304">
        <f t="shared" ca="1" si="387"/>
        <v>3.0590068359210032</v>
      </c>
      <c r="G855" s="306">
        <f t="shared" ca="1" si="388"/>
        <v>8.9521086790894469</v>
      </c>
      <c r="H855" s="307">
        <f t="shared" ca="1" si="389"/>
        <v>-125.28551641496021</v>
      </c>
      <c r="I855" s="304">
        <f t="shared" ca="1" si="390"/>
        <v>125.60493968457409</v>
      </c>
      <c r="J855" s="306">
        <f t="shared" ca="1" si="391"/>
        <v>702.81306127678067</v>
      </c>
      <c r="K855" s="307">
        <f t="shared" ca="1" si="392"/>
        <v>1720.7930939596333</v>
      </c>
      <c r="L855" s="304">
        <f t="shared" ca="1" si="377"/>
        <v>1858.7832233265954</v>
      </c>
      <c r="M855" s="306">
        <f t="shared" ca="1" si="393"/>
        <v>-1.4994639009450299</v>
      </c>
      <c r="N855" s="304">
        <f t="shared" ca="1" si="394"/>
        <v>-85.912953056372743</v>
      </c>
      <c r="P855" s="310">
        <f t="shared" ca="1" si="395"/>
        <v>23</v>
      </c>
      <c r="Q855" s="304">
        <f t="shared" ca="1" si="396"/>
        <v>0</v>
      </c>
      <c r="R855" s="306">
        <f t="shared" ca="1" si="397"/>
        <v>0</v>
      </c>
      <c r="S855" s="307">
        <f t="shared" ca="1" si="398"/>
        <v>6.4679999999999849</v>
      </c>
      <c r="T855" s="304">
        <f t="shared" ca="1" si="378"/>
        <v>63.451079999999855</v>
      </c>
      <c r="U855" s="311">
        <f t="shared" ca="1" si="379"/>
        <v>0</v>
      </c>
      <c r="V855" s="306">
        <f t="shared" ca="1" si="380"/>
        <v>1.0309028939705926</v>
      </c>
      <c r="W855" s="304">
        <f t="shared" ca="1" si="381"/>
        <v>44.298918178173452</v>
      </c>
      <c r="Y855" s="314" t="str">
        <f t="shared" ca="1" si="399"/>
        <v/>
      </c>
      <c r="Z855" s="315" t="str">
        <f t="shared" ca="1" si="400"/>
        <v/>
      </c>
      <c r="AA855" s="316" t="str">
        <f t="shared" ca="1" si="401"/>
        <v/>
      </c>
      <c r="AC855" s="310" t="e">
        <f t="shared" ca="1" si="402"/>
        <v>#N/A</v>
      </c>
      <c r="AD855" s="323" t="e">
        <f t="shared" ca="1" si="403"/>
        <v>#N/A</v>
      </c>
      <c r="AE855" s="324" t="e">
        <f t="shared" ca="1" si="382"/>
        <v>#N/A</v>
      </c>
      <c r="AG855" s="306">
        <f t="shared" ca="1" si="404"/>
        <v>2.9767376147343869</v>
      </c>
      <c r="AH855" s="304">
        <f t="shared" ca="1" si="405"/>
        <v>-6.8079209896709374</v>
      </c>
    </row>
    <row r="856" spans="1:34" x14ac:dyDescent="0.2">
      <c r="A856" s="347">
        <f t="shared" ca="1" si="383"/>
        <v>0.1</v>
      </c>
      <c r="B856" s="304">
        <f t="shared" ca="1" si="384"/>
        <v>40.200000000000237</v>
      </c>
      <c r="D856" s="306">
        <f t="shared" ca="1" si="385"/>
        <v>-0.48813700911976399</v>
      </c>
      <c r="E856" s="307">
        <f t="shared" ca="1" si="386"/>
        <v>-2.9784813644326507</v>
      </c>
      <c r="F856" s="304">
        <f t="shared" ca="1" si="387"/>
        <v>3.0182161913860601</v>
      </c>
      <c r="G856" s="306">
        <f t="shared" ca="1" si="388"/>
        <v>8.9032949781774704</v>
      </c>
      <c r="H856" s="307">
        <f t="shared" ca="1" si="389"/>
        <v>-125.58336455140348</v>
      </c>
      <c r="I856" s="304">
        <f t="shared" ca="1" si="390"/>
        <v>125.89857073660187</v>
      </c>
      <c r="J856" s="306">
        <f t="shared" ca="1" si="391"/>
        <v>703.70583145964406</v>
      </c>
      <c r="K856" s="307">
        <f t="shared" ca="1" si="392"/>
        <v>1708.2496499113151</v>
      </c>
      <c r="L856" s="304">
        <f t="shared" ca="1" si="377"/>
        <v>1847.5169183670389</v>
      </c>
      <c r="M856" s="306">
        <f t="shared" ca="1" si="393"/>
        <v>-1.5000192510477137</v>
      </c>
      <c r="N856" s="304">
        <f t="shared" ca="1" si="394"/>
        <v>-85.944772273408688</v>
      </c>
      <c r="P856" s="310">
        <f t="shared" ca="1" si="395"/>
        <v>23</v>
      </c>
      <c r="Q856" s="304">
        <f t="shared" ca="1" si="396"/>
        <v>0</v>
      </c>
      <c r="R856" s="306">
        <f t="shared" ca="1" si="397"/>
        <v>0</v>
      </c>
      <c r="S856" s="307">
        <f t="shared" ca="1" si="398"/>
        <v>6.4679999999999849</v>
      </c>
      <c r="T856" s="304">
        <f t="shared" ca="1" si="378"/>
        <v>63.451079999999855</v>
      </c>
      <c r="U856" s="311">
        <f t="shared" ca="1" si="379"/>
        <v>0</v>
      </c>
      <c r="V856" s="306">
        <f t="shared" ca="1" si="380"/>
        <v>1.0322063980386453</v>
      </c>
      <c r="W856" s="304">
        <f t="shared" ca="1" si="381"/>
        <v>44.562553579834351</v>
      </c>
      <c r="Y856" s="314" t="str">
        <f t="shared" ca="1" si="399"/>
        <v/>
      </c>
      <c r="Z856" s="315" t="str">
        <f t="shared" ca="1" si="400"/>
        <v/>
      </c>
      <c r="AA856" s="316" t="str">
        <f t="shared" ca="1" si="401"/>
        <v/>
      </c>
      <c r="AC856" s="310" t="e">
        <f t="shared" ca="1" si="402"/>
        <v>#N/A</v>
      </c>
      <c r="AD856" s="323" t="e">
        <f t="shared" ca="1" si="403"/>
        <v>#N/A</v>
      </c>
      <c r="AE856" s="324" t="e">
        <f t="shared" ca="1" si="382"/>
        <v>#N/A</v>
      </c>
      <c r="AG856" s="306">
        <f t="shared" ca="1" si="404"/>
        <v>2.9361163760396787</v>
      </c>
      <c r="AH856" s="304">
        <f t="shared" ca="1" si="405"/>
        <v>-6.8489360201257812</v>
      </c>
    </row>
    <row r="857" spans="1:34" x14ac:dyDescent="0.2">
      <c r="A857" s="347">
        <f t="shared" ca="1" si="383"/>
        <v>0.1</v>
      </c>
      <c r="B857" s="304">
        <f t="shared" ca="1" si="384"/>
        <v>40.300000000000239</v>
      </c>
      <c r="D857" s="306">
        <f t="shared" ca="1" si="385"/>
        <v>-0.48722551205407855</v>
      </c>
      <c r="E857" s="307">
        <f t="shared" ca="1" si="386"/>
        <v>-2.9375534227490308</v>
      </c>
      <c r="F857" s="304">
        <f t="shared" ca="1" si="387"/>
        <v>2.9776851430433178</v>
      </c>
      <c r="G857" s="306">
        <f t="shared" ca="1" si="388"/>
        <v>8.8545724269720623</v>
      </c>
      <c r="H857" s="307">
        <f t="shared" ca="1" si="389"/>
        <v>-125.87711989367838</v>
      </c>
      <c r="I857" s="304">
        <f t="shared" ca="1" si="390"/>
        <v>126.18816412640282</v>
      </c>
      <c r="J857" s="306">
        <f t="shared" ca="1" si="391"/>
        <v>704.59372482990159</v>
      </c>
      <c r="K857" s="307">
        <f t="shared" ca="1" si="392"/>
        <v>1695.676625689061</v>
      </c>
      <c r="L857" s="304">
        <f t="shared" ca="1" si="377"/>
        <v>1836.238420243383</v>
      </c>
      <c r="M857" s="306">
        <f t="shared" ca="1" si="393"/>
        <v>-1.5005690202025961</v>
      </c>
      <c r="N857" s="304">
        <f t="shared" ca="1" si="394"/>
        <v>-85.976271725689912</v>
      </c>
      <c r="P857" s="310">
        <f t="shared" ca="1" si="395"/>
        <v>23</v>
      </c>
      <c r="Q857" s="304">
        <f t="shared" ca="1" si="396"/>
        <v>0</v>
      </c>
      <c r="R857" s="306">
        <f t="shared" ca="1" si="397"/>
        <v>0</v>
      </c>
      <c r="S857" s="307">
        <f t="shared" ca="1" si="398"/>
        <v>6.4679999999999849</v>
      </c>
      <c r="T857" s="304">
        <f t="shared" ca="1" si="378"/>
        <v>63.451079999999855</v>
      </c>
      <c r="U857" s="311">
        <f t="shared" ca="1" si="379"/>
        <v>0</v>
      </c>
      <c r="V857" s="306">
        <f t="shared" ca="1" si="380"/>
        <v>1.0335144886415242</v>
      </c>
      <c r="W857" s="304">
        <f t="shared" ca="1" si="381"/>
        <v>44.824529153126875</v>
      </c>
      <c r="Y857" s="314" t="str">
        <f t="shared" ca="1" si="399"/>
        <v/>
      </c>
      <c r="Z857" s="315" t="str">
        <f t="shared" ca="1" si="400"/>
        <v/>
      </c>
      <c r="AA857" s="316" t="str">
        <f t="shared" ca="1" si="401"/>
        <v/>
      </c>
      <c r="AC857" s="310" t="e">
        <f t="shared" ca="1" si="402"/>
        <v>#N/A</v>
      </c>
      <c r="AD857" s="323" t="e">
        <f t="shared" ca="1" si="403"/>
        <v>#N/A</v>
      </c>
      <c r="AE857" s="324" t="e">
        <f t="shared" ca="1" si="382"/>
        <v>#N/A</v>
      </c>
      <c r="AG857" s="306">
        <f t="shared" ca="1" si="404"/>
        <v>2.8957431985970423</v>
      </c>
      <c r="AH857" s="304">
        <f t="shared" ca="1" si="405"/>
        <v>-6.8896959770925257</v>
      </c>
    </row>
    <row r="858" spans="1:34" x14ac:dyDescent="0.2">
      <c r="A858" s="347">
        <f t="shared" ca="1" si="383"/>
        <v>0.1</v>
      </c>
      <c r="B858" s="304">
        <f t="shared" ca="1" si="384"/>
        <v>40.40000000000024</v>
      </c>
      <c r="D858" s="306">
        <f t="shared" ca="1" si="385"/>
        <v>-0.48628928212511641</v>
      </c>
      <c r="E858" s="307">
        <f t="shared" ca="1" si="386"/>
        <v>-2.8968831020441961</v>
      </c>
      <c r="F858" s="304">
        <f t="shared" ca="1" si="387"/>
        <v>2.9374153558560567</v>
      </c>
      <c r="G858" s="306">
        <f t="shared" ca="1" si="388"/>
        <v>8.8059434987595502</v>
      </c>
      <c r="H858" s="307">
        <f t="shared" ca="1" si="389"/>
        <v>-126.16680820388281</v>
      </c>
      <c r="I858" s="304">
        <f t="shared" ca="1" si="390"/>
        <v>126.47374483764879</v>
      </c>
      <c r="J858" s="306">
        <f t="shared" ca="1" si="391"/>
        <v>705.47675062618816</v>
      </c>
      <c r="K858" s="307">
        <f t="shared" ca="1" si="392"/>
        <v>1683.074429284183</v>
      </c>
      <c r="L858" s="304">
        <f t="shared" ca="1" si="377"/>
        <v>1824.9484869947325</v>
      </c>
      <c r="M858" s="306">
        <f t="shared" ca="1" si="393"/>
        <v>-1.5011132942463563</v>
      </c>
      <c r="N858" s="304">
        <f t="shared" ca="1" si="394"/>
        <v>-86.007456331295899</v>
      </c>
      <c r="P858" s="310">
        <f t="shared" ca="1" si="395"/>
        <v>23</v>
      </c>
      <c r="Q858" s="304">
        <f t="shared" ca="1" si="396"/>
        <v>0</v>
      </c>
      <c r="R858" s="306">
        <f t="shared" ca="1" si="397"/>
        <v>0</v>
      </c>
      <c r="S858" s="307">
        <f t="shared" ca="1" si="398"/>
        <v>6.4679999999999849</v>
      </c>
      <c r="T858" s="304">
        <f t="shared" ca="1" si="378"/>
        <v>63.451079999999855</v>
      </c>
      <c r="U858" s="311">
        <f t="shared" ca="1" si="379"/>
        <v>0</v>
      </c>
      <c r="V858" s="306">
        <f t="shared" ca="1" si="380"/>
        <v>1.0348271365901327</v>
      </c>
      <c r="W858" s="304">
        <f t="shared" ca="1" si="381"/>
        <v>45.084835351365321</v>
      </c>
      <c r="Y858" s="314" t="str">
        <f t="shared" ca="1" si="399"/>
        <v/>
      </c>
      <c r="Z858" s="315" t="str">
        <f t="shared" ca="1" si="400"/>
        <v/>
      </c>
      <c r="AA858" s="316" t="str">
        <f t="shared" ca="1" si="401"/>
        <v/>
      </c>
      <c r="AC858" s="310" t="e">
        <f t="shared" ca="1" si="402"/>
        <v>#N/A</v>
      </c>
      <c r="AD858" s="323" t="e">
        <f t="shared" ca="1" si="403"/>
        <v>#N/A</v>
      </c>
      <c r="AE858" s="324" t="e">
        <f t="shared" ca="1" si="382"/>
        <v>#N/A</v>
      </c>
      <c r="AG858" s="306">
        <f t="shared" ca="1" si="404"/>
        <v>2.8556197831992609</v>
      </c>
      <c r="AH858" s="304">
        <f t="shared" ca="1" si="405"/>
        <v>-6.9301993124809798</v>
      </c>
    </row>
    <row r="859" spans="1:34" x14ac:dyDescent="0.2">
      <c r="A859" s="347">
        <f t="shared" ca="1" si="383"/>
        <v>0.1</v>
      </c>
      <c r="B859" s="304">
        <f t="shared" ca="1" si="384"/>
        <v>40.500000000000242</v>
      </c>
      <c r="D859" s="306">
        <f t="shared" ca="1" si="385"/>
        <v>-0.4853287213880324</v>
      </c>
      <c r="E859" s="307">
        <f t="shared" ca="1" si="386"/>
        <v>-2.8564718839241925</v>
      </c>
      <c r="F859" s="304">
        <f t="shared" ca="1" si="387"/>
        <v>2.8974084267589144</v>
      </c>
      <c r="G859" s="306">
        <f t="shared" ca="1" si="388"/>
        <v>8.7574106266207465</v>
      </c>
      <c r="H859" s="307">
        <f t="shared" ca="1" si="389"/>
        <v>-126.45245539227523</v>
      </c>
      <c r="I859" s="304">
        <f t="shared" ca="1" si="390"/>
        <v>126.75533801626899</v>
      </c>
      <c r="J859" s="306">
        <f t="shared" ca="1" si="391"/>
        <v>706.35491833245715</v>
      </c>
      <c r="K859" s="307">
        <f t="shared" ca="1" si="392"/>
        <v>1670.4434661043751</v>
      </c>
      <c r="L859" s="304">
        <f t="shared" ca="1" si="377"/>
        <v>1813.6478831634465</v>
      </c>
      <c r="M859" s="306">
        <f t="shared" ca="1" si="393"/>
        <v>-1.5016521571503225</v>
      </c>
      <c r="N859" s="304">
        <f t="shared" ca="1" si="394"/>
        <v>-86.038330901429319</v>
      </c>
      <c r="P859" s="310">
        <f t="shared" ca="1" si="395"/>
        <v>23</v>
      </c>
      <c r="Q859" s="304">
        <f t="shared" ca="1" si="396"/>
        <v>0</v>
      </c>
      <c r="R859" s="306">
        <f t="shared" ca="1" si="397"/>
        <v>0</v>
      </c>
      <c r="S859" s="307">
        <f t="shared" ca="1" si="398"/>
        <v>6.4679999999999849</v>
      </c>
      <c r="T859" s="304">
        <f t="shared" ca="1" si="378"/>
        <v>63.451079999999855</v>
      </c>
      <c r="U859" s="311">
        <f t="shared" ca="1" si="379"/>
        <v>0</v>
      </c>
      <c r="V859" s="306">
        <f t="shared" ca="1" si="380"/>
        <v>1.0361443128352634</v>
      </c>
      <c r="W859" s="304">
        <f t="shared" ca="1" si="381"/>
        <v>45.343463088818972</v>
      </c>
      <c r="Y859" s="314" t="str">
        <f t="shared" ca="1" si="399"/>
        <v/>
      </c>
      <c r="Z859" s="315" t="str">
        <f t="shared" ca="1" si="400"/>
        <v/>
      </c>
      <c r="AA859" s="316" t="str">
        <f t="shared" ca="1" si="401"/>
        <v/>
      </c>
      <c r="AC859" s="310" t="e">
        <f t="shared" ca="1" si="402"/>
        <v>#N/A</v>
      </c>
      <c r="AD859" s="323" t="e">
        <f t="shared" ca="1" si="403"/>
        <v>#N/A</v>
      </c>
      <c r="AE859" s="324" t="e">
        <f t="shared" ca="1" si="382"/>
        <v>#N/A</v>
      </c>
      <c r="AG859" s="306">
        <f t="shared" ca="1" si="404"/>
        <v>2.8157477544222251</v>
      </c>
      <c r="AH859" s="304">
        <f t="shared" ca="1" si="405"/>
        <v>-6.9704445503038697</v>
      </c>
    </row>
    <row r="860" spans="1:34" x14ac:dyDescent="0.2">
      <c r="A860" s="347">
        <f t="shared" ca="1" si="383"/>
        <v>0.1</v>
      </c>
      <c r="B860" s="304">
        <f t="shared" ca="1" si="384"/>
        <v>40.600000000000243</v>
      </c>
      <c r="D860" s="306">
        <f t="shared" ca="1" si="385"/>
        <v>-0.48434423072997085</v>
      </c>
      <c r="E860" s="307">
        <f t="shared" ca="1" si="386"/>
        <v>-2.8163211784644986</v>
      </c>
      <c r="F860" s="304">
        <f t="shared" ca="1" si="387"/>
        <v>2.8576658856677191</v>
      </c>
      <c r="G860" s="306">
        <f t="shared" ca="1" si="388"/>
        <v>8.7089762035477492</v>
      </c>
      <c r="H860" s="307">
        <f t="shared" ca="1" si="389"/>
        <v>-126.73408751012168</v>
      </c>
      <c r="I860" s="304">
        <f t="shared" ca="1" si="390"/>
        <v>127.03296896293159</v>
      </c>
      <c r="J860" s="306">
        <f t="shared" ca="1" si="391"/>
        <v>707.22823767396562</v>
      </c>
      <c r="K860" s="307">
        <f t="shared" ca="1" si="392"/>
        <v>1657.7841389592554</v>
      </c>
      <c r="L860" s="304">
        <f t="shared" ca="1" si="377"/>
        <v>1802.3373800563265</v>
      </c>
      <c r="M860" s="306">
        <f t="shared" ca="1" si="393"/>
        <v>-1.5021856910707545</v>
      </c>
      <c r="N860" s="304">
        <f t="shared" ca="1" si="394"/>
        <v>-86.068900143297142</v>
      </c>
      <c r="P860" s="310">
        <f t="shared" ca="1" si="395"/>
        <v>23</v>
      </c>
      <c r="Q860" s="304">
        <f t="shared" ca="1" si="396"/>
        <v>0</v>
      </c>
      <c r="R860" s="306">
        <f t="shared" ca="1" si="397"/>
        <v>0</v>
      </c>
      <c r="S860" s="307">
        <f t="shared" ca="1" si="398"/>
        <v>6.4679999999999849</v>
      </c>
      <c r="T860" s="304">
        <f t="shared" ca="1" si="378"/>
        <v>63.451079999999855</v>
      </c>
      <c r="U860" s="311">
        <f t="shared" ca="1" si="379"/>
        <v>0</v>
      </c>
      <c r="V860" s="306">
        <f t="shared" ca="1" si="380"/>
        <v>1.0374659884690611</v>
      </c>
      <c r="W860" s="304">
        <f t="shared" ca="1" si="381"/>
        <v>45.600403735239439</v>
      </c>
      <c r="Y860" s="314" t="str">
        <f t="shared" ca="1" si="399"/>
        <v/>
      </c>
      <c r="Z860" s="315" t="str">
        <f t="shared" ca="1" si="400"/>
        <v/>
      </c>
      <c r="AA860" s="316" t="str">
        <f t="shared" ca="1" si="401"/>
        <v/>
      </c>
      <c r="AC860" s="310" t="e">
        <f t="shared" ca="1" si="402"/>
        <v>#N/A</v>
      </c>
      <c r="AD860" s="323" t="e">
        <f t="shared" ca="1" si="403"/>
        <v>#N/A</v>
      </c>
      <c r="AE860" s="324" t="e">
        <f t="shared" ca="1" si="382"/>
        <v>#N/A</v>
      </c>
      <c r="AG860" s="306">
        <f t="shared" ca="1" si="404"/>
        <v>2.7761286615937246</v>
      </c>
      <c r="AH860" s="304">
        <f t="shared" ca="1" si="405"/>
        <v>-7.0104302858409211</v>
      </c>
    </row>
    <row r="861" spans="1:34" x14ac:dyDescent="0.2">
      <c r="A861" s="347">
        <f t="shared" ca="1" si="383"/>
        <v>0.1</v>
      </c>
      <c r="B861" s="304">
        <f t="shared" ca="1" si="384"/>
        <v>40.700000000000244</v>
      </c>
      <c r="D861" s="306">
        <f t="shared" ca="1" si="385"/>
        <v>-0.48333620978027708</v>
      </c>
      <c r="E861" s="307">
        <f t="shared" ca="1" si="386"/>
        <v>-2.7764323250589662</v>
      </c>
      <c r="F861" s="304">
        <f t="shared" ca="1" si="387"/>
        <v>2.8181891965084782</v>
      </c>
      <c r="G861" s="306">
        <f t="shared" ca="1" si="388"/>
        <v>8.6606425825697215</v>
      </c>
      <c r="H861" s="307">
        <f t="shared" ca="1" si="389"/>
        <v>-127.01173074262758</v>
      </c>
      <c r="I861" s="304">
        <f t="shared" ca="1" si="390"/>
        <v>127.30666312562255</v>
      </c>
      <c r="J861" s="306">
        <f t="shared" ca="1" si="391"/>
        <v>708.09671861327149</v>
      </c>
      <c r="K861" s="307">
        <f t="shared" ca="1" si="392"/>
        <v>1645.0968480466179</v>
      </c>
      <c r="L861" s="304">
        <f t="shared" ca="1" si="377"/>
        <v>1791.0177560157799</v>
      </c>
      <c r="M861" s="306">
        <f t="shared" ca="1" si="393"/>
        <v>-1.5027139763975268</v>
      </c>
      <c r="N861" s="304">
        <f t="shared" ca="1" si="394"/>
        <v>-86.099168662899885</v>
      </c>
      <c r="P861" s="310">
        <f t="shared" ca="1" si="395"/>
        <v>23</v>
      </c>
      <c r="Q861" s="304">
        <f t="shared" ca="1" si="396"/>
        <v>0</v>
      </c>
      <c r="R861" s="306">
        <f t="shared" ca="1" si="397"/>
        <v>0</v>
      </c>
      <c r="S861" s="307">
        <f t="shared" ca="1" si="398"/>
        <v>6.4679999999999849</v>
      </c>
      <c r="T861" s="304">
        <f t="shared" ca="1" si="378"/>
        <v>63.451079999999855</v>
      </c>
      <c r="U861" s="311">
        <f t="shared" ca="1" si="379"/>
        <v>0</v>
      </c>
      <c r="V861" s="306">
        <f t="shared" ca="1" si="380"/>
        <v>1.0387921347264406</v>
      </c>
      <c r="W861" s="304">
        <f t="shared" ca="1" si="381"/>
        <v>45.855649110325949</v>
      </c>
      <c r="Y861" s="314" t="str">
        <f t="shared" ca="1" si="399"/>
        <v/>
      </c>
      <c r="Z861" s="315" t="str">
        <f t="shared" ca="1" si="400"/>
        <v/>
      </c>
      <c r="AA861" s="316" t="str">
        <f t="shared" ca="1" si="401"/>
        <v/>
      </c>
      <c r="AC861" s="310" t="e">
        <f t="shared" ca="1" si="402"/>
        <v>#N/A</v>
      </c>
      <c r="AD861" s="323" t="e">
        <f t="shared" ca="1" si="403"/>
        <v>#N/A</v>
      </c>
      <c r="AE861" s="324" t="e">
        <f t="shared" ca="1" si="382"/>
        <v>#N/A</v>
      </c>
      <c r="AG861" s="306">
        <f t="shared" ca="1" si="404"/>
        <v>2.7367639797674235</v>
      </c>
      <c r="AH861" s="304">
        <f t="shared" ca="1" si="405"/>
        <v>-7.0501551847927564</v>
      </c>
    </row>
    <row r="862" spans="1:34" x14ac:dyDescent="0.2">
      <c r="A862" s="347">
        <f t="shared" ca="1" si="383"/>
        <v>0.1</v>
      </c>
      <c r="B862" s="304">
        <f t="shared" ca="1" si="384"/>
        <v>40.800000000000246</v>
      </c>
      <c r="D862" s="306">
        <f t="shared" ca="1" si="385"/>
        <v>-0.48230505682294966</v>
      </c>
      <c r="E862" s="307">
        <f t="shared" ca="1" si="386"/>
        <v>-2.7368065932784313</v>
      </c>
      <c r="F862" s="304">
        <f t="shared" ca="1" si="387"/>
        <v>2.7789797582654829</v>
      </c>
      <c r="G862" s="306">
        <f t="shared" ca="1" si="388"/>
        <v>8.612412076887427</v>
      </c>
      <c r="H862" s="307">
        <f t="shared" ca="1" si="389"/>
        <v>-127.28541140195541</v>
      </c>
      <c r="I862" s="304">
        <f t="shared" ca="1" si="390"/>
        <v>127.57644609232206</v>
      </c>
      <c r="J862" s="306">
        <f t="shared" ca="1" si="391"/>
        <v>708.9603713462443</v>
      </c>
      <c r="K862" s="307">
        <f t="shared" ca="1" si="392"/>
        <v>1632.3819909393887</v>
      </c>
      <c r="L862" s="304">
        <f t="shared" ca="1" si="377"/>
        <v>1779.6897967012812</v>
      </c>
      <c r="M862" s="306">
        <f t="shared" ca="1" si="393"/>
        <v>-1.5032370918012676</v>
      </c>
      <c r="N862" s="304">
        <f t="shared" ca="1" si="394"/>
        <v>-86.129140967732525</v>
      </c>
      <c r="P862" s="310">
        <f t="shared" ca="1" si="395"/>
        <v>23</v>
      </c>
      <c r="Q862" s="304">
        <f t="shared" ca="1" si="396"/>
        <v>0</v>
      </c>
      <c r="R862" s="306">
        <f t="shared" ca="1" si="397"/>
        <v>0</v>
      </c>
      <c r="S862" s="307">
        <f t="shared" ca="1" si="398"/>
        <v>6.4679999999999849</v>
      </c>
      <c r="T862" s="304">
        <f t="shared" ca="1" si="378"/>
        <v>63.451079999999855</v>
      </c>
      <c r="U862" s="311">
        <f t="shared" ca="1" si="379"/>
        <v>0</v>
      </c>
      <c r="V862" s="306">
        <f t="shared" ca="1" si="380"/>
        <v>1.0401227229864651</v>
      </c>
      <c r="W862" s="304">
        <f t="shared" ca="1" si="381"/>
        <v>46.109191478132651</v>
      </c>
      <c r="Y862" s="314" t="str">
        <f t="shared" ca="1" si="399"/>
        <v/>
      </c>
      <c r="Z862" s="315" t="str">
        <f t="shared" ca="1" si="400"/>
        <v/>
      </c>
      <c r="AA862" s="316" t="str">
        <f t="shared" ca="1" si="401"/>
        <v/>
      </c>
      <c r="AC862" s="310" t="e">
        <f t="shared" ca="1" si="402"/>
        <v>#N/A</v>
      </c>
      <c r="AD862" s="323" t="e">
        <f t="shared" ca="1" si="403"/>
        <v>#N/A</v>
      </c>
      <c r="AE862" s="324" t="e">
        <f t="shared" ca="1" si="382"/>
        <v>#N/A</v>
      </c>
      <c r="AG862" s="306">
        <f t="shared" ca="1" si="404"/>
        <v>2.6976551107017235</v>
      </c>
      <c r="AH862" s="304">
        <f t="shared" ca="1" si="405"/>
        <v>-7.089617982425179</v>
      </c>
    </row>
    <row r="863" spans="1:34" x14ac:dyDescent="0.2">
      <c r="A863" s="347">
        <f t="shared" ca="1" si="383"/>
        <v>0.1</v>
      </c>
      <c r="B863" s="304">
        <f t="shared" ca="1" si="384"/>
        <v>40.900000000000247</v>
      </c>
      <c r="D863" s="306">
        <f t="shared" ca="1" si="385"/>
        <v>-0.48125116871134965</v>
      </c>
      <c r="E863" s="307">
        <f t="shared" ca="1" si="386"/>
        <v>-2.6974451837383073</v>
      </c>
      <c r="F863" s="304">
        <f t="shared" ca="1" si="387"/>
        <v>2.7400389060484214</v>
      </c>
      <c r="G863" s="306">
        <f t="shared" ca="1" si="388"/>
        <v>8.5642869600162914</v>
      </c>
      <c r="H863" s="307">
        <f t="shared" ca="1" si="389"/>
        <v>-127.55515592032924</v>
      </c>
      <c r="I863" s="304">
        <f t="shared" ca="1" si="390"/>
        <v>127.84234358377904</v>
      </c>
      <c r="J863" s="306">
        <f t="shared" ca="1" si="391"/>
        <v>709.81920629808951</v>
      </c>
      <c r="K863" s="307">
        <f t="shared" ca="1" si="392"/>
        <v>1619.6399625732745</v>
      </c>
      <c r="L863" s="304">
        <f t="shared" ca="1" si="377"/>
        <v>1768.3542953814454</v>
      </c>
      <c r="M863" s="306">
        <f t="shared" ca="1" si="393"/>
        <v>-1.5037551142790127</v>
      </c>
      <c r="N863" s="304">
        <f t="shared" ca="1" si="394"/>
        <v>-86.158821469400223</v>
      </c>
      <c r="P863" s="310">
        <f t="shared" ca="1" si="395"/>
        <v>23</v>
      </c>
      <c r="Q863" s="304">
        <f t="shared" ca="1" si="396"/>
        <v>0</v>
      </c>
      <c r="R863" s="306">
        <f t="shared" ca="1" si="397"/>
        <v>0</v>
      </c>
      <c r="S863" s="307">
        <f t="shared" ca="1" si="398"/>
        <v>6.4679999999999849</v>
      </c>
      <c r="T863" s="304">
        <f t="shared" ca="1" si="378"/>
        <v>63.451079999999855</v>
      </c>
      <c r="U863" s="311">
        <f t="shared" ca="1" si="379"/>
        <v>0</v>
      </c>
      <c r="V863" s="306">
        <f t="shared" ca="1" si="380"/>
        <v>1.0414577247736823</v>
      </c>
      <c r="W863" s="304">
        <f t="shared" ca="1" si="381"/>
        <v>46.361023541421815</v>
      </c>
      <c r="Y863" s="314" t="str">
        <f t="shared" ca="1" si="399"/>
        <v/>
      </c>
      <c r="Z863" s="315" t="str">
        <f t="shared" ca="1" si="400"/>
        <v/>
      </c>
      <c r="AA863" s="316" t="str">
        <f t="shared" ca="1" si="401"/>
        <v/>
      </c>
      <c r="AC863" s="310" t="e">
        <f t="shared" ca="1" si="402"/>
        <v>#N/A</v>
      </c>
      <c r="AD863" s="323" t="e">
        <f t="shared" ca="1" si="403"/>
        <v>#N/A</v>
      </c>
      <c r="AE863" s="324" t="e">
        <f t="shared" ca="1" si="382"/>
        <v>#N/A</v>
      </c>
      <c r="AG863" s="306">
        <f t="shared" ca="1" si="404"/>
        <v>2.6588033838429839</v>
      </c>
      <c r="AH863" s="304">
        <f t="shared" ca="1" si="405"/>
        <v>-7.1288174827045081</v>
      </c>
    </row>
    <row r="864" spans="1:34" x14ac:dyDescent="0.2">
      <c r="A864" s="347">
        <f t="shared" ca="1" si="383"/>
        <v>0.1</v>
      </c>
      <c r="B864" s="304">
        <f t="shared" ca="1" si="384"/>
        <v>41.000000000000249</v>
      </c>
      <c r="D864" s="306">
        <f t="shared" ca="1" si="385"/>
        <v>-0.48017494078513867</v>
      </c>
      <c r="E864" s="307">
        <f t="shared" ca="1" si="386"/>
        <v>-2.6583492289746138</v>
      </c>
      <c r="F864" s="304">
        <f t="shared" ca="1" si="387"/>
        <v>2.701367912178557</v>
      </c>
      <c r="G864" s="306">
        <f t="shared" ca="1" si="388"/>
        <v>8.5162694659377767</v>
      </c>
      <c r="H864" s="307">
        <f t="shared" ca="1" si="389"/>
        <v>-127.8209908432267</v>
      </c>
      <c r="I864" s="304">
        <f t="shared" ca="1" si="390"/>
        <v>128.10438144638422</v>
      </c>
      <c r="J864" s="306">
        <f t="shared" ca="1" si="391"/>
        <v>710.67323411938719</v>
      </c>
      <c r="K864" s="307">
        <f t="shared" ca="1" si="392"/>
        <v>1606.8711552350967</v>
      </c>
      <c r="L864" s="304">
        <f t="shared" ca="1" si="377"/>
        <v>1757.0120532370527</v>
      </c>
      <c r="M864" s="306">
        <f t="shared" ca="1" si="393"/>
        <v>-1.5042681191984262</v>
      </c>
      <c r="N864" s="304">
        <f t="shared" ca="1" si="394"/>
        <v>-86.188214486152063</v>
      </c>
      <c r="P864" s="310">
        <f t="shared" ca="1" si="395"/>
        <v>23</v>
      </c>
      <c r="Q864" s="304">
        <f t="shared" ca="1" si="396"/>
        <v>0</v>
      </c>
      <c r="R864" s="306">
        <f t="shared" ca="1" si="397"/>
        <v>0</v>
      </c>
      <c r="S864" s="307">
        <f t="shared" ca="1" si="398"/>
        <v>6.4679999999999849</v>
      </c>
      <c r="T864" s="304">
        <f t="shared" ca="1" si="378"/>
        <v>63.451079999999855</v>
      </c>
      <c r="U864" s="311">
        <f t="shared" ca="1" si="379"/>
        <v>0</v>
      </c>
      <c r="V864" s="306">
        <f t="shared" ca="1" si="380"/>
        <v>1.0427971117594164</v>
      </c>
      <c r="W864" s="304">
        <f t="shared" ca="1" si="381"/>
        <v>46.611138435966765</v>
      </c>
      <c r="Y864" s="314" t="str">
        <f t="shared" ca="1" si="399"/>
        <v/>
      </c>
      <c r="Z864" s="315" t="str">
        <f t="shared" ca="1" si="400"/>
        <v/>
      </c>
      <c r="AA864" s="316" t="str">
        <f t="shared" ca="1" si="401"/>
        <v/>
      </c>
      <c r="AC864" s="310">
        <f t="shared" ca="1" si="402"/>
        <v>41.000000000000249</v>
      </c>
      <c r="AD864" s="323">
        <f t="shared" ca="1" si="403"/>
        <v>710.67323411938719</v>
      </c>
      <c r="AE864" s="324" t="e">
        <f t="shared" ca="1" si="382"/>
        <v>#N/A</v>
      </c>
      <c r="AG864" s="306">
        <f t="shared" ca="1" si="404"/>
        <v>2.6202100573127582</v>
      </c>
      <c r="AH864" s="304">
        <f t="shared" ca="1" si="405"/>
        <v>-7.1677525574245395</v>
      </c>
    </row>
    <row r="865" spans="1:34" x14ac:dyDescent="0.2">
      <c r="A865" s="347">
        <f t="shared" ca="1" si="383"/>
        <v>0.1</v>
      </c>
      <c r="B865" s="304">
        <f t="shared" ca="1" si="384"/>
        <v>41.10000000000025</v>
      </c>
      <c r="D865" s="306">
        <f t="shared" ca="1" si="385"/>
        <v>-0.47907676678944422</v>
      </c>
      <c r="E865" s="307">
        <f t="shared" ca="1" si="386"/>
        <v>-2.6195197943277959</v>
      </c>
      <c r="F865" s="304">
        <f t="shared" ca="1" si="387"/>
        <v>2.6629679872939831</v>
      </c>
      <c r="G865" s="306">
        <f t="shared" ca="1" si="388"/>
        <v>8.4683617892588323</v>
      </c>
      <c r="H865" s="307">
        <f t="shared" ca="1" si="389"/>
        <v>-128.08294282265948</v>
      </c>
      <c r="I865" s="304">
        <f t="shared" ca="1" si="390"/>
        <v>128.36258564514208</v>
      </c>
      <c r="J865" s="306">
        <f t="shared" ca="1" si="391"/>
        <v>711.52246568214707</v>
      </c>
      <c r="K865" s="307">
        <f t="shared" ca="1" si="392"/>
        <v>1594.0759585518024</v>
      </c>
      <c r="L865" s="304">
        <f t="shared" ca="1" si="377"/>
        <v>1745.6638796753657</v>
      </c>
      <c r="M865" s="306">
        <f t="shared" ca="1" si="393"/>
        <v>-1.5047761803406421</v>
      </c>
      <c r="N865" s="304">
        <f t="shared" ca="1" si="394"/>
        <v>-86.217324245335632</v>
      </c>
      <c r="P865" s="310">
        <f t="shared" ca="1" si="395"/>
        <v>23</v>
      </c>
      <c r="Q865" s="304">
        <f t="shared" ca="1" si="396"/>
        <v>0</v>
      </c>
      <c r="R865" s="306">
        <f t="shared" ca="1" si="397"/>
        <v>0</v>
      </c>
      <c r="S865" s="307">
        <f t="shared" ca="1" si="398"/>
        <v>6.4679999999999849</v>
      </c>
      <c r="T865" s="304">
        <f t="shared" ca="1" si="378"/>
        <v>63.451079999999855</v>
      </c>
      <c r="U865" s="311">
        <f t="shared" ca="1" si="379"/>
        <v>0</v>
      </c>
      <c r="V865" s="306">
        <f t="shared" ca="1" si="380"/>
        <v>1.044140855763025</v>
      </c>
      <c r="W865" s="304">
        <f t="shared" ca="1" si="381"/>
        <v>46.859529724808745</v>
      </c>
      <c r="Y865" s="314" t="str">
        <f t="shared" ca="1" si="399"/>
        <v/>
      </c>
      <c r="Z865" s="315" t="str">
        <f t="shared" ca="1" si="400"/>
        <v/>
      </c>
      <c r="AA865" s="316" t="str">
        <f t="shared" ca="1" si="401"/>
        <v/>
      </c>
      <c r="AC865" s="310" t="e">
        <f t="shared" ca="1" si="402"/>
        <v>#N/A</v>
      </c>
      <c r="AD865" s="323" t="e">
        <f t="shared" ca="1" si="403"/>
        <v>#N/A</v>
      </c>
      <c r="AE865" s="324" t="e">
        <f t="shared" ca="1" si="382"/>
        <v>#N/A</v>
      </c>
      <c r="AG865" s="306">
        <f t="shared" ca="1" si="404"/>
        <v>2.5818763188986198</v>
      </c>
      <c r="AH865" s="304">
        <f t="shared" ca="1" si="405"/>
        <v>-7.206422145325738</v>
      </c>
    </row>
    <row r="866" spans="1:34" x14ac:dyDescent="0.2">
      <c r="A866" s="347">
        <f t="shared" ca="1" si="383"/>
        <v>0.1</v>
      </c>
      <c r="B866" s="304">
        <f t="shared" ca="1" si="384"/>
        <v>41.200000000000252</v>
      </c>
      <c r="D866" s="306">
        <f t="shared" ca="1" si="385"/>
        <v>-0.47795703879624468</v>
      </c>
      <c r="E866" s="307">
        <f t="shared" ca="1" si="386"/>
        <v>-2.58095787883373</v>
      </c>
      <c r="F866" s="304">
        <f t="shared" ca="1" si="387"/>
        <v>2.6248402814740524</v>
      </c>
      <c r="G866" s="306">
        <f t="shared" ca="1" si="388"/>
        <v>8.4205660853792086</v>
      </c>
      <c r="H866" s="307">
        <f t="shared" ca="1" si="389"/>
        <v>-128.34103861054285</v>
      </c>
      <c r="I866" s="304">
        <f t="shared" ca="1" si="390"/>
        <v>128.61698225674201</v>
      </c>
      <c r="J866" s="306">
        <f t="shared" ca="1" si="391"/>
        <v>712.36691207587899</v>
      </c>
      <c r="K866" s="307">
        <f t="shared" ca="1" si="392"/>
        <v>1581.2547594801422</v>
      </c>
      <c r="L866" s="304">
        <f t="shared" ca="1" si="377"/>
        <v>1734.310592656092</v>
      </c>
      <c r="M866" s="306">
        <f t="shared" ca="1" si="393"/>
        <v>-1.5052793699417752</v>
      </c>
      <c r="N866" s="304">
        <f t="shared" ca="1" si="394"/>
        <v>-86.246154885775439</v>
      </c>
      <c r="P866" s="310">
        <f t="shared" ca="1" si="395"/>
        <v>23</v>
      </c>
      <c r="Q866" s="304">
        <f t="shared" ca="1" si="396"/>
        <v>0</v>
      </c>
      <c r="R866" s="306">
        <f t="shared" ca="1" si="397"/>
        <v>0</v>
      </c>
      <c r="S866" s="307">
        <f t="shared" ca="1" si="398"/>
        <v>6.4679999999999849</v>
      </c>
      <c r="T866" s="304">
        <f t="shared" ca="1" si="378"/>
        <v>63.451079999999855</v>
      </c>
      <c r="U866" s="311">
        <f t="shared" ca="1" si="379"/>
        <v>0</v>
      </c>
      <c r="V866" s="306">
        <f t="shared" ca="1" si="380"/>
        <v>1.0454889287531088</v>
      </c>
      <c r="W866" s="304">
        <f t="shared" ca="1" si="381"/>
        <v>47.106191392470841</v>
      </c>
      <c r="Y866" s="314" t="str">
        <f t="shared" ca="1" si="399"/>
        <v/>
      </c>
      <c r="Z866" s="315" t="str">
        <f t="shared" ca="1" si="400"/>
        <v/>
      </c>
      <c r="AA866" s="316" t="str">
        <f t="shared" ca="1" si="401"/>
        <v/>
      </c>
      <c r="AC866" s="310" t="e">
        <f t="shared" ca="1" si="402"/>
        <v>#N/A</v>
      </c>
      <c r="AD866" s="323" t="e">
        <f t="shared" ca="1" si="403"/>
        <v>#N/A</v>
      </c>
      <c r="AE866" s="324" t="e">
        <f t="shared" ca="1" si="382"/>
        <v>#N/A</v>
      </c>
      <c r="AG866" s="306">
        <f t="shared" ca="1" si="404"/>
        <v>2.5438032870480853</v>
      </c>
      <c r="AH866" s="304">
        <f t="shared" ca="1" si="405"/>
        <v>-7.2448252512073061</v>
      </c>
    </row>
    <row r="867" spans="1:34" x14ac:dyDescent="0.2">
      <c r="A867" s="347">
        <f t="shared" ca="1" si="383"/>
        <v>0.1</v>
      </c>
      <c r="B867" s="304">
        <f t="shared" ca="1" si="384"/>
        <v>41.300000000000253</v>
      </c>
      <c r="D867" s="306">
        <f t="shared" ca="1" si="385"/>
        <v>-0.47681614712794457</v>
      </c>
      <c r="E867" s="307">
        <f t="shared" ca="1" si="386"/>
        <v>-2.5426644161213794</v>
      </c>
      <c r="F867" s="304">
        <f t="shared" ca="1" si="387"/>
        <v>2.5869858853831831</v>
      </c>
      <c r="G867" s="306">
        <f t="shared" ca="1" si="388"/>
        <v>8.3728844706664134</v>
      </c>
      <c r="H867" s="307">
        <f t="shared" ca="1" si="389"/>
        <v>-128.595305052155</v>
      </c>
      <c r="I867" s="304">
        <f t="shared" ca="1" si="390"/>
        <v>128.8675974627289</v>
      </c>
      <c r="J867" s="306">
        <f t="shared" ca="1" si="391"/>
        <v>713.20658460368122</v>
      </c>
      <c r="K867" s="307">
        <f t="shared" ca="1" si="392"/>
        <v>1568.4079422970074</v>
      </c>
      <c r="L867" s="304">
        <f t="shared" ca="1" si="377"/>
        <v>1722.9530190293585</v>
      </c>
      <c r="M867" s="306">
        <f t="shared" ca="1" si="393"/>
        <v>-1.5057777587331505</v>
      </c>
      <c r="N867" s="304">
        <f t="shared" ca="1" si="394"/>
        <v>-86.274710460077856</v>
      </c>
      <c r="P867" s="310">
        <f t="shared" ca="1" si="395"/>
        <v>23</v>
      </c>
      <c r="Q867" s="304">
        <f t="shared" ca="1" si="396"/>
        <v>0</v>
      </c>
      <c r="R867" s="306">
        <f t="shared" ca="1" si="397"/>
        <v>0</v>
      </c>
      <c r="S867" s="307">
        <f t="shared" ca="1" si="398"/>
        <v>6.4679999999999849</v>
      </c>
      <c r="T867" s="304">
        <f t="shared" ca="1" si="378"/>
        <v>63.451079999999855</v>
      </c>
      <c r="U867" s="311">
        <f t="shared" ca="1" si="379"/>
        <v>0</v>
      </c>
      <c r="V867" s="306">
        <f t="shared" ca="1" si="380"/>
        <v>1.0468413028486871</v>
      </c>
      <c r="W867" s="304">
        <f t="shared" ca="1" si="381"/>
        <v>47.351117839133217</v>
      </c>
      <c r="Y867" s="314" t="str">
        <f t="shared" ca="1" si="399"/>
        <v/>
      </c>
      <c r="Z867" s="315" t="str">
        <f t="shared" ca="1" si="400"/>
        <v/>
      </c>
      <c r="AA867" s="316" t="str">
        <f t="shared" ca="1" si="401"/>
        <v/>
      </c>
      <c r="AC867" s="310" t="e">
        <f t="shared" ca="1" si="402"/>
        <v>#N/A</v>
      </c>
      <c r="AD867" s="323" t="e">
        <f t="shared" ca="1" si="403"/>
        <v>#N/A</v>
      </c>
      <c r="AE867" s="324" t="e">
        <f t="shared" ca="1" si="382"/>
        <v>#N/A</v>
      </c>
      <c r="AG867" s="306">
        <f t="shared" ca="1" si="404"/>
        <v>2.5059920118653327</v>
      </c>
      <c r="AH867" s="304">
        <f t="shared" ca="1" si="405"/>
        <v>-7.2829609450326149</v>
      </c>
    </row>
    <row r="868" spans="1:34" x14ac:dyDescent="0.2">
      <c r="A868" s="347">
        <f t="shared" ca="1" si="383"/>
        <v>0.1</v>
      </c>
      <c r="B868" s="304">
        <f t="shared" ca="1" si="384"/>
        <v>41.400000000000254</v>
      </c>
      <c r="D868" s="306">
        <f t="shared" ca="1" si="385"/>
        <v>-0.47565448028313972</v>
      </c>
      <c r="E868" s="307">
        <f t="shared" ca="1" si="386"/>
        <v>-2.5046402753164818</v>
      </c>
      <c r="F868" s="304">
        <f t="shared" ca="1" si="387"/>
        <v>2.5494058314342278</v>
      </c>
      <c r="G868" s="306">
        <f t="shared" ca="1" si="388"/>
        <v>8.3253190226380998</v>
      </c>
      <c r="H868" s="307">
        <f t="shared" ca="1" si="389"/>
        <v>-128.84576907968665</v>
      </c>
      <c r="I868" s="304">
        <f t="shared" ca="1" si="390"/>
        <v>129.11445754277341</v>
      </c>
      <c r="J868" s="306">
        <f t="shared" ca="1" si="391"/>
        <v>714.04149477834642</v>
      </c>
      <c r="K868" s="307">
        <f t="shared" ca="1" si="392"/>
        <v>1555.5358885904152</v>
      </c>
      <c r="L868" s="304">
        <f t="shared" ca="1" si="377"/>
        <v>1711.5919948860674</v>
      </c>
      <c r="M868" s="306">
        <f t="shared" ca="1" si="393"/>
        <v>-1.506271415980295</v>
      </c>
      <c r="N868" s="304">
        <f t="shared" ca="1" si="394"/>
        <v>-86.302994936865289</v>
      </c>
      <c r="P868" s="310">
        <f t="shared" ca="1" si="395"/>
        <v>23</v>
      </c>
      <c r="Q868" s="304">
        <f t="shared" ca="1" si="396"/>
        <v>0</v>
      </c>
      <c r="R868" s="306">
        <f t="shared" ca="1" si="397"/>
        <v>0</v>
      </c>
      <c r="S868" s="307">
        <f t="shared" ca="1" si="398"/>
        <v>6.4679999999999849</v>
      </c>
      <c r="T868" s="304">
        <f t="shared" ca="1" si="378"/>
        <v>63.451079999999855</v>
      </c>
      <c r="U868" s="311">
        <f t="shared" ca="1" si="379"/>
        <v>0</v>
      </c>
      <c r="V868" s="306">
        <f t="shared" ca="1" si="380"/>
        <v>1.0481979503203283</v>
      </c>
      <c r="W868" s="304">
        <f t="shared" ca="1" si="381"/>
        <v>47.594303874772848</v>
      </c>
      <c r="Y868" s="314" t="str">
        <f t="shared" ca="1" si="399"/>
        <v/>
      </c>
      <c r="Z868" s="315" t="str">
        <f t="shared" ca="1" si="400"/>
        <v/>
      </c>
      <c r="AA868" s="316" t="str">
        <f t="shared" ca="1" si="401"/>
        <v/>
      </c>
      <c r="AC868" s="310" t="e">
        <f t="shared" ca="1" si="402"/>
        <v>#N/A</v>
      </c>
      <c r="AD868" s="323" t="e">
        <f t="shared" ca="1" si="403"/>
        <v>#N/A</v>
      </c>
      <c r="AE868" s="324" t="e">
        <f t="shared" ca="1" si="382"/>
        <v>#N/A</v>
      </c>
      <c r="AG868" s="306">
        <f t="shared" ca="1" si="404"/>
        <v>2.4684434761102185</v>
      </c>
      <c r="AH868" s="304">
        <f t="shared" ca="1" si="405"/>
        <v>-7.3208283610286529</v>
      </c>
    </row>
    <row r="869" spans="1:34" x14ac:dyDescent="0.2">
      <c r="A869" s="347">
        <f t="shared" ca="1" si="383"/>
        <v>0.1</v>
      </c>
      <c r="B869" s="304">
        <f t="shared" ca="1" si="384"/>
        <v>41.500000000000256</v>
      </c>
      <c r="D869" s="306">
        <f t="shared" ca="1" si="385"/>
        <v>-0.47447242486454799</v>
      </c>
      <c r="E869" s="307">
        <f t="shared" ca="1" si="386"/>
        <v>-2.4668862619507532</v>
      </c>
      <c r="F869" s="304">
        <f t="shared" ca="1" si="387"/>
        <v>2.5121010949717379</v>
      </c>
      <c r="G869" s="306">
        <f t="shared" ca="1" si="388"/>
        <v>8.2778717801516457</v>
      </c>
      <c r="H869" s="307">
        <f t="shared" ca="1" si="389"/>
        <v>-129.09245770588171</v>
      </c>
      <c r="I869" s="304">
        <f t="shared" ca="1" si="390"/>
        <v>129.3575888680424</v>
      </c>
      <c r="J869" s="306">
        <f t="shared" ca="1" si="391"/>
        <v>714.87165431848587</v>
      </c>
      <c r="K869" s="307">
        <f t="shared" ca="1" si="392"/>
        <v>1542.6389772511368</v>
      </c>
      <c r="L869" s="304">
        <f t="shared" ca="1" si="377"/>
        <v>1700.2283659210259</v>
      </c>
      <c r="M869" s="306">
        <f t="shared" ca="1" si="393"/>
        <v>-1.5067604095207376</v>
      </c>
      <c r="N869" s="304">
        <f t="shared" ca="1" si="394"/>
        <v>-86.331012202941807</v>
      </c>
      <c r="P869" s="310">
        <f t="shared" ca="1" si="395"/>
        <v>23</v>
      </c>
      <c r="Q869" s="304">
        <f t="shared" ca="1" si="396"/>
        <v>0</v>
      </c>
      <c r="R869" s="306">
        <f t="shared" ca="1" si="397"/>
        <v>0</v>
      </c>
      <c r="S869" s="307">
        <f t="shared" ca="1" si="398"/>
        <v>6.4679999999999849</v>
      </c>
      <c r="T869" s="304">
        <f t="shared" ca="1" si="378"/>
        <v>63.451079999999855</v>
      </c>
      <c r="U869" s="311">
        <f t="shared" ca="1" si="379"/>
        <v>0</v>
      </c>
      <c r="V869" s="306">
        <f t="shared" ca="1" si="380"/>
        <v>1.049558843591244</v>
      </c>
      <c r="W869" s="304">
        <f t="shared" ca="1" si="381"/>
        <v>47.835744713271829</v>
      </c>
      <c r="Y869" s="314" t="str">
        <f t="shared" ca="1" si="399"/>
        <v/>
      </c>
      <c r="Z869" s="315" t="str">
        <f t="shared" ca="1" si="400"/>
        <v/>
      </c>
      <c r="AA869" s="316" t="str">
        <f t="shared" ca="1" si="401"/>
        <v/>
      </c>
      <c r="AC869" s="310" t="e">
        <f t="shared" ca="1" si="402"/>
        <v>#N/A</v>
      </c>
      <c r="AD869" s="323" t="e">
        <f t="shared" ca="1" si="403"/>
        <v>#N/A</v>
      </c>
      <c r="AE869" s="324" t="e">
        <f t="shared" ca="1" si="382"/>
        <v>#N/A</v>
      </c>
      <c r="AG869" s="306">
        <f t="shared" ca="1" si="404"/>
        <v>2.4311585961992455</v>
      </c>
      <c r="AH869" s="304">
        <f t="shared" ca="1" si="405"/>
        <v>-7.3584266967799872</v>
      </c>
    </row>
    <row r="870" spans="1:34" x14ac:dyDescent="0.2">
      <c r="A870" s="347">
        <f t="shared" ca="1" si="383"/>
        <v>0.1</v>
      </c>
      <c r="B870" s="304">
        <f t="shared" ca="1" si="384"/>
        <v>41.600000000000257</v>
      </c>
      <c r="D870" s="306">
        <f t="shared" ca="1" si="385"/>
        <v>-0.47327036550910823</v>
      </c>
      <c r="E870" s="307">
        <f t="shared" ca="1" si="386"/>
        <v>-2.4294031188759728</v>
      </c>
      <c r="F870" s="304">
        <f t="shared" ca="1" si="387"/>
        <v>2.4750725954754196</v>
      </c>
      <c r="G870" s="306">
        <f t="shared" ca="1" si="388"/>
        <v>8.2305447436007348</v>
      </c>
      <c r="H870" s="307">
        <f t="shared" ca="1" si="389"/>
        <v>-129.33539801776931</v>
      </c>
      <c r="I870" s="304">
        <f t="shared" ca="1" si="390"/>
        <v>129.59701789466925</v>
      </c>
      <c r="J870" s="306">
        <f t="shared" ca="1" si="391"/>
        <v>715.69707514467348</v>
      </c>
      <c r="K870" s="307">
        <f t="shared" ca="1" si="392"/>
        <v>1529.7175844649541</v>
      </c>
      <c r="L870" s="304">
        <f t="shared" ca="1" si="377"/>
        <v>1688.8629878092345</v>
      </c>
      <c r="M870" s="306">
        <f t="shared" ca="1" si="393"/>
        <v>-1.5072448058006589</v>
      </c>
      <c r="N870" s="304">
        <f t="shared" ca="1" si="394"/>
        <v>-86.358766065393141</v>
      </c>
      <c r="P870" s="310">
        <f t="shared" ca="1" si="395"/>
        <v>23</v>
      </c>
      <c r="Q870" s="304">
        <f t="shared" ca="1" si="396"/>
        <v>0</v>
      </c>
      <c r="R870" s="306">
        <f t="shared" ca="1" si="397"/>
        <v>0</v>
      </c>
      <c r="S870" s="307">
        <f t="shared" ca="1" si="398"/>
        <v>6.4679999999999849</v>
      </c>
      <c r="T870" s="304">
        <f t="shared" ca="1" si="378"/>
        <v>63.451079999999855</v>
      </c>
      <c r="U870" s="311">
        <f t="shared" ca="1" si="379"/>
        <v>0</v>
      </c>
      <c r="V870" s="306">
        <f t="shared" ca="1" si="380"/>
        <v>1.050923955238344</v>
      </c>
      <c r="W870" s="304">
        <f t="shared" ca="1" si="381"/>
        <v>48.075435966497245</v>
      </c>
      <c r="Y870" s="314" t="str">
        <f t="shared" ca="1" si="399"/>
        <v/>
      </c>
      <c r="Z870" s="315" t="str">
        <f t="shared" ca="1" si="400"/>
        <v/>
      </c>
      <c r="AA870" s="316" t="str">
        <f t="shared" ca="1" si="401"/>
        <v/>
      </c>
      <c r="AC870" s="310" t="e">
        <f t="shared" ca="1" si="402"/>
        <v>#N/A</v>
      </c>
      <c r="AD870" s="323" t="e">
        <f t="shared" ca="1" si="403"/>
        <v>#N/A</v>
      </c>
      <c r="AE870" s="324" t="e">
        <f t="shared" ca="1" si="382"/>
        <v>#N/A</v>
      </c>
      <c r="AG870" s="306">
        <f t="shared" ca="1" si="404"/>
        <v>2.3941382232079844</v>
      </c>
      <c r="AH870" s="304">
        <f t="shared" ca="1" si="405"/>
        <v>-7.3957552123178631</v>
      </c>
    </row>
    <row r="871" spans="1:34" x14ac:dyDescent="0.2">
      <c r="A871" s="347">
        <f t="shared" ca="1" si="383"/>
        <v>0.1</v>
      </c>
      <c r="B871" s="304">
        <f t="shared" ca="1" si="384"/>
        <v>41.700000000000259</v>
      </c>
      <c r="D871" s="306">
        <f t="shared" ca="1" si="385"/>
        <v>-0.47204868482020002</v>
      </c>
      <c r="E871" s="307">
        <f t="shared" ca="1" si="386"/>
        <v>-2.3921915271825043</v>
      </c>
      <c r="F871" s="304">
        <f t="shared" ca="1" si="387"/>
        <v>2.4383211977842958</v>
      </c>
      <c r="G871" s="306">
        <f t="shared" ca="1" si="388"/>
        <v>8.1833398751187154</v>
      </c>
      <c r="H871" s="307">
        <f t="shared" ca="1" si="389"/>
        <v>-129.57461717048756</v>
      </c>
      <c r="I871" s="304">
        <f t="shared" ca="1" si="390"/>
        <v>129.8327711573242</v>
      </c>
      <c r="J871" s="306">
        <f t="shared" ca="1" si="391"/>
        <v>716.51776937560942</v>
      </c>
      <c r="K871" s="307">
        <f t="shared" ca="1" si="392"/>
        <v>1516.7720837055413</v>
      </c>
      <c r="L871" s="304">
        <f t="shared" ca="1" si="377"/>
        <v>1677.4967265957478</v>
      </c>
      <c r="M871" s="306">
        <f t="shared" ca="1" si="393"/>
        <v>-1.5077246699104314</v>
      </c>
      <c r="N871" s="304">
        <f t="shared" ca="1" si="394"/>
        <v>-86.386260253622908</v>
      </c>
      <c r="P871" s="310">
        <f t="shared" ca="1" si="395"/>
        <v>23</v>
      </c>
      <c r="Q871" s="304">
        <f t="shared" ca="1" si="396"/>
        <v>0</v>
      </c>
      <c r="R871" s="306">
        <f t="shared" ca="1" si="397"/>
        <v>0</v>
      </c>
      <c r="S871" s="307">
        <f t="shared" ca="1" si="398"/>
        <v>6.4679999999999849</v>
      </c>
      <c r="T871" s="304">
        <f t="shared" ca="1" si="378"/>
        <v>63.451079999999855</v>
      </c>
      <c r="U871" s="311">
        <f t="shared" ca="1" si="379"/>
        <v>0</v>
      </c>
      <c r="V871" s="306">
        <f t="shared" ca="1" si="380"/>
        <v>1.0522932579932498</v>
      </c>
      <c r="W871" s="304">
        <f t="shared" ca="1" si="381"/>
        <v>48.313373638356026</v>
      </c>
      <c r="Y871" s="314" t="str">
        <f t="shared" ca="1" si="399"/>
        <v/>
      </c>
      <c r="Z871" s="315" t="str">
        <f t="shared" ca="1" si="400"/>
        <v/>
      </c>
      <c r="AA871" s="316" t="str">
        <f t="shared" ca="1" si="401"/>
        <v/>
      </c>
      <c r="AC871" s="310" t="e">
        <f t="shared" ca="1" si="402"/>
        <v>#N/A</v>
      </c>
      <c r="AD871" s="323" t="e">
        <f t="shared" ca="1" si="403"/>
        <v>#N/A</v>
      </c>
      <c r="AE871" s="324" t="e">
        <f t="shared" ca="1" si="382"/>
        <v>#N/A</v>
      </c>
      <c r="AG871" s="306">
        <f t="shared" ca="1" si="404"/>
        <v>2.3573831438746451</v>
      </c>
      <c r="AH871" s="304">
        <f t="shared" ca="1" si="405"/>
        <v>-7.4328132292049096</v>
      </c>
    </row>
    <row r="872" spans="1:34" x14ac:dyDescent="0.2">
      <c r="A872" s="347">
        <f t="shared" ca="1" si="383"/>
        <v>0.1</v>
      </c>
      <c r="B872" s="304">
        <f t="shared" ca="1" si="384"/>
        <v>41.80000000000026</v>
      </c>
      <c r="D872" s="306">
        <f t="shared" ca="1" si="385"/>
        <v>-0.47080776330198565</v>
      </c>
      <c r="E872" s="307">
        <f t="shared" ca="1" si="386"/>
        <v>-2.3552521071216903</v>
      </c>
      <c r="F872" s="304">
        <f t="shared" ca="1" si="387"/>
        <v>2.4018477133420806</v>
      </c>
      <c r="G872" s="306">
        <f t="shared" ca="1" si="388"/>
        <v>8.1362590987885177</v>
      </c>
      <c r="H872" s="307">
        <f t="shared" ca="1" si="389"/>
        <v>-129.81014238119974</v>
      </c>
      <c r="I872" s="304">
        <f t="shared" ca="1" si="390"/>
        <v>130.06487526288552</v>
      </c>
      <c r="J872" s="306">
        <f t="shared" ca="1" si="391"/>
        <v>717.33374932430479</v>
      </c>
      <c r="K872" s="307">
        <f t="shared" ca="1" si="392"/>
        <v>1503.802845727957</v>
      </c>
      <c r="L872" s="304">
        <f t="shared" ca="1" si="377"/>
        <v>1666.1304590995167</v>
      </c>
      <c r="M872" s="306">
        <f t="shared" ca="1" si="393"/>
        <v>-1.5082000656190875</v>
      </c>
      <c r="N872" s="304">
        <f t="shared" ca="1" si="394"/>
        <v>-86.413498421327532</v>
      </c>
      <c r="P872" s="310">
        <f t="shared" ca="1" si="395"/>
        <v>23</v>
      </c>
      <c r="Q872" s="304">
        <f t="shared" ca="1" si="396"/>
        <v>0</v>
      </c>
      <c r="R872" s="306">
        <f t="shared" ca="1" si="397"/>
        <v>0</v>
      </c>
      <c r="S872" s="307">
        <f t="shared" ca="1" si="398"/>
        <v>6.4679999999999849</v>
      </c>
      <c r="T872" s="304">
        <f t="shared" ca="1" si="378"/>
        <v>63.451079999999855</v>
      </c>
      <c r="U872" s="311">
        <f t="shared" ca="1" si="379"/>
        <v>0</v>
      </c>
      <c r="V872" s="306">
        <f t="shared" ca="1" si="380"/>
        <v>1.0536667247432732</v>
      </c>
      <c r="W872" s="304">
        <f t="shared" ca="1" si="381"/>
        <v>48.549554118828844</v>
      </c>
      <c r="Y872" s="314" t="str">
        <f t="shared" ca="1" si="399"/>
        <v/>
      </c>
      <c r="Z872" s="315" t="str">
        <f t="shared" ca="1" si="400"/>
        <v/>
      </c>
      <c r="AA872" s="316" t="str">
        <f t="shared" ca="1" si="401"/>
        <v/>
      </c>
      <c r="AC872" s="310" t="e">
        <f t="shared" ca="1" si="402"/>
        <v>#N/A</v>
      </c>
      <c r="AD872" s="323" t="e">
        <f t="shared" ca="1" si="403"/>
        <v>#N/A</v>
      </c>
      <c r="AE872" s="324" t="e">
        <f t="shared" ca="1" si="382"/>
        <v>#N/A</v>
      </c>
      <c r="AG872" s="306">
        <f t="shared" ca="1" si="404"/>
        <v>2.3208940816044032</v>
      </c>
      <c r="AH872" s="304">
        <f t="shared" ca="1" si="405"/>
        <v>-7.4696001296159773</v>
      </c>
    </row>
    <row r="873" spans="1:34" x14ac:dyDescent="0.2">
      <c r="A873" s="347">
        <f t="shared" ca="1" si="383"/>
        <v>0.1</v>
      </c>
      <c r="B873" s="304">
        <f t="shared" ca="1" si="384"/>
        <v>41.900000000000261</v>
      </c>
      <c r="D873" s="306">
        <f t="shared" ca="1" si="385"/>
        <v>-0.46954797929587189</v>
      </c>
      <c r="E873" s="307">
        <f t="shared" ca="1" si="386"/>
        <v>-2.3185854190315291</v>
      </c>
      <c r="F873" s="304">
        <f t="shared" ca="1" si="387"/>
        <v>2.3656529014642973</v>
      </c>
      <c r="G873" s="306">
        <f t="shared" ca="1" si="388"/>
        <v>8.0893043008589309</v>
      </c>
      <c r="H873" s="307">
        <f t="shared" ca="1" si="389"/>
        <v>-130.0420009231029</v>
      </c>
      <c r="I873" s="304">
        <f t="shared" ca="1" si="390"/>
        <v>130.29335688421028</v>
      </c>
      <c r="J873" s="306">
        <f t="shared" ca="1" si="391"/>
        <v>718.14502749428721</v>
      </c>
      <c r="K873" s="307">
        <f t="shared" ca="1" si="392"/>
        <v>1490.8102385627419</v>
      </c>
      <c r="L873" s="304">
        <f t="shared" ca="1" si="377"/>
        <v>1654.7650733316407</v>
      </c>
      <c r="M873" s="306">
        <f t="shared" ca="1" si="393"/>
        <v>-1.5086710554077558</v>
      </c>
      <c r="N873" s="304">
        <f t="shared" ca="1" si="394"/>
        <v>-86.440484148411983</v>
      </c>
      <c r="P873" s="310">
        <f t="shared" ca="1" si="395"/>
        <v>23</v>
      </c>
      <c r="Q873" s="304">
        <f t="shared" ca="1" si="396"/>
        <v>0</v>
      </c>
      <c r="R873" s="306">
        <f t="shared" ca="1" si="397"/>
        <v>0</v>
      </c>
      <c r="S873" s="307">
        <f t="shared" ca="1" si="398"/>
        <v>6.4679999999999849</v>
      </c>
      <c r="T873" s="304">
        <f t="shared" ca="1" si="378"/>
        <v>63.451079999999855</v>
      </c>
      <c r="U873" s="311">
        <f t="shared" ca="1" si="379"/>
        <v>0</v>
      </c>
      <c r="V873" s="306">
        <f t="shared" ca="1" si="380"/>
        <v>1.055044328532353</v>
      </c>
      <c r="W873" s="304">
        <f t="shared" ca="1" si="381"/>
        <v>48.783974177985222</v>
      </c>
      <c r="Y873" s="314" t="str">
        <f t="shared" ca="1" si="399"/>
        <v/>
      </c>
      <c r="Z873" s="315" t="str">
        <f t="shared" ca="1" si="400"/>
        <v/>
      </c>
      <c r="AA873" s="316" t="str">
        <f t="shared" ca="1" si="401"/>
        <v/>
      </c>
      <c r="AC873" s="310" t="e">
        <f t="shared" ca="1" si="402"/>
        <v>#N/A</v>
      </c>
      <c r="AD873" s="323" t="e">
        <f t="shared" ca="1" si="403"/>
        <v>#N/A</v>
      </c>
      <c r="AE873" s="324" t="e">
        <f t="shared" ca="1" si="382"/>
        <v>#N/A</v>
      </c>
      <c r="AG873" s="306">
        <f t="shared" ca="1" si="404"/>
        <v>2.2846716974739385</v>
      </c>
      <c r="AH873" s="304">
        <f t="shared" ca="1" si="405"/>
        <v>-7.5061153554157327</v>
      </c>
    </row>
    <row r="874" spans="1:34" x14ac:dyDescent="0.2">
      <c r="A874" s="347">
        <f t="shared" ca="1" si="383"/>
        <v>0.1</v>
      </c>
      <c r="B874" s="304">
        <f t="shared" ca="1" si="384"/>
        <v>42.000000000000263</v>
      </c>
      <c r="D874" s="306">
        <f t="shared" ca="1" si="385"/>
        <v>-0.46826970891902914</v>
      </c>
      <c r="E874" s="307">
        <f t="shared" ca="1" si="386"/>
        <v>-2.2821919642652588</v>
      </c>
      <c r="F874" s="304">
        <f t="shared" ca="1" si="387"/>
        <v>2.3297374706279745</v>
      </c>
      <c r="G874" s="306">
        <f t="shared" ca="1" si="388"/>
        <v>8.0424773299670278</v>
      </c>
      <c r="H874" s="307">
        <f t="shared" ca="1" si="389"/>
        <v>-130.27022011952943</v>
      </c>
      <c r="I874" s="304">
        <f t="shared" ca="1" si="390"/>
        <v>130.51824275400617</v>
      </c>
      <c r="J874" s="306">
        <f t="shared" ca="1" si="391"/>
        <v>718.95161657582855</v>
      </c>
      <c r="K874" s="307">
        <f t="shared" ca="1" si="392"/>
        <v>1477.7946275106103</v>
      </c>
      <c r="L874" s="304">
        <f t="shared" ca="1" si="377"/>
        <v>1643.4014689284602</v>
      </c>
      <c r="M874" s="306">
        <f t="shared" ca="1" si="393"/>
        <v>-1.5091377005020985</v>
      </c>
      <c r="N874" s="304">
        <f t="shared" ca="1" si="394"/>
        <v>-86.4672209428483</v>
      </c>
      <c r="P874" s="310">
        <f t="shared" ca="1" si="395"/>
        <v>23</v>
      </c>
      <c r="Q874" s="304">
        <f t="shared" ca="1" si="396"/>
        <v>0</v>
      </c>
      <c r="R874" s="306">
        <f t="shared" ca="1" si="397"/>
        <v>0</v>
      </c>
      <c r="S874" s="307">
        <f t="shared" ca="1" si="398"/>
        <v>6.4679999999999849</v>
      </c>
      <c r="T874" s="304">
        <f t="shared" ca="1" si="378"/>
        <v>63.451079999999855</v>
      </c>
      <c r="U874" s="311">
        <f t="shared" ca="1" si="379"/>
        <v>0</v>
      </c>
      <c r="V874" s="306">
        <f t="shared" ca="1" si="380"/>
        <v>1.0564260425619572</v>
      </c>
      <c r="W874" s="304">
        <f t="shared" ca="1" si="381"/>
        <v>49.016630959984127</v>
      </c>
      <c r="Y874" s="314" t="str">
        <f t="shared" ca="1" si="399"/>
        <v/>
      </c>
      <c r="Z874" s="315" t="str">
        <f t="shared" ca="1" si="400"/>
        <v/>
      </c>
      <c r="AA874" s="316" t="str">
        <f t="shared" ca="1" si="401"/>
        <v/>
      </c>
      <c r="AC874" s="310">
        <f t="shared" ca="1" si="402"/>
        <v>42.000000000000263</v>
      </c>
      <c r="AD874" s="323">
        <f t="shared" ca="1" si="403"/>
        <v>718.95161657582855</v>
      </c>
      <c r="AE874" s="324" t="e">
        <f t="shared" ca="1" si="382"/>
        <v>#N/A</v>
      </c>
      <c r="AG874" s="306">
        <f t="shared" ca="1" si="404"/>
        <v>2.2487165912360236</v>
      </c>
      <c r="AH874" s="304">
        <f t="shared" ca="1" si="405"/>
        <v>-7.5423584072333547</v>
      </c>
    </row>
    <row r="875" spans="1:34" x14ac:dyDescent="0.2">
      <c r="A875" s="347">
        <f t="shared" ca="1" si="383"/>
        <v>0.1</v>
      </c>
      <c r="B875" s="304">
        <f t="shared" ca="1" si="384"/>
        <v>42.100000000000264</v>
      </c>
      <c r="D875" s="306">
        <f t="shared" ca="1" si="385"/>
        <v>-0.46697332600499319</v>
      </c>
      <c r="E875" s="307">
        <f t="shared" ca="1" si="386"/>
        <v>-2.2460721861222108</v>
      </c>
      <c r="F875" s="304">
        <f t="shared" ca="1" si="387"/>
        <v>2.2941020797845879</v>
      </c>
      <c r="G875" s="306">
        <f t="shared" ca="1" si="388"/>
        <v>7.9957799973665287</v>
      </c>
      <c r="H875" s="307">
        <f t="shared" ca="1" si="389"/>
        <v>-130.49482733814165</v>
      </c>
      <c r="I875" s="304">
        <f t="shared" ca="1" si="390"/>
        <v>130.73955965880293</v>
      </c>
      <c r="J875" s="306">
        <f t="shared" ca="1" si="391"/>
        <v>719.75352944219526</v>
      </c>
      <c r="K875" s="307">
        <f t="shared" ca="1" si="392"/>
        <v>1464.7563751377268</v>
      </c>
      <c r="L875" s="304">
        <f t="shared" ca="1" si="377"/>
        <v>1632.0405575999359</v>
      </c>
      <c r="M875" s="306">
        <f t="shared" ca="1" si="393"/>
        <v>-1.5096000609037861</v>
      </c>
      <c r="N875" s="304">
        <f t="shared" ca="1" si="394"/>
        <v>-86.493712242478978</v>
      </c>
      <c r="P875" s="310">
        <f t="shared" ca="1" si="395"/>
        <v>23</v>
      </c>
      <c r="Q875" s="304">
        <f t="shared" ca="1" si="396"/>
        <v>0</v>
      </c>
      <c r="R875" s="306">
        <f t="shared" ca="1" si="397"/>
        <v>0</v>
      </c>
      <c r="S875" s="307">
        <f t="shared" ca="1" si="398"/>
        <v>6.4679999999999849</v>
      </c>
      <c r="T875" s="304">
        <f t="shared" ca="1" si="378"/>
        <v>63.451079999999855</v>
      </c>
      <c r="U875" s="311">
        <f t="shared" ca="1" si="379"/>
        <v>0</v>
      </c>
      <c r="V875" s="306">
        <f t="shared" ca="1" si="380"/>
        <v>1.0578118401919478</v>
      </c>
      <c r="W875" s="304">
        <f t="shared" ca="1" si="381"/>
        <v>49.24752197706249</v>
      </c>
      <c r="Y875" s="314" t="str">
        <f t="shared" ca="1" si="399"/>
        <v/>
      </c>
      <c r="Z875" s="315" t="str">
        <f t="shared" ca="1" si="400"/>
        <v/>
      </c>
      <c r="AA875" s="316" t="str">
        <f t="shared" ca="1" si="401"/>
        <v/>
      </c>
      <c r="AC875" s="310" t="e">
        <f t="shared" ca="1" si="402"/>
        <v>#N/A</v>
      </c>
      <c r="AD875" s="323" t="e">
        <f t="shared" ca="1" si="403"/>
        <v>#N/A</v>
      </c>
      <c r="AE875" s="324" t="e">
        <f t="shared" ca="1" si="382"/>
        <v>#N/A</v>
      </c>
      <c r="AG875" s="306">
        <f t="shared" ca="1" si="404"/>
        <v>2.2130293023235845</v>
      </c>
      <c r="AH875" s="304">
        <f t="shared" ca="1" si="405"/>
        <v>-7.5783288435349787</v>
      </c>
    </row>
    <row r="876" spans="1:34" x14ac:dyDescent="0.2">
      <c r="A876" s="347">
        <f t="shared" ca="1" si="383"/>
        <v>0.1</v>
      </c>
      <c r="B876" s="304">
        <f t="shared" ca="1" si="384"/>
        <v>42.200000000000266</v>
      </c>
      <c r="D876" s="306">
        <f t="shared" ca="1" si="385"/>
        <v>-0.46565920204629929</v>
      </c>
      <c r="E876" s="307">
        <f t="shared" ca="1" si="386"/>
        <v>-2.2102264707805457</v>
      </c>
      <c r="F876" s="304">
        <f t="shared" ca="1" si="387"/>
        <v>2.2587473396972539</v>
      </c>
      <c r="G876" s="306">
        <f t="shared" ca="1" si="388"/>
        <v>7.9492140771618987</v>
      </c>
      <c r="H876" s="307">
        <f t="shared" ca="1" si="389"/>
        <v>-130.71584998521971</v>
      </c>
      <c r="I876" s="304">
        <f t="shared" ca="1" si="390"/>
        <v>130.95733443302444</v>
      </c>
      <c r="J876" s="306">
        <f t="shared" ca="1" si="391"/>
        <v>720.55077914592164</v>
      </c>
      <c r="K876" s="307">
        <f t="shared" ca="1" si="392"/>
        <v>1451.6958412715587</v>
      </c>
      <c r="L876" s="304">
        <f t="shared" ca="1" si="377"/>
        <v>1620.6832635937637</v>
      </c>
      <c r="M876" s="306">
        <f t="shared" ca="1" si="393"/>
        <v>-1.5100581954210419</v>
      </c>
      <c r="N876" s="304">
        <f t="shared" ca="1" si="394"/>
        <v>-86.519961416766989</v>
      </c>
      <c r="P876" s="310">
        <f t="shared" ca="1" si="395"/>
        <v>23</v>
      </c>
      <c r="Q876" s="304">
        <f t="shared" ca="1" si="396"/>
        <v>0</v>
      </c>
      <c r="R876" s="306">
        <f t="shared" ca="1" si="397"/>
        <v>0</v>
      </c>
      <c r="S876" s="307">
        <f t="shared" ca="1" si="398"/>
        <v>6.4679999999999849</v>
      </c>
      <c r="T876" s="304">
        <f t="shared" ca="1" si="378"/>
        <v>63.451079999999855</v>
      </c>
      <c r="U876" s="311">
        <f t="shared" ca="1" si="379"/>
        <v>0</v>
      </c>
      <c r="V876" s="306">
        <f t="shared" ca="1" si="380"/>
        <v>1.059201694941406</v>
      </c>
      <c r="W876" s="304">
        <f t="shared" ca="1" si="381"/>
        <v>49.476645103514855</v>
      </c>
      <c r="Y876" s="314" t="str">
        <f t="shared" ca="1" si="399"/>
        <v/>
      </c>
      <c r="Z876" s="315" t="str">
        <f t="shared" ca="1" si="400"/>
        <v/>
      </c>
      <c r="AA876" s="316" t="str">
        <f t="shared" ca="1" si="401"/>
        <v/>
      </c>
      <c r="AC876" s="310" t="e">
        <f t="shared" ca="1" si="402"/>
        <v>#N/A</v>
      </c>
      <c r="AD876" s="323" t="e">
        <f t="shared" ca="1" si="403"/>
        <v>#N/A</v>
      </c>
      <c r="AE876" s="324" t="e">
        <f t="shared" ca="1" si="382"/>
        <v>#N/A</v>
      </c>
      <c r="AG876" s="306">
        <f t="shared" ca="1" si="404"/>
        <v>2.1776103108529687</v>
      </c>
      <c r="AH876" s="304">
        <f t="shared" ca="1" si="405"/>
        <v>-7.6140262796942801</v>
      </c>
    </row>
    <row r="877" spans="1:34" x14ac:dyDescent="0.2">
      <c r="A877" s="347">
        <f t="shared" ca="1" si="383"/>
        <v>0.1</v>
      </c>
      <c r="B877" s="304">
        <f t="shared" ca="1" si="384"/>
        <v>42.300000000000267</v>
      </c>
      <c r="D877" s="306">
        <f t="shared" ca="1" si="385"/>
        <v>-0.46432770613913926</v>
      </c>
      <c r="E877" s="307">
        <f t="shared" ca="1" si="386"/>
        <v>-2.1746551482313716</v>
      </c>
      <c r="F877" s="304">
        <f t="shared" ca="1" si="387"/>
        <v>2.2236738143031776</v>
      </c>
      <c r="G877" s="306">
        <f t="shared" ca="1" si="388"/>
        <v>7.9027813065479844</v>
      </c>
      <c r="H877" s="307">
        <f t="shared" ca="1" si="389"/>
        <v>-130.93331550004285</v>
      </c>
      <c r="I877" s="304">
        <f t="shared" ca="1" si="390"/>
        <v>131.17159395316079</v>
      </c>
      <c r="J877" s="306">
        <f t="shared" ca="1" si="391"/>
        <v>721.34337891510711</v>
      </c>
      <c r="K877" s="307">
        <f t="shared" ca="1" si="392"/>
        <v>1438.6133829972955</v>
      </c>
      <c r="L877" s="304">
        <f t="shared" ca="1" si="377"/>
        <v>1609.3305241756857</v>
      </c>
      <c r="M877" s="306">
        <f t="shared" ca="1" si="393"/>
        <v>-1.5105121616982884</v>
      </c>
      <c r="N877" s="304">
        <f t="shared" ca="1" si="394"/>
        <v>-86.545971768494482</v>
      </c>
      <c r="P877" s="310">
        <f t="shared" ca="1" si="395"/>
        <v>23</v>
      </c>
      <c r="Q877" s="304">
        <f t="shared" ca="1" si="396"/>
        <v>0</v>
      </c>
      <c r="R877" s="306">
        <f t="shared" ca="1" si="397"/>
        <v>0</v>
      </c>
      <c r="S877" s="307">
        <f t="shared" ca="1" si="398"/>
        <v>6.4679999999999849</v>
      </c>
      <c r="T877" s="304">
        <f t="shared" ca="1" si="378"/>
        <v>63.451079999999855</v>
      </c>
      <c r="U877" s="311">
        <f t="shared" ca="1" si="379"/>
        <v>0</v>
      </c>
      <c r="V877" s="306">
        <f t="shared" ca="1" si="380"/>
        <v>1.0605955804894223</v>
      </c>
      <c r="W877" s="304">
        <f t="shared" ca="1" si="381"/>
        <v>49.703998569667569</v>
      </c>
      <c r="Y877" s="314" t="str">
        <f t="shared" ca="1" si="399"/>
        <v/>
      </c>
      <c r="Z877" s="315" t="str">
        <f t="shared" ca="1" si="400"/>
        <v/>
      </c>
      <c r="AA877" s="316" t="str">
        <f t="shared" ca="1" si="401"/>
        <v/>
      </c>
      <c r="AC877" s="310" t="e">
        <f t="shared" ca="1" si="402"/>
        <v>#N/A</v>
      </c>
      <c r="AD877" s="323" t="e">
        <f t="shared" ca="1" si="403"/>
        <v>#N/A</v>
      </c>
      <c r="AE877" s="324" t="e">
        <f t="shared" ca="1" si="382"/>
        <v>#N/A</v>
      </c>
      <c r="AG877" s="306">
        <f t="shared" ca="1" si="404"/>
        <v>2.1424600386260337</v>
      </c>
      <c r="AH877" s="304">
        <f t="shared" ca="1" si="405"/>
        <v>-7.6494503870616839</v>
      </c>
    </row>
    <row r="878" spans="1:34" x14ac:dyDescent="0.2">
      <c r="A878" s="347">
        <f t="shared" ca="1" si="383"/>
        <v>0.1</v>
      </c>
      <c r="B878" s="304">
        <f t="shared" ca="1" si="384"/>
        <v>42.400000000000269</v>
      </c>
      <c r="D878" s="306">
        <f t="shared" ca="1" si="385"/>
        <v>-0.46297920493002326</v>
      </c>
      <c r="E878" s="307">
        <f t="shared" ca="1" si="386"/>
        <v>-2.1393584932137157</v>
      </c>
      <c r="F878" s="304">
        <f t="shared" ca="1" si="387"/>
        <v>2.188882022102447</v>
      </c>
      <c r="G878" s="306">
        <f t="shared" ca="1" si="388"/>
        <v>7.8564833860549816</v>
      </c>
      <c r="H878" s="307">
        <f t="shared" ca="1" si="389"/>
        <v>-131.14725134936421</v>
      </c>
      <c r="I878" s="304">
        <f t="shared" ca="1" si="390"/>
        <v>131.38236513203995</v>
      </c>
      <c r="J878" s="306">
        <f t="shared" ca="1" si="391"/>
        <v>722.13134214973729</v>
      </c>
      <c r="K878" s="307">
        <f t="shared" ca="1" si="392"/>
        <v>1425.5093546548251</v>
      </c>
      <c r="L878" s="304">
        <f t="shared" ca="1" si="377"/>
        <v>1597.9832901264633</v>
      </c>
      <c r="M878" s="306">
        <f t="shared" ca="1" si="393"/>
        <v>-1.5109620162449253</v>
      </c>
      <c r="N878" s="304">
        <f t="shared" ca="1" si="394"/>
        <v>-86.571746535411549</v>
      </c>
      <c r="P878" s="310">
        <f t="shared" ca="1" si="395"/>
        <v>23</v>
      </c>
      <c r="Q878" s="304">
        <f t="shared" ca="1" si="396"/>
        <v>0</v>
      </c>
      <c r="R878" s="306">
        <f t="shared" ca="1" si="397"/>
        <v>0</v>
      </c>
      <c r="S878" s="307">
        <f t="shared" ca="1" si="398"/>
        <v>6.4679999999999849</v>
      </c>
      <c r="T878" s="304">
        <f t="shared" ca="1" si="378"/>
        <v>63.451079999999855</v>
      </c>
      <c r="U878" s="311">
        <f t="shared" ca="1" si="379"/>
        <v>0</v>
      </c>
      <c r="V878" s="306">
        <f t="shared" ca="1" si="380"/>
        <v>1.0619934706758536</v>
      </c>
      <c r="W878" s="304">
        <f t="shared" ca="1" si="381"/>
        <v>49.929580955849673</v>
      </c>
      <c r="Y878" s="314" t="str">
        <f t="shared" ca="1" si="399"/>
        <v/>
      </c>
      <c r="Z878" s="315" t="str">
        <f t="shared" ca="1" si="400"/>
        <v/>
      </c>
      <c r="AA878" s="316" t="str">
        <f t="shared" ca="1" si="401"/>
        <v/>
      </c>
      <c r="AC878" s="310" t="e">
        <f t="shared" ca="1" si="402"/>
        <v>#N/A</v>
      </c>
      <c r="AD878" s="323" t="e">
        <f t="shared" ca="1" si="403"/>
        <v>#N/A</v>
      </c>
      <c r="AE878" s="324" t="e">
        <f t="shared" ca="1" si="382"/>
        <v>#N/A</v>
      </c>
      <c r="AG878" s="306">
        <f t="shared" ca="1" si="404"/>
        <v>2.1075788501306452</v>
      </c>
      <c r="AH878" s="304">
        <f t="shared" ca="1" si="405"/>
        <v>-7.6846008920327282</v>
      </c>
    </row>
    <row r="879" spans="1:34" x14ac:dyDescent="0.2">
      <c r="A879" s="347">
        <f t="shared" ca="1" si="383"/>
        <v>0.1</v>
      </c>
      <c r="B879" s="304">
        <f t="shared" ca="1" si="384"/>
        <v>42.50000000000027</v>
      </c>
      <c r="D879" s="306">
        <f t="shared" ca="1" si="385"/>
        <v>-0.46161406256441367</v>
      </c>
      <c r="E879" s="307">
        <f t="shared" ca="1" si="386"/>
        <v>-2.1043367261500201</v>
      </c>
      <c r="F879" s="304">
        <f t="shared" ca="1" si="387"/>
        <v>2.154372437574573</v>
      </c>
      <c r="G879" s="306">
        <f t="shared" ca="1" si="388"/>
        <v>7.8103219797985401</v>
      </c>
      <c r="H879" s="307">
        <f t="shared" ca="1" si="389"/>
        <v>-131.35768502197922</v>
      </c>
      <c r="I879" s="304">
        <f t="shared" ca="1" si="390"/>
        <v>131.5896749131999</v>
      </c>
      <c r="J879" s="306">
        <f t="shared" ca="1" si="391"/>
        <v>722.91468241803</v>
      </c>
      <c r="K879" s="307">
        <f t="shared" ca="1" si="392"/>
        <v>1412.384107836258</v>
      </c>
      <c r="L879" s="304">
        <f t="shared" ca="1" si="377"/>
        <v>1586.6425262559881</v>
      </c>
      <c r="M879" s="306">
        <f t="shared" ca="1" si="393"/>
        <v>-1.5114078144632699</v>
      </c>
      <c r="N879" s="304">
        <f t="shared" ca="1" si="394"/>
        <v>-86.597288891837152</v>
      </c>
      <c r="P879" s="310">
        <f t="shared" ca="1" si="395"/>
        <v>23</v>
      </c>
      <c r="Q879" s="304">
        <f t="shared" ca="1" si="396"/>
        <v>0</v>
      </c>
      <c r="R879" s="306">
        <f t="shared" ca="1" si="397"/>
        <v>0</v>
      </c>
      <c r="S879" s="307">
        <f t="shared" ca="1" si="398"/>
        <v>6.4679999999999849</v>
      </c>
      <c r="T879" s="304">
        <f t="shared" ca="1" si="378"/>
        <v>63.451079999999855</v>
      </c>
      <c r="U879" s="311">
        <f t="shared" ca="1" si="379"/>
        <v>0</v>
      </c>
      <c r="V879" s="306">
        <f t="shared" ca="1" si="380"/>
        <v>1.0633953395020384</v>
      </c>
      <c r="W879" s="304">
        <f t="shared" ca="1" si="381"/>
        <v>50.153391186364253</v>
      </c>
      <c r="Y879" s="314" t="str">
        <f t="shared" ca="1" si="399"/>
        <v/>
      </c>
      <c r="Z879" s="315" t="str">
        <f t="shared" ca="1" si="400"/>
        <v/>
      </c>
      <c r="AA879" s="316" t="str">
        <f t="shared" ca="1" si="401"/>
        <v/>
      </c>
      <c r="AC879" s="310" t="e">
        <f t="shared" ca="1" si="402"/>
        <v>#N/A</v>
      </c>
      <c r="AD879" s="323" t="e">
        <f t="shared" ca="1" si="403"/>
        <v>#N/A</v>
      </c>
      <c r="AE879" s="324" t="e">
        <f t="shared" ca="1" si="382"/>
        <v>#N/A</v>
      </c>
      <c r="AG879" s="306">
        <f t="shared" ca="1" si="404"/>
        <v>2.0729670535392932</v>
      </c>
      <c r="AH879" s="304">
        <f t="shared" ca="1" si="405"/>
        <v>-7.7194775751159233</v>
      </c>
    </row>
    <row r="880" spans="1:34" x14ac:dyDescent="0.2">
      <c r="A880" s="347">
        <f t="shared" ca="1" si="383"/>
        <v>0.1</v>
      </c>
      <c r="B880" s="304">
        <f t="shared" ca="1" si="384"/>
        <v>42.600000000000271</v>
      </c>
      <c r="D880" s="306">
        <f t="shared" ca="1" si="385"/>
        <v>-0.4602326406373205</v>
      </c>
      <c r="E880" s="307">
        <f t="shared" ca="1" si="386"/>
        <v>-2.0695900140815713</v>
      </c>
      <c r="F880" s="304">
        <f t="shared" ca="1" si="387"/>
        <v>2.1201454926240699</v>
      </c>
      <c r="G880" s="306">
        <f t="shared" ca="1" si="388"/>
        <v>7.7642987157348085</v>
      </c>
      <c r="H880" s="307">
        <f t="shared" ca="1" si="389"/>
        <v>-131.56464402338739</v>
      </c>
      <c r="I880" s="304">
        <f t="shared" ca="1" si="390"/>
        <v>131.79355026535936</v>
      </c>
      <c r="J880" s="306">
        <f t="shared" ca="1" si="391"/>
        <v>723.69341345280668</v>
      </c>
      <c r="K880" s="307">
        <f t="shared" ca="1" si="392"/>
        <v>1399.2379913839895</v>
      </c>
      <c r="L880" s="304">
        <f t="shared" ca="1" si="377"/>
        <v>1575.3092119350017</v>
      </c>
      <c r="M880" s="306">
        <f t="shared" ca="1" si="393"/>
        <v>-1.511849610675688</v>
      </c>
      <c r="N880" s="304">
        <f t="shared" ca="1" si="394"/>
        <v>-86.622601950213564</v>
      </c>
      <c r="P880" s="310">
        <f t="shared" ca="1" si="395"/>
        <v>23</v>
      </c>
      <c r="Q880" s="304">
        <f t="shared" ca="1" si="396"/>
        <v>0</v>
      </c>
      <c r="R880" s="306">
        <f t="shared" ca="1" si="397"/>
        <v>0</v>
      </c>
      <c r="S880" s="307">
        <f t="shared" ca="1" si="398"/>
        <v>6.4679999999999849</v>
      </c>
      <c r="T880" s="304">
        <f t="shared" ca="1" si="378"/>
        <v>63.451079999999855</v>
      </c>
      <c r="U880" s="311">
        <f t="shared" ca="1" si="379"/>
        <v>0</v>
      </c>
      <c r="V880" s="306">
        <f t="shared" ca="1" si="380"/>
        <v>1.0648011611314829</v>
      </c>
      <c r="W880" s="304">
        <f t="shared" ca="1" si="381"/>
        <v>50.375428523461999</v>
      </c>
      <c r="Y880" s="314" t="str">
        <f t="shared" ca="1" si="399"/>
        <v/>
      </c>
      <c r="Z880" s="315" t="str">
        <f t="shared" ca="1" si="400"/>
        <v/>
      </c>
      <c r="AA880" s="316" t="str">
        <f t="shared" ca="1" si="401"/>
        <v/>
      </c>
      <c r="AC880" s="310" t="e">
        <f t="shared" ca="1" si="402"/>
        <v>#N/A</v>
      </c>
      <c r="AD880" s="323" t="e">
        <f t="shared" ca="1" si="403"/>
        <v>#N/A</v>
      </c>
      <c r="AE880" s="324" t="e">
        <f t="shared" ca="1" si="382"/>
        <v>#N/A</v>
      </c>
      <c r="AG880" s="306">
        <f t="shared" ca="1" si="404"/>
        <v>2.0386249017054192</v>
      </c>
      <c r="AH880" s="304">
        <f t="shared" ca="1" si="405"/>
        <v>-7.7540802700006752</v>
      </c>
    </row>
    <row r="881" spans="1:34" x14ac:dyDescent="0.2">
      <c r="A881" s="347">
        <f t="shared" ca="1" si="383"/>
        <v>0.1</v>
      </c>
      <c r="B881" s="304">
        <f t="shared" ca="1" si="384"/>
        <v>42.700000000000273</v>
      </c>
      <c r="D881" s="306">
        <f t="shared" ca="1" si="385"/>
        <v>-0.45883529814581164</v>
      </c>
      <c r="E881" s="307">
        <f t="shared" ca="1" si="386"/>
        <v>-2.0351184716035844</v>
      </c>
      <c r="F881" s="304">
        <f t="shared" ca="1" si="387"/>
        <v>2.0862015780567957</v>
      </c>
      <c r="G881" s="306">
        <f t="shared" ca="1" si="388"/>
        <v>7.718415185920227</v>
      </c>
      <c r="H881" s="307">
        <f t="shared" ca="1" si="389"/>
        <v>-131.76815587054776</v>
      </c>
      <c r="I881" s="304">
        <f t="shared" ca="1" si="390"/>
        <v>131.99401817698865</v>
      </c>
      <c r="J881" s="306">
        <f t="shared" ca="1" si="391"/>
        <v>724.46754914788949</v>
      </c>
      <c r="K881" s="307">
        <f t="shared" ca="1" si="392"/>
        <v>1386.0713513892929</v>
      </c>
      <c r="L881" s="304">
        <f t="shared" ca="1" si="377"/>
        <v>1563.9843416449189</v>
      </c>
      <c r="M881" s="306">
        <f t="shared" ca="1" si="393"/>
        <v>-1.5122874581509396</v>
      </c>
      <c r="N881" s="304">
        <f t="shared" ca="1" si="394"/>
        <v>-86.647688762615942</v>
      </c>
      <c r="P881" s="310">
        <f t="shared" ca="1" si="395"/>
        <v>23</v>
      </c>
      <c r="Q881" s="304">
        <f t="shared" ca="1" si="396"/>
        <v>0</v>
      </c>
      <c r="R881" s="306">
        <f t="shared" ca="1" si="397"/>
        <v>0</v>
      </c>
      <c r="S881" s="307">
        <f t="shared" ca="1" si="398"/>
        <v>6.4679999999999849</v>
      </c>
      <c r="T881" s="304">
        <f t="shared" ca="1" si="378"/>
        <v>63.451079999999855</v>
      </c>
      <c r="U881" s="311">
        <f t="shared" ca="1" si="379"/>
        <v>0</v>
      </c>
      <c r="V881" s="306">
        <f t="shared" ca="1" si="380"/>
        <v>1.0662109098905088</v>
      </c>
      <c r="W881" s="304">
        <f t="shared" ca="1" si="381"/>
        <v>50.595692561320831</v>
      </c>
      <c r="Y881" s="314" t="str">
        <f t="shared" ca="1" si="399"/>
        <v/>
      </c>
      <c r="Z881" s="315" t="str">
        <f t="shared" ca="1" si="400"/>
        <v/>
      </c>
      <c r="AA881" s="316" t="str">
        <f t="shared" ca="1" si="401"/>
        <v/>
      </c>
      <c r="AC881" s="310" t="e">
        <f t="shared" ca="1" si="402"/>
        <v>#N/A</v>
      </c>
      <c r="AD881" s="323" t="e">
        <f t="shared" ca="1" si="403"/>
        <v>#N/A</v>
      </c>
      <c r="AE881" s="324" t="e">
        <f t="shared" ca="1" si="382"/>
        <v>#N/A</v>
      </c>
      <c r="AG881" s="306">
        <f t="shared" ca="1" si="404"/>
        <v>2.0045525931571895</v>
      </c>
      <c r="AH881" s="304">
        <f t="shared" ca="1" si="405"/>
        <v>-7.788408862625559</v>
      </c>
    </row>
    <row r="882" spans="1:34" x14ac:dyDescent="0.2">
      <c r="A882" s="347">
        <f t="shared" ca="1" si="383"/>
        <v>0.1</v>
      </c>
      <c r="B882" s="304">
        <f t="shared" ca="1" si="384"/>
        <v>42.800000000000274</v>
      </c>
      <c r="D882" s="306">
        <f t="shared" ca="1" si="385"/>
        <v>-0.45742239144346175</v>
      </c>
      <c r="E882" s="307">
        <f t="shared" ca="1" si="386"/>
        <v>-2.000922161799374</v>
      </c>
      <c r="F882" s="304">
        <f t="shared" ca="1" si="387"/>
        <v>2.0525410450886814</v>
      </c>
      <c r="G882" s="306">
        <f t="shared" ca="1" si="388"/>
        <v>7.6726729467758812</v>
      </c>
      <c r="H882" s="307">
        <f t="shared" ca="1" si="389"/>
        <v>-131.9682480867277</v>
      </c>
      <c r="I882" s="304">
        <f t="shared" ca="1" si="390"/>
        <v>132.19110565097901</v>
      </c>
      <c r="J882" s="306">
        <f t="shared" ca="1" si="391"/>
        <v>725.23710355452431</v>
      </c>
      <c r="K882" s="307">
        <f t="shared" ca="1" si="392"/>
        <v>1372.884531191429</v>
      </c>
      <c r="L882" s="304">
        <f t="shared" ca="1" si="377"/>
        <v>1552.668925546224</v>
      </c>
      <c r="M882" s="306">
        <f t="shared" ca="1" si="393"/>
        <v>-1.5127214091297705</v>
      </c>
      <c r="N882" s="304">
        <f t="shared" ca="1" si="394"/>
        <v>-86.672552322218522</v>
      </c>
      <c r="P882" s="310">
        <f t="shared" ca="1" si="395"/>
        <v>23</v>
      </c>
      <c r="Q882" s="304">
        <f t="shared" ca="1" si="396"/>
        <v>0</v>
      </c>
      <c r="R882" s="306">
        <f t="shared" ca="1" si="397"/>
        <v>0</v>
      </c>
      <c r="S882" s="307">
        <f t="shared" ca="1" si="398"/>
        <v>6.4679999999999849</v>
      </c>
      <c r="T882" s="304">
        <f t="shared" ca="1" si="378"/>
        <v>63.451079999999855</v>
      </c>
      <c r="U882" s="311">
        <f t="shared" ca="1" si="379"/>
        <v>0</v>
      </c>
      <c r="V882" s="306">
        <f t="shared" ca="1" si="380"/>
        <v>1.0676245602688661</v>
      </c>
      <c r="W882" s="304">
        <f t="shared" ca="1" si="381"/>
        <v>50.814183220033151</v>
      </c>
      <c r="Y882" s="314" t="str">
        <f t="shared" ca="1" si="399"/>
        <v/>
      </c>
      <c r="Z882" s="315" t="str">
        <f t="shared" ca="1" si="400"/>
        <v/>
      </c>
      <c r="AA882" s="316" t="str">
        <f t="shared" ca="1" si="401"/>
        <v/>
      </c>
      <c r="AC882" s="310" t="e">
        <f t="shared" ca="1" si="402"/>
        <v>#N/A</v>
      </c>
      <c r="AD882" s="323" t="e">
        <f t="shared" ca="1" si="403"/>
        <v>#N/A</v>
      </c>
      <c r="AE882" s="324" t="e">
        <f t="shared" ca="1" si="382"/>
        <v>#N/A</v>
      </c>
      <c r="AG882" s="306">
        <f t="shared" ca="1" si="404"/>
        <v>1.9707502730882522</v>
      </c>
      <c r="AH882" s="304">
        <f t="shared" ca="1" si="405"/>
        <v>-7.8224632902475184</v>
      </c>
    </row>
    <row r="883" spans="1:34" x14ac:dyDescent="0.2">
      <c r="A883" s="347">
        <f t="shared" ca="1" si="383"/>
        <v>0.1</v>
      </c>
      <c r="B883" s="304">
        <f t="shared" ca="1" si="384"/>
        <v>42.900000000000276</v>
      </c>
      <c r="D883" s="306">
        <f t="shared" ca="1" si="385"/>
        <v>-0.45599427419665156</v>
      </c>
      <c r="E883" s="307">
        <f t="shared" ca="1" si="386"/>
        <v>-1.9670010971733269</v>
      </c>
      <c r="F883" s="304">
        <f t="shared" ca="1" si="387"/>
        <v>2.0191642068888807</v>
      </c>
      <c r="G883" s="306">
        <f t="shared" ca="1" si="388"/>
        <v>7.627073519356216</v>
      </c>
      <c r="H883" s="307">
        <f t="shared" ca="1" si="389"/>
        <v>-132.16494819644504</v>
      </c>
      <c r="I883" s="304">
        <f t="shared" ca="1" si="390"/>
        <v>132.38483969941069</v>
      </c>
      <c r="J883" s="306">
        <f t="shared" ca="1" si="391"/>
        <v>726.00209087783094</v>
      </c>
      <c r="K883" s="307">
        <f t="shared" ca="1" si="392"/>
        <v>1359.6778713772703</v>
      </c>
      <c r="L883" s="304">
        <f t="shared" ca="1" si="377"/>
        <v>1541.3639900659439</v>
      </c>
      <c r="M883" s="306">
        <f t="shared" ca="1" si="393"/>
        <v>-1.5131515148497705</v>
      </c>
      <c r="N883" s="304">
        <f t="shared" ca="1" si="394"/>
        <v>-86.697195564718967</v>
      </c>
      <c r="P883" s="310">
        <f t="shared" ca="1" si="395"/>
        <v>23</v>
      </c>
      <c r="Q883" s="304">
        <f t="shared" ca="1" si="396"/>
        <v>0</v>
      </c>
      <c r="R883" s="306">
        <f t="shared" ca="1" si="397"/>
        <v>0</v>
      </c>
      <c r="S883" s="307">
        <f t="shared" ca="1" si="398"/>
        <v>6.4679999999999849</v>
      </c>
      <c r="T883" s="304">
        <f t="shared" ca="1" si="378"/>
        <v>63.451079999999855</v>
      </c>
      <c r="U883" s="311">
        <f t="shared" ca="1" si="379"/>
        <v>0</v>
      </c>
      <c r="V883" s="306">
        <f t="shared" ca="1" si="380"/>
        <v>1.0690420869203159</v>
      </c>
      <c r="W883" s="304">
        <f t="shared" ca="1" si="381"/>
        <v>51.030900739603943</v>
      </c>
      <c r="Y883" s="314" t="str">
        <f t="shared" ca="1" si="399"/>
        <v/>
      </c>
      <c r="Z883" s="315" t="str">
        <f t="shared" ca="1" si="400"/>
        <v/>
      </c>
      <c r="AA883" s="316" t="str">
        <f t="shared" ca="1" si="401"/>
        <v/>
      </c>
      <c r="AC883" s="310" t="e">
        <f t="shared" ca="1" si="402"/>
        <v>#N/A</v>
      </c>
      <c r="AD883" s="323" t="e">
        <f t="shared" ca="1" si="403"/>
        <v>#N/A</v>
      </c>
      <c r="AE883" s="324" t="e">
        <f t="shared" ca="1" si="382"/>
        <v>#N/A</v>
      </c>
      <c r="AG883" s="306">
        <f t="shared" ca="1" si="404"/>
        <v>1.9372180343453023</v>
      </c>
      <c r="AH883" s="304">
        <f t="shared" ca="1" si="405"/>
        <v>-7.8562435405122555</v>
      </c>
    </row>
    <row r="884" spans="1:34" x14ac:dyDescent="0.2">
      <c r="A884" s="347">
        <f t="shared" ca="1" si="383"/>
        <v>0.1</v>
      </c>
      <c r="B884" s="304">
        <f t="shared" ca="1" si="384"/>
        <v>43.000000000000277</v>
      </c>
      <c r="D884" s="306">
        <f t="shared" ca="1" si="385"/>
        <v>-0.45455129734275013</v>
      </c>
      <c r="E884" s="307">
        <f t="shared" ca="1" si="386"/>
        <v>-1.9333552405822081</v>
      </c>
      <c r="F884" s="304">
        <f t="shared" ca="1" si="387"/>
        <v>1.9860713401594277</v>
      </c>
      <c r="G884" s="306">
        <f t="shared" ca="1" si="388"/>
        <v>7.5816183896219407</v>
      </c>
      <c r="H884" s="307">
        <f t="shared" ca="1" si="389"/>
        <v>-132.35828372050327</v>
      </c>
      <c r="I884" s="304">
        <f t="shared" ca="1" si="390"/>
        <v>132.57524733841944</v>
      </c>
      <c r="J884" s="306">
        <f t="shared" ca="1" si="391"/>
        <v>726.76252547327988</v>
      </c>
      <c r="K884" s="307">
        <f t="shared" ca="1" si="392"/>
        <v>1346.451709781423</v>
      </c>
      <c r="L884" s="304">
        <f t="shared" ca="1" si="377"/>
        <v>1530.0705785046705</v>
      </c>
      <c r="M884" s="306">
        <f t="shared" ca="1" si="393"/>
        <v>-1.5135778255695258</v>
      </c>
      <c r="N884" s="304">
        <f t="shared" ca="1" si="394"/>
        <v>-86.721621369722129</v>
      </c>
      <c r="P884" s="310">
        <f t="shared" ca="1" si="395"/>
        <v>23</v>
      </c>
      <c r="Q884" s="304">
        <f t="shared" ca="1" si="396"/>
        <v>0</v>
      </c>
      <c r="R884" s="306">
        <f t="shared" ca="1" si="397"/>
        <v>0</v>
      </c>
      <c r="S884" s="307">
        <f t="shared" ca="1" si="398"/>
        <v>6.4679999999999849</v>
      </c>
      <c r="T884" s="304">
        <f t="shared" ca="1" si="378"/>
        <v>63.451079999999855</v>
      </c>
      <c r="U884" s="311">
        <f t="shared" ca="1" si="379"/>
        <v>0</v>
      </c>
      <c r="V884" s="306">
        <f t="shared" ca="1" si="380"/>
        <v>1.0704634646631741</v>
      </c>
      <c r="W884" s="304">
        <f t="shared" ca="1" si="381"/>
        <v>51.245845673962101</v>
      </c>
      <c r="Y884" s="314" t="str">
        <f t="shared" ca="1" si="399"/>
        <v/>
      </c>
      <c r="Z884" s="315" t="str">
        <f t="shared" ca="1" si="400"/>
        <v/>
      </c>
      <c r="AA884" s="316" t="str">
        <f t="shared" ca="1" si="401"/>
        <v/>
      </c>
      <c r="AC884" s="310">
        <f t="shared" ca="1" si="402"/>
        <v>43.000000000000277</v>
      </c>
      <c r="AD884" s="323">
        <f t="shared" ca="1" si="403"/>
        <v>726.76252547327988</v>
      </c>
      <c r="AE884" s="324" t="e">
        <f t="shared" ca="1" si="382"/>
        <v>#N/A</v>
      </c>
      <c r="AG884" s="306">
        <f t="shared" ca="1" si="404"/>
        <v>1.9039559184120325</v>
      </c>
      <c r="AH884" s="304">
        <f t="shared" ca="1" si="405"/>
        <v>-7.8897496505262925</v>
      </c>
    </row>
    <row r="885" spans="1:34" x14ac:dyDescent="0.2">
      <c r="A885" s="347">
        <f t="shared" ca="1" si="383"/>
        <v>0.1</v>
      </c>
      <c r="B885" s="304">
        <f t="shared" ca="1" si="384"/>
        <v>43.100000000000279</v>
      </c>
      <c r="D885" s="306">
        <f t="shared" ca="1" si="385"/>
        <v>-0.45309380905011315</v>
      </c>
      <c r="E885" s="307">
        <f t="shared" ca="1" si="386"/>
        <v>-1.8999845061644161</v>
      </c>
      <c r="F885" s="304">
        <f t="shared" ca="1" si="387"/>
        <v>1.9532626867537248</v>
      </c>
      <c r="G885" s="306">
        <f t="shared" ca="1" si="388"/>
        <v>7.5363090087169295</v>
      </c>
      <c r="H885" s="307">
        <f t="shared" ca="1" si="389"/>
        <v>-132.54828217111969</v>
      </c>
      <c r="I885" s="304">
        <f t="shared" ca="1" si="390"/>
        <v>132.76235558316085</v>
      </c>
      <c r="J885" s="306">
        <f t="shared" ca="1" si="391"/>
        <v>727.51842184319685</v>
      </c>
      <c r="K885" s="307">
        <f t="shared" ca="1" si="392"/>
        <v>1333.2063814868418</v>
      </c>
      <c r="L885" s="304">
        <f t="shared" ca="1" si="377"/>
        <v>1518.7897516636244</v>
      </c>
      <c r="M885" s="306">
        <f t="shared" ca="1" si="393"/>
        <v>-1.5140003905920849</v>
      </c>
      <c r="N885" s="304">
        <f t="shared" ca="1" si="394"/>
        <v>-86.745832562084615</v>
      </c>
      <c r="P885" s="310">
        <f t="shared" ca="1" si="395"/>
        <v>23</v>
      </c>
      <c r="Q885" s="304">
        <f t="shared" ca="1" si="396"/>
        <v>0</v>
      </c>
      <c r="R885" s="306">
        <f t="shared" ca="1" si="397"/>
        <v>0</v>
      </c>
      <c r="S885" s="307">
        <f t="shared" ca="1" si="398"/>
        <v>6.4679999999999849</v>
      </c>
      <c r="T885" s="304">
        <f t="shared" ca="1" si="378"/>
        <v>63.451079999999855</v>
      </c>
      <c r="U885" s="311">
        <f t="shared" ca="1" si="379"/>
        <v>0</v>
      </c>
      <c r="V885" s="306">
        <f t="shared" ca="1" si="380"/>
        <v>1.0718886684808275</v>
      </c>
      <c r="W885" s="304">
        <f t="shared" ca="1" si="381"/>
        <v>51.459018884987259</v>
      </c>
      <c r="Y885" s="314" t="str">
        <f t="shared" ca="1" si="399"/>
        <v/>
      </c>
      <c r="Z885" s="315" t="str">
        <f t="shared" ca="1" si="400"/>
        <v/>
      </c>
      <c r="AA885" s="316" t="str">
        <f t="shared" ca="1" si="401"/>
        <v/>
      </c>
      <c r="AC885" s="310" t="e">
        <f t="shared" ca="1" si="402"/>
        <v>#N/A</v>
      </c>
      <c r="AD885" s="323" t="e">
        <f t="shared" ca="1" si="403"/>
        <v>#N/A</v>
      </c>
      <c r="AE885" s="324" t="e">
        <f t="shared" ca="1" si="382"/>
        <v>#N/A</v>
      </c>
      <c r="AG885" s="306">
        <f t="shared" ca="1" si="404"/>
        <v>1.8709639163891687</v>
      </c>
      <c r="AH885" s="304">
        <f t="shared" ca="1" si="405"/>
        <v>-7.922981705931079</v>
      </c>
    </row>
    <row r="886" spans="1:34" x14ac:dyDescent="0.2">
      <c r="A886" s="347">
        <f t="shared" ca="1" si="383"/>
        <v>0.1</v>
      </c>
      <c r="B886" s="304">
        <f t="shared" ca="1" si="384"/>
        <v>43.20000000000028</v>
      </c>
      <c r="D886" s="306">
        <f t="shared" ca="1" si="385"/>
        <v>-0.45162215467990935</v>
      </c>
      <c r="E886" s="307">
        <f t="shared" ca="1" si="386"/>
        <v>-1.8668887602668418</v>
      </c>
      <c r="F886" s="304">
        <f t="shared" ca="1" si="387"/>
        <v>1.9207384553364857</v>
      </c>
      <c r="G886" s="306">
        <f t="shared" ca="1" si="388"/>
        <v>7.4911467932489382</v>
      </c>
      <c r="H886" s="307">
        <f t="shared" ca="1" si="389"/>
        <v>-132.73497104714639</v>
      </c>
      <c r="I886" s="304">
        <f t="shared" ca="1" si="390"/>
        <v>132.94619144287208</v>
      </c>
      <c r="J886" s="306">
        <f t="shared" ca="1" si="391"/>
        <v>728.26979463329519</v>
      </c>
      <c r="K886" s="307">
        <f t="shared" ca="1" si="392"/>
        <v>1319.9422188259284</v>
      </c>
      <c r="L886" s="304">
        <f t="shared" ca="1" si="377"/>
        <v>1507.5225884922379</v>
      </c>
      <c r="M886" s="306">
        <f t="shared" ca="1" si="393"/>
        <v>-1.5144192582877651</v>
      </c>
      <c r="N886" s="304">
        <f t="shared" ca="1" si="394"/>
        <v>-86.769831913221466</v>
      </c>
      <c r="P886" s="310">
        <f t="shared" ca="1" si="395"/>
        <v>23</v>
      </c>
      <c r="Q886" s="304">
        <f t="shared" ca="1" si="396"/>
        <v>0</v>
      </c>
      <c r="R886" s="306">
        <f t="shared" ca="1" si="397"/>
        <v>0</v>
      </c>
      <c r="S886" s="307">
        <f t="shared" ca="1" si="398"/>
        <v>6.4679999999999849</v>
      </c>
      <c r="T886" s="304">
        <f t="shared" ca="1" si="378"/>
        <v>63.451079999999855</v>
      </c>
      <c r="U886" s="311">
        <f t="shared" ca="1" si="379"/>
        <v>0</v>
      </c>
      <c r="V886" s="306">
        <f t="shared" ca="1" si="380"/>
        <v>1.0733176735222125</v>
      </c>
      <c r="W886" s="304">
        <f t="shared" ca="1" si="381"/>
        <v>51.670421536554393</v>
      </c>
      <c r="Y886" s="314" t="str">
        <f t="shared" ca="1" si="399"/>
        <v/>
      </c>
      <c r="Z886" s="315" t="str">
        <f t="shared" ca="1" si="400"/>
        <v/>
      </c>
      <c r="AA886" s="316" t="str">
        <f t="shared" ca="1" si="401"/>
        <v/>
      </c>
      <c r="AC886" s="310" t="e">
        <f t="shared" ca="1" si="402"/>
        <v>#N/A</v>
      </c>
      <c r="AD886" s="323" t="e">
        <f t="shared" ca="1" si="403"/>
        <v>#N/A</v>
      </c>
      <c r="AE886" s="324" t="e">
        <f t="shared" ca="1" si="382"/>
        <v>#N/A</v>
      </c>
      <c r="AG886" s="306">
        <f t="shared" ca="1" si="404"/>
        <v>1.838241969970329</v>
      </c>
      <c r="AH886" s="304">
        <f t="shared" ca="1" si="405"/>
        <v>-7.9559398399794956</v>
      </c>
    </row>
    <row r="887" spans="1:34" x14ac:dyDescent="0.2">
      <c r="A887" s="347">
        <f t="shared" ca="1" si="383"/>
        <v>0.1</v>
      </c>
      <c r="B887" s="304">
        <f t="shared" ca="1" si="384"/>
        <v>43.300000000000281</v>
      </c>
      <c r="D887" s="306">
        <f t="shared" ca="1" si="385"/>
        <v>-0.45013667674971103</v>
      </c>
      <c r="E887" s="307">
        <f t="shared" ca="1" si="386"/>
        <v>-1.8340678223689721</v>
      </c>
      <c r="F887" s="304">
        <f t="shared" ca="1" si="387"/>
        <v>1.8884988230879407</v>
      </c>
      <c r="G887" s="306">
        <f t="shared" ca="1" si="388"/>
        <v>7.4461331255739669</v>
      </c>
      <c r="H887" s="307">
        <f t="shared" ca="1" si="389"/>
        <v>-132.91837782938327</v>
      </c>
      <c r="I887" s="304">
        <f t="shared" ca="1" si="390"/>
        <v>133.12678191603092</v>
      </c>
      <c r="J887" s="306">
        <f t="shared" ca="1" si="391"/>
        <v>729.0166586292363</v>
      </c>
      <c r="K887" s="307">
        <f t="shared" ca="1" si="392"/>
        <v>1306.6595513821019</v>
      </c>
      <c r="L887" s="304">
        <f t="shared" ca="1" si="377"/>
        <v>1496.2701867567275</v>
      </c>
      <c r="M887" s="306">
        <f t="shared" ca="1" si="393"/>
        <v>-1.5148344761163175</v>
      </c>
      <c r="N887" s="304">
        <f t="shared" ca="1" si="394"/>
        <v>-86.793622142376094</v>
      </c>
      <c r="P887" s="310">
        <f t="shared" ca="1" si="395"/>
        <v>23</v>
      </c>
      <c r="Q887" s="304">
        <f t="shared" ca="1" si="396"/>
        <v>0</v>
      </c>
      <c r="R887" s="306">
        <f t="shared" ca="1" si="397"/>
        <v>0</v>
      </c>
      <c r="S887" s="307">
        <f t="shared" ca="1" si="398"/>
        <v>6.4679999999999849</v>
      </c>
      <c r="T887" s="304">
        <f t="shared" ca="1" si="378"/>
        <v>63.451079999999855</v>
      </c>
      <c r="U887" s="311">
        <f t="shared" ca="1" si="379"/>
        <v>0</v>
      </c>
      <c r="V887" s="306">
        <f t="shared" ca="1" si="380"/>
        <v>1.0747504551022646</v>
      </c>
      <c r="W887" s="304">
        <f t="shared" ca="1" si="381"/>
        <v>51.880055088599001</v>
      </c>
      <c r="Y887" s="314" t="str">
        <f t="shared" ca="1" si="399"/>
        <v/>
      </c>
      <c r="Z887" s="315" t="str">
        <f t="shared" ca="1" si="400"/>
        <v/>
      </c>
      <c r="AA887" s="316" t="str">
        <f t="shared" ca="1" si="401"/>
        <v/>
      </c>
      <c r="AC887" s="310" t="e">
        <f t="shared" ca="1" si="402"/>
        <v>#N/A</v>
      </c>
      <c r="AD887" s="323" t="e">
        <f t="shared" ca="1" si="403"/>
        <v>#N/A</v>
      </c>
      <c r="AE887" s="324" t="e">
        <f t="shared" ca="1" si="382"/>
        <v>#N/A</v>
      </c>
      <c r="AG887" s="306">
        <f t="shared" ca="1" si="404"/>
        <v>1.8057899724134039</v>
      </c>
      <c r="AH887" s="304">
        <f t="shared" ca="1" si="405"/>
        <v>-7.9886242326151073</v>
      </c>
    </row>
    <row r="888" spans="1:34" x14ac:dyDescent="0.2">
      <c r="A888" s="347">
        <f t="shared" ca="1" si="383"/>
        <v>0.1</v>
      </c>
      <c r="B888" s="304">
        <f t="shared" ca="1" si="384"/>
        <v>43.400000000000283</v>
      </c>
      <c r="D888" s="306">
        <f t="shared" ca="1" si="385"/>
        <v>-0.44863771489885546</v>
      </c>
      <c r="E888" s="307">
        <f t="shared" ca="1" si="386"/>
        <v>-1.8015214660038055</v>
      </c>
      <c r="F888" s="304">
        <f t="shared" ca="1" si="387"/>
        <v>1.8565439374553372</v>
      </c>
      <c r="G888" s="306">
        <f t="shared" ca="1" si="388"/>
        <v>7.4012693540840813</v>
      </c>
      <c r="H888" s="307">
        <f t="shared" ca="1" si="389"/>
        <v>-133.09852997598367</v>
      </c>
      <c r="I888" s="304">
        <f t="shared" ca="1" si="390"/>
        <v>133.30415398561112</v>
      </c>
      <c r="J888" s="306">
        <f t="shared" ca="1" si="391"/>
        <v>729.75902875321924</v>
      </c>
      <c r="K888" s="307">
        <f t="shared" ca="1" si="392"/>
        <v>1293.3587059918336</v>
      </c>
      <c r="L888" s="304">
        <f t="shared" ca="1" si="377"/>
        <v>1485.0336637301232</v>
      </c>
      <c r="M888" s="306">
        <f t="shared" ca="1" si="393"/>
        <v>-1.5152460906484739</v>
      </c>
      <c r="N888" s="304">
        <f t="shared" ca="1" si="394"/>
        <v>-86.817205917854906</v>
      </c>
      <c r="P888" s="310">
        <f t="shared" ca="1" si="395"/>
        <v>23</v>
      </c>
      <c r="Q888" s="304">
        <f t="shared" ca="1" si="396"/>
        <v>0</v>
      </c>
      <c r="R888" s="306">
        <f t="shared" ca="1" si="397"/>
        <v>0</v>
      </c>
      <c r="S888" s="307">
        <f t="shared" ca="1" si="398"/>
        <v>6.4679999999999849</v>
      </c>
      <c r="T888" s="304">
        <f t="shared" ca="1" si="378"/>
        <v>63.451079999999855</v>
      </c>
      <c r="U888" s="311">
        <f t="shared" ca="1" si="379"/>
        <v>0</v>
      </c>
      <c r="V888" s="306">
        <f t="shared" ca="1" si="380"/>
        <v>1.076186988702335</v>
      </c>
      <c r="W888" s="304">
        <f t="shared" ca="1" si="381"/>
        <v>52.087921291204246</v>
      </c>
      <c r="Y888" s="314" t="str">
        <f t="shared" ca="1" si="399"/>
        <v/>
      </c>
      <c r="Z888" s="315" t="str">
        <f t="shared" ca="1" si="400"/>
        <v/>
      </c>
      <c r="AA888" s="316" t="str">
        <f t="shared" ca="1" si="401"/>
        <v/>
      </c>
      <c r="AC888" s="310" t="e">
        <f t="shared" ca="1" si="402"/>
        <v>#N/A</v>
      </c>
      <c r="AD888" s="323" t="e">
        <f t="shared" ca="1" si="403"/>
        <v>#N/A</v>
      </c>
      <c r="AE888" s="324" t="e">
        <f t="shared" ca="1" si="382"/>
        <v>#N/A</v>
      </c>
      <c r="AG888" s="306">
        <f t="shared" ca="1" si="404"/>
        <v>1.7736077695070875</v>
      </c>
      <c r="AH888" s="304">
        <f t="shared" ca="1" si="405"/>
        <v>-8.021035109554596</v>
      </c>
    </row>
    <row r="889" spans="1:34" x14ac:dyDescent="0.2">
      <c r="A889" s="347">
        <f t="shared" ca="1" si="383"/>
        <v>0.1</v>
      </c>
      <c r="B889" s="304">
        <f t="shared" ca="1" si="384"/>
        <v>43.500000000000284</v>
      </c>
      <c r="D889" s="306">
        <f t="shared" ca="1" si="385"/>
        <v>-0.44712560585551869</v>
      </c>
      <c r="E889" s="307">
        <f t="shared" ca="1" si="386"/>
        <v>-1.7692494196753668</v>
      </c>
      <c r="F889" s="304">
        <f t="shared" ca="1" si="387"/>
        <v>1.8248739179552342</v>
      </c>
      <c r="G889" s="306">
        <f t="shared" ca="1" si="388"/>
        <v>7.3565567934985294</v>
      </c>
      <c r="H889" s="307">
        <f t="shared" ca="1" si="389"/>
        <v>-133.27545491795121</v>
      </c>
      <c r="I889" s="304">
        <f t="shared" ca="1" si="390"/>
        <v>133.478334614434</v>
      </c>
      <c r="J889" s="306">
        <f t="shared" ca="1" si="391"/>
        <v>730.49692006059843</v>
      </c>
      <c r="K889" s="307">
        <f t="shared" ca="1" si="392"/>
        <v>1280.0400067471369</v>
      </c>
      <c r="L889" s="304">
        <f t="shared" ca="1" si="377"/>
        <v>1473.8141569041975</v>
      </c>
      <c r="M889" s="306">
        <f t="shared" ca="1" si="393"/>
        <v>-1.5156541475868928</v>
      </c>
      <c r="N889" s="304">
        <f t="shared" ca="1" si="394"/>
        <v>-86.840585858227342</v>
      </c>
      <c r="P889" s="310">
        <f t="shared" ca="1" si="395"/>
        <v>23</v>
      </c>
      <c r="Q889" s="304">
        <f t="shared" ca="1" si="396"/>
        <v>0</v>
      </c>
      <c r="R889" s="306">
        <f t="shared" ca="1" si="397"/>
        <v>0</v>
      </c>
      <c r="S889" s="307">
        <f t="shared" ca="1" si="398"/>
        <v>6.4679999999999849</v>
      </c>
      <c r="T889" s="304">
        <f t="shared" ca="1" si="378"/>
        <v>63.451079999999855</v>
      </c>
      <c r="U889" s="311">
        <f t="shared" ca="1" si="379"/>
        <v>0</v>
      </c>
      <c r="V889" s="306">
        <f t="shared" ca="1" si="380"/>
        <v>1.0776272499705761</v>
      </c>
      <c r="W889" s="304">
        <f t="shared" ca="1" si="381"/>
        <v>52.294022178713057</v>
      </c>
      <c r="Y889" s="314" t="str">
        <f t="shared" ca="1" si="399"/>
        <v/>
      </c>
      <c r="Z889" s="315" t="str">
        <f t="shared" ca="1" si="400"/>
        <v/>
      </c>
      <c r="AA889" s="316" t="str">
        <f t="shared" ca="1" si="401"/>
        <v/>
      </c>
      <c r="AC889" s="310" t="e">
        <f t="shared" ca="1" si="402"/>
        <v>#N/A</v>
      </c>
      <c r="AD889" s="323" t="e">
        <f t="shared" ca="1" si="403"/>
        <v>#N/A</v>
      </c>
      <c r="AE889" s="324" t="e">
        <f t="shared" ca="1" si="382"/>
        <v>#N/A</v>
      </c>
      <c r="AG889" s="306">
        <f t="shared" ca="1" si="404"/>
        <v>1.74169516053243</v>
      </c>
      <c r="AH889" s="304">
        <f t="shared" ca="1" si="405"/>
        <v>-8.0531727413735883</v>
      </c>
    </row>
    <row r="890" spans="1:34" x14ac:dyDescent="0.2">
      <c r="A890" s="347">
        <f t="shared" ca="1" si="383"/>
        <v>0.1</v>
      </c>
      <c r="B890" s="304">
        <f t="shared" ca="1" si="384"/>
        <v>43.600000000000286</v>
      </c>
      <c r="D890" s="306">
        <f t="shared" ca="1" si="385"/>
        <v>-0.44560068340551684</v>
      </c>
      <c r="E890" s="307">
        <f t="shared" ca="1" si="386"/>
        <v>-1.7372513677723482</v>
      </c>
      <c r="F890" s="304">
        <f t="shared" ca="1" si="387"/>
        <v>1.7934888580301687</v>
      </c>
      <c r="G890" s="306">
        <f t="shared" ca="1" si="388"/>
        <v>7.3119967251579778</v>
      </c>
      <c r="H890" s="307">
        <f t="shared" ca="1" si="389"/>
        <v>-133.44918005472843</v>
      </c>
      <c r="I890" s="304">
        <f t="shared" ca="1" si="390"/>
        <v>133.64935074061546</v>
      </c>
      <c r="J890" s="306">
        <f t="shared" ca="1" si="391"/>
        <v>731.23034773653126</v>
      </c>
      <c r="K890" s="307">
        <f t="shared" ca="1" si="392"/>
        <v>1266.7037749985029</v>
      </c>
      <c r="L890" s="304">
        <f t="shared" ca="1" si="377"/>
        <v>1462.6128247237361</v>
      </c>
      <c r="M890" s="306">
        <f t="shared" ca="1" si="393"/>
        <v>-1.5160586917865253</v>
      </c>
      <c r="N890" s="304">
        <f t="shared" ca="1" si="394"/>
        <v>-86.863764533492784</v>
      </c>
      <c r="P890" s="310">
        <f t="shared" ca="1" si="395"/>
        <v>23</v>
      </c>
      <c r="Q890" s="304">
        <f t="shared" ca="1" si="396"/>
        <v>0</v>
      </c>
      <c r="R890" s="306">
        <f t="shared" ca="1" si="397"/>
        <v>0</v>
      </c>
      <c r="S890" s="307">
        <f t="shared" ca="1" si="398"/>
        <v>6.4679999999999849</v>
      </c>
      <c r="T890" s="304">
        <f t="shared" ca="1" si="378"/>
        <v>63.451079999999855</v>
      </c>
      <c r="U890" s="311">
        <f t="shared" ca="1" si="379"/>
        <v>0</v>
      </c>
      <c r="V890" s="306">
        <f t="shared" ca="1" si="380"/>
        <v>1.0790712147222943</v>
      </c>
      <c r="W890" s="304">
        <f t="shared" ca="1" si="381"/>
        <v>52.498360063866429</v>
      </c>
      <c r="Y890" s="314" t="str">
        <f t="shared" ca="1" si="399"/>
        <v/>
      </c>
      <c r="Z890" s="315" t="str">
        <f t="shared" ca="1" si="400"/>
        <v/>
      </c>
      <c r="AA890" s="316" t="str">
        <f t="shared" ca="1" si="401"/>
        <v/>
      </c>
      <c r="AC890" s="310" t="e">
        <f t="shared" ca="1" si="402"/>
        <v>#N/A</v>
      </c>
      <c r="AD890" s="323" t="e">
        <f t="shared" ca="1" si="403"/>
        <v>#N/A</v>
      </c>
      <c r="AE890" s="324" t="e">
        <f t="shared" ca="1" si="382"/>
        <v>#N/A</v>
      </c>
      <c r="AG890" s="306">
        <f t="shared" ca="1" si="404"/>
        <v>1.7100518992189713</v>
      </c>
      <c r="AH890" s="304">
        <f t="shared" ca="1" si="405"/>
        <v>-8.0850374425963487</v>
      </c>
    </row>
    <row r="891" spans="1:34" x14ac:dyDescent="0.2">
      <c r="A891" s="347">
        <f t="shared" ca="1" si="383"/>
        <v>0.1</v>
      </c>
      <c r="B891" s="304">
        <f t="shared" ca="1" si="384"/>
        <v>43.700000000000287</v>
      </c>
      <c r="D891" s="306">
        <f t="shared" ca="1" si="385"/>
        <v>-0.44406327836276982</v>
      </c>
      <c r="E891" s="307">
        <f t="shared" ca="1" si="386"/>
        <v>-1.7055269514776974</v>
      </c>
      <c r="F891" s="304">
        <f t="shared" ca="1" si="387"/>
        <v>1.7623888269638737</v>
      </c>
      <c r="G891" s="306">
        <f t="shared" ca="1" si="388"/>
        <v>7.2675903973217011</v>
      </c>
      <c r="H891" s="307">
        <f t="shared" ca="1" si="389"/>
        <v>-133.61973274987619</v>
      </c>
      <c r="I891" s="304">
        <f t="shared" ca="1" si="390"/>
        <v>133.8172292731081</v>
      </c>
      <c r="J891" s="306">
        <f t="shared" ca="1" si="391"/>
        <v>731.95932709265526</v>
      </c>
      <c r="K891" s="307">
        <f t="shared" ca="1" si="392"/>
        <v>1253.3503293582728</v>
      </c>
      <c r="L891" s="304">
        <f t="shared" ca="1" si="377"/>
        <v>1451.4308473435528</v>
      </c>
      <c r="M891" s="306">
        <f t="shared" ca="1" si="393"/>
        <v>-1.5164597672744227</v>
      </c>
      <c r="N891" s="304">
        <f t="shared" ca="1" si="394"/>
        <v>-86.886744466215447</v>
      </c>
      <c r="P891" s="310">
        <f t="shared" ca="1" si="395"/>
        <v>23</v>
      </c>
      <c r="Q891" s="304">
        <f t="shared" ca="1" si="396"/>
        <v>0</v>
      </c>
      <c r="R891" s="306">
        <f t="shared" ca="1" si="397"/>
        <v>0</v>
      </c>
      <c r="S891" s="307">
        <f t="shared" ca="1" si="398"/>
        <v>6.4679999999999849</v>
      </c>
      <c r="T891" s="304">
        <f t="shared" ca="1" si="378"/>
        <v>63.451079999999855</v>
      </c>
      <c r="U891" s="311">
        <f t="shared" ca="1" si="379"/>
        <v>0</v>
      </c>
      <c r="V891" s="306">
        <f t="shared" ca="1" si="380"/>
        <v>1.080518858940275</v>
      </c>
      <c r="W891" s="304">
        <f t="shared" ca="1" si="381"/>
        <v>52.700937531970638</v>
      </c>
      <c r="Y891" s="314" t="str">
        <f t="shared" ca="1" si="399"/>
        <v/>
      </c>
      <c r="Z891" s="315" t="str">
        <f t="shared" ca="1" si="400"/>
        <v/>
      </c>
      <c r="AA891" s="316" t="str">
        <f t="shared" ca="1" si="401"/>
        <v/>
      </c>
      <c r="AC891" s="310" t="e">
        <f t="shared" ca="1" si="402"/>
        <v>#N/A</v>
      </c>
      <c r="AD891" s="323" t="e">
        <f t="shared" ca="1" si="403"/>
        <v>#N/A</v>
      </c>
      <c r="AE891" s="324" t="e">
        <f t="shared" ca="1" si="382"/>
        <v>#N/A</v>
      </c>
      <c r="AG891" s="306">
        <f t="shared" ca="1" si="404"/>
        <v>1.6786776946953577</v>
      </c>
      <c r="AH891" s="304">
        <f t="shared" ca="1" si="405"/>
        <v>-8.1166295707895095</v>
      </c>
    </row>
    <row r="892" spans="1:34" x14ac:dyDescent="0.2">
      <c r="A892" s="347">
        <f t="shared" ca="1" si="383"/>
        <v>0.1</v>
      </c>
      <c r="B892" s="304">
        <f t="shared" ca="1" si="384"/>
        <v>43.800000000000288</v>
      </c>
      <c r="D892" s="306">
        <f t="shared" ca="1" si="385"/>
        <v>-0.4425137185414042</v>
      </c>
      <c r="E892" s="307">
        <f t="shared" ca="1" si="386"/>
        <v>-1.6740757696737116</v>
      </c>
      <c r="F892" s="304">
        <f t="shared" ca="1" si="387"/>
        <v>1.7315738718593472</v>
      </c>
      <c r="G892" s="306">
        <f t="shared" ca="1" si="388"/>
        <v>7.2233390254675607</v>
      </c>
      <c r="H892" s="307">
        <f t="shared" ca="1" si="389"/>
        <v>-133.78714032684357</v>
      </c>
      <c r="I892" s="304">
        <f t="shared" ca="1" si="390"/>
        <v>133.98199708733773</v>
      </c>
      <c r="J892" s="306">
        <f t="shared" ca="1" si="391"/>
        <v>732.68387356379469</v>
      </c>
      <c r="K892" s="307">
        <f t="shared" ca="1" si="392"/>
        <v>1239.9799857044368</v>
      </c>
      <c r="L892" s="304">
        <f t="shared" ca="1" si="377"/>
        <v>1440.2694274086434</v>
      </c>
      <c r="M892" s="306">
        <f t="shared" ca="1" si="393"/>
        <v>-1.5168574172689957</v>
      </c>
      <c r="N892" s="304">
        <f t="shared" ca="1" si="394"/>
        <v>-86.909528132627884</v>
      </c>
      <c r="P892" s="310">
        <f t="shared" ca="1" si="395"/>
        <v>23</v>
      </c>
      <c r="Q892" s="304">
        <f t="shared" ca="1" si="396"/>
        <v>0</v>
      </c>
      <c r="R892" s="306">
        <f t="shared" ca="1" si="397"/>
        <v>0</v>
      </c>
      <c r="S892" s="307">
        <f t="shared" ca="1" si="398"/>
        <v>6.4679999999999849</v>
      </c>
      <c r="T892" s="304">
        <f t="shared" ca="1" si="378"/>
        <v>63.451079999999855</v>
      </c>
      <c r="U892" s="311">
        <f t="shared" ca="1" si="379"/>
        <v>0</v>
      </c>
      <c r="V892" s="306">
        <f t="shared" ca="1" si="380"/>
        <v>1.0819701587750759</v>
      </c>
      <c r="W892" s="304">
        <f t="shared" ca="1" si="381"/>
        <v>52.901757435094993</v>
      </c>
      <c r="Y892" s="314" t="str">
        <f t="shared" ca="1" si="399"/>
        <v/>
      </c>
      <c r="Z892" s="315" t="str">
        <f t="shared" ca="1" si="400"/>
        <v/>
      </c>
      <c r="AA892" s="316" t="str">
        <f t="shared" ca="1" si="401"/>
        <v/>
      </c>
      <c r="AC892" s="310" t="e">
        <f t="shared" ca="1" si="402"/>
        <v>#N/A</v>
      </c>
      <c r="AD892" s="323" t="e">
        <f t="shared" ca="1" si="403"/>
        <v>#N/A</v>
      </c>
      <c r="AE892" s="324" t="e">
        <f t="shared" ca="1" si="382"/>
        <v>#N/A</v>
      </c>
      <c r="AG892" s="306">
        <f t="shared" ca="1" si="404"/>
        <v>1.6475722124340564</v>
      </c>
      <c r="AH892" s="304">
        <f t="shared" ca="1" si="405"/>
        <v>-8.147949525660291</v>
      </c>
    </row>
    <row r="893" spans="1:34" x14ac:dyDescent="0.2">
      <c r="A893" s="347">
        <f t="shared" ca="1" si="383"/>
        <v>0.1</v>
      </c>
      <c r="B893" s="304">
        <f t="shared" ca="1" si="384"/>
        <v>43.90000000000029</v>
      </c>
      <c r="D893" s="306">
        <f t="shared" ca="1" si="385"/>
        <v>-0.44095232872950352</v>
      </c>
      <c r="E893" s="307">
        <f t="shared" ca="1" si="386"/>
        <v>-1.6428973798424167</v>
      </c>
      <c r="F893" s="304">
        <f t="shared" ca="1" si="387"/>
        <v>1.7010440196846905</v>
      </c>
      <c r="G893" s="306">
        <f t="shared" ca="1" si="388"/>
        <v>7.17924379259461</v>
      </c>
      <c r="H893" s="307">
        <f t="shared" ca="1" si="389"/>
        <v>-133.9514300648278</v>
      </c>
      <c r="I893" s="304">
        <f t="shared" ca="1" si="390"/>
        <v>134.14368102093351</v>
      </c>
      <c r="J893" s="306">
        <f t="shared" ca="1" si="391"/>
        <v>733.40400270469775</v>
      </c>
      <c r="K893" s="307">
        <f t="shared" ca="1" si="392"/>
        <v>1226.5930571848533</v>
      </c>
      <c r="L893" s="304">
        <f t="shared" ca="1" si="377"/>
        <v>1429.1297908578342</v>
      </c>
      <c r="M893" s="306">
        <f t="shared" ca="1" si="393"/>
        <v>-1.5172516841987504</v>
      </c>
      <c r="N893" s="304">
        <f t="shared" ca="1" si="394"/>
        <v>-86.932117963704414</v>
      </c>
      <c r="P893" s="310">
        <f t="shared" ca="1" si="395"/>
        <v>23</v>
      </c>
      <c r="Q893" s="304">
        <f t="shared" ca="1" si="396"/>
        <v>0</v>
      </c>
      <c r="R893" s="306">
        <f t="shared" ca="1" si="397"/>
        <v>0</v>
      </c>
      <c r="S893" s="307">
        <f t="shared" ca="1" si="398"/>
        <v>6.4679999999999849</v>
      </c>
      <c r="T893" s="304">
        <f t="shared" ca="1" si="378"/>
        <v>63.451079999999855</v>
      </c>
      <c r="U893" s="311">
        <f t="shared" ca="1" si="379"/>
        <v>0</v>
      </c>
      <c r="V893" s="306">
        <f t="shared" ca="1" si="380"/>
        <v>1.0834250905452913</v>
      </c>
      <c r="W893" s="304">
        <f t="shared" ca="1" si="381"/>
        <v>53.100822886301742</v>
      </c>
      <c r="Y893" s="314" t="str">
        <f t="shared" ca="1" si="399"/>
        <v/>
      </c>
      <c r="Z893" s="315" t="str">
        <f t="shared" ca="1" si="400"/>
        <v/>
      </c>
      <c r="AA893" s="316" t="str">
        <f t="shared" ca="1" si="401"/>
        <v/>
      </c>
      <c r="AC893" s="310" t="e">
        <f t="shared" ca="1" si="402"/>
        <v>#N/A</v>
      </c>
      <c r="AD893" s="323" t="e">
        <f t="shared" ca="1" si="403"/>
        <v>#N/A</v>
      </c>
      <c r="AE893" s="324" t="e">
        <f t="shared" ca="1" si="382"/>
        <v>#N/A</v>
      </c>
      <c r="AG893" s="306">
        <f t="shared" ca="1" si="404"/>
        <v>1.6167350751899647</v>
      </c>
      <c r="AH893" s="304">
        <f t="shared" ca="1" si="405"/>
        <v>-8.1789977481594178</v>
      </c>
    </row>
    <row r="894" spans="1:34" x14ac:dyDescent="0.2">
      <c r="A894" s="347">
        <f t="shared" ca="1" si="383"/>
        <v>0.1</v>
      </c>
      <c r="B894" s="304">
        <f t="shared" ca="1" si="384"/>
        <v>44.000000000000291</v>
      </c>
      <c r="D894" s="306">
        <f t="shared" ca="1" si="385"/>
        <v>-0.43937943066443735</v>
      </c>
      <c r="E894" s="307">
        <f t="shared" ca="1" si="386"/>
        <v>-1.6119912989609375</v>
      </c>
      <c r="F894" s="304">
        <f t="shared" ca="1" si="387"/>
        <v>1.6707992793919848</v>
      </c>
      <c r="G894" s="306">
        <f t="shared" ca="1" si="388"/>
        <v>7.1353058495281658</v>
      </c>
      <c r="H894" s="307">
        <f t="shared" ca="1" si="389"/>
        <v>-134.11262919472389</v>
      </c>
      <c r="I894" s="304">
        <f t="shared" ca="1" si="390"/>
        <v>134.30230786955158</v>
      </c>
      <c r="J894" s="306">
        <f t="shared" ca="1" si="391"/>
        <v>734.11973018680385</v>
      </c>
      <c r="K894" s="307">
        <f t="shared" ca="1" si="392"/>
        <v>1213.1898542218757</v>
      </c>
      <c r="L894" s="304">
        <f t="shared" ca="1" si="377"/>
        <v>1418.0131877512429</v>
      </c>
      <c r="M894" s="306">
        <f t="shared" ca="1" si="393"/>
        <v>-1.5176426097205145</v>
      </c>
      <c r="N894" s="304">
        <f t="shared" ca="1" si="394"/>
        <v>-86.954516346205438</v>
      </c>
      <c r="P894" s="310">
        <f t="shared" ca="1" si="395"/>
        <v>23</v>
      </c>
      <c r="Q894" s="304">
        <f t="shared" ca="1" si="396"/>
        <v>0</v>
      </c>
      <c r="R894" s="306">
        <f t="shared" ca="1" si="397"/>
        <v>0</v>
      </c>
      <c r="S894" s="307">
        <f t="shared" ca="1" si="398"/>
        <v>6.4679999999999849</v>
      </c>
      <c r="T894" s="304">
        <f t="shared" ca="1" si="378"/>
        <v>63.451079999999855</v>
      </c>
      <c r="U894" s="311">
        <f t="shared" ca="1" si="379"/>
        <v>0</v>
      </c>
      <c r="V894" s="306">
        <f t="shared" ca="1" si="380"/>
        <v>1.0848836307377863</v>
      </c>
      <c r="W894" s="304">
        <f t="shared" ca="1" si="381"/>
        <v>53.298137253910468</v>
      </c>
      <c r="Y894" s="314" t="str">
        <f t="shared" ca="1" si="399"/>
        <v/>
      </c>
      <c r="Z894" s="315" t="str">
        <f t="shared" ca="1" si="400"/>
        <v/>
      </c>
      <c r="AA894" s="316" t="str">
        <f t="shared" ca="1" si="401"/>
        <v/>
      </c>
      <c r="AC894" s="310">
        <f t="shared" ca="1" si="402"/>
        <v>44.000000000000291</v>
      </c>
      <c r="AD894" s="323">
        <f t="shared" ca="1" si="403"/>
        <v>734.11973018680385</v>
      </c>
      <c r="AE894" s="324" t="e">
        <f t="shared" ca="1" si="382"/>
        <v>#N/A</v>
      </c>
      <c r="AG894" s="306">
        <f t="shared" ca="1" si="404"/>
        <v>1.5861658639327292</v>
      </c>
      <c r="AH894" s="304">
        <f t="shared" ca="1" si="405"/>
        <v>-8.2097747195890332</v>
      </c>
    </row>
    <row r="895" spans="1:34" x14ac:dyDescent="0.2">
      <c r="A895" s="347">
        <f t="shared" ca="1" si="383"/>
        <v>0.1</v>
      </c>
      <c r="B895" s="304">
        <f t="shared" ca="1" si="384"/>
        <v>44.100000000000293</v>
      </c>
      <c r="D895" s="306">
        <f t="shared" ca="1" si="385"/>
        <v>-0.43779534300975353</v>
      </c>
      <c r="E895" s="307">
        <f t="shared" ca="1" si="386"/>
        <v>-1.581357004391533</v>
      </c>
      <c r="F895" s="304">
        <f t="shared" ca="1" si="387"/>
        <v>1.6408396441149242</v>
      </c>
      <c r="G895" s="306">
        <f t="shared" ca="1" si="388"/>
        <v>7.0915263152271901</v>
      </c>
      <c r="H895" s="307">
        <f t="shared" ca="1" si="389"/>
        <v>-134.27076489516304</v>
      </c>
      <c r="I895" s="304">
        <f t="shared" ca="1" si="390"/>
        <v>134.45790438279076</v>
      </c>
      <c r="J895" s="306">
        <f t="shared" ca="1" si="391"/>
        <v>734.83107179504157</v>
      </c>
      <c r="K895" s="307">
        <f t="shared" ca="1" si="392"/>
        <v>1199.7706845173814</v>
      </c>
      <c r="L895" s="304">
        <f t="shared" ca="1" si="377"/>
        <v>1406.9208931218398</v>
      </c>
      <c r="M895" s="306">
        <f t="shared" ca="1" si="393"/>
        <v>-1.5180302347371677</v>
      </c>
      <c r="N895" s="304">
        <f t="shared" ca="1" si="394"/>
        <v>-86.976725623693369</v>
      </c>
      <c r="P895" s="310">
        <f t="shared" ca="1" si="395"/>
        <v>23</v>
      </c>
      <c r="Q895" s="304">
        <f t="shared" ca="1" si="396"/>
        <v>0</v>
      </c>
      <c r="R895" s="306">
        <f t="shared" ca="1" si="397"/>
        <v>0</v>
      </c>
      <c r="S895" s="307">
        <f t="shared" ca="1" si="398"/>
        <v>6.4679999999999849</v>
      </c>
      <c r="T895" s="304">
        <f t="shared" ca="1" si="378"/>
        <v>63.451079999999855</v>
      </c>
      <c r="U895" s="311">
        <f t="shared" ca="1" si="379"/>
        <v>0</v>
      </c>
      <c r="V895" s="306">
        <f t="shared" ca="1" si="380"/>
        <v>1.0863457560079028</v>
      </c>
      <c r="W895" s="304">
        <f t="shared" ca="1" si="381"/>
        <v>53.493704155798149</v>
      </c>
      <c r="Y895" s="314" t="str">
        <f t="shared" ca="1" si="399"/>
        <v/>
      </c>
      <c r="Z895" s="315" t="str">
        <f t="shared" ca="1" si="400"/>
        <v/>
      </c>
      <c r="AA895" s="316" t="str">
        <f t="shared" ca="1" si="401"/>
        <v/>
      </c>
      <c r="AC895" s="310" t="e">
        <f t="shared" ca="1" si="402"/>
        <v>#N/A</v>
      </c>
      <c r="AD895" s="323" t="e">
        <f t="shared" ca="1" si="403"/>
        <v>#N/A</v>
      </c>
      <c r="AE895" s="324" t="e">
        <f t="shared" ca="1" si="382"/>
        <v>#N/A</v>
      </c>
      <c r="AG895" s="306">
        <f t="shared" ca="1" si="404"/>
        <v>1.5558641187724582</v>
      </c>
      <c r="AH895" s="304">
        <f t="shared" ca="1" si="405"/>
        <v>-8.2402809607159231</v>
      </c>
    </row>
    <row r="896" spans="1:34" x14ac:dyDescent="0.2">
      <c r="A896" s="347">
        <f t="shared" ca="1" si="383"/>
        <v>0.1</v>
      </c>
      <c r="B896" s="304">
        <f t="shared" ca="1" si="384"/>
        <v>44.200000000000294</v>
      </c>
      <c r="D896" s="306">
        <f t="shared" ca="1" si="385"/>
        <v>-0.43620038133362243</v>
      </c>
      <c r="E896" s="307">
        <f t="shared" ca="1" si="386"/>
        <v>-1.5509939347660957</v>
      </c>
      <c r="F896" s="304">
        <f t="shared" ca="1" si="387"/>
        <v>1.6111650934515722</v>
      </c>
      <c r="G896" s="306">
        <f t="shared" ca="1" si="388"/>
        <v>7.0479062770938281</v>
      </c>
      <c r="H896" s="307">
        <f t="shared" ca="1" si="389"/>
        <v>-134.42586428863964</v>
      </c>
      <c r="I896" s="304">
        <f t="shared" ca="1" si="390"/>
        <v>134.61049726020056</v>
      </c>
      <c r="J896" s="306">
        <f t="shared" ca="1" si="391"/>
        <v>735.53804342465764</v>
      </c>
      <c r="K896" s="307">
        <f t="shared" ca="1" si="392"/>
        <v>1186.3358530581913</v>
      </c>
      <c r="L896" s="304">
        <f t="shared" ca="1" si="377"/>
        <v>1395.8542078513358</v>
      </c>
      <c r="M896" s="306">
        <f t="shared" ca="1" si="393"/>
        <v>-1.5184145994148968</v>
      </c>
      <c r="N896" s="304">
        <f t="shared" ca="1" si="394"/>
        <v>-86.998748097521144</v>
      </c>
      <c r="P896" s="310">
        <f t="shared" ca="1" si="395"/>
        <v>23</v>
      </c>
      <c r="Q896" s="304">
        <f t="shared" ca="1" si="396"/>
        <v>0</v>
      </c>
      <c r="R896" s="306">
        <f t="shared" ca="1" si="397"/>
        <v>0</v>
      </c>
      <c r="S896" s="307">
        <f t="shared" ca="1" si="398"/>
        <v>6.4679999999999849</v>
      </c>
      <c r="T896" s="304">
        <f t="shared" ca="1" si="378"/>
        <v>63.451079999999855</v>
      </c>
      <c r="U896" s="311">
        <f t="shared" ca="1" si="379"/>
        <v>0</v>
      </c>
      <c r="V896" s="306">
        <f t="shared" ca="1" si="380"/>
        <v>1.0878114431796371</v>
      </c>
      <c r="W896" s="304">
        <f t="shared" ca="1" si="381"/>
        <v>53.687527453737012</v>
      </c>
      <c r="Y896" s="314" t="str">
        <f t="shared" ca="1" si="399"/>
        <v/>
      </c>
      <c r="Z896" s="315" t="str">
        <f t="shared" ca="1" si="400"/>
        <v/>
      </c>
      <c r="AA896" s="316" t="str">
        <f t="shared" ca="1" si="401"/>
        <v/>
      </c>
      <c r="AC896" s="310" t="e">
        <f t="shared" ca="1" si="402"/>
        <v>#N/A</v>
      </c>
      <c r="AD896" s="323" t="e">
        <f t="shared" ca="1" si="403"/>
        <v>#N/A</v>
      </c>
      <c r="AE896" s="324" t="e">
        <f t="shared" ca="1" si="382"/>
        <v>#N/A</v>
      </c>
      <c r="AG896" s="306">
        <f t="shared" ca="1" si="404"/>
        <v>1.5258293398786691</v>
      </c>
      <c r="AH896" s="304">
        <f t="shared" ca="1" si="405"/>
        <v>-8.2705170308902716</v>
      </c>
    </row>
    <row r="897" spans="1:34" x14ac:dyDescent="0.2">
      <c r="A897" s="347">
        <f t="shared" ca="1" si="383"/>
        <v>0.1</v>
      </c>
      <c r="B897" s="304">
        <f t="shared" ca="1" si="384"/>
        <v>44.300000000000296</v>
      </c>
      <c r="D897" s="306">
        <f t="shared" ca="1" si="385"/>
        <v>-0.43459485808878029</v>
      </c>
      <c r="E897" s="307">
        <f t="shared" ca="1" si="386"/>
        <v>-1.5209014908648033</v>
      </c>
      <c r="F897" s="304">
        <f t="shared" ca="1" si="387"/>
        <v>1.5817755958390523</v>
      </c>
      <c r="G897" s="306">
        <f t="shared" ca="1" si="388"/>
        <v>7.0044467912849502</v>
      </c>
      <c r="H897" s="307">
        <f t="shared" ca="1" si="389"/>
        <v>-134.57795443772613</v>
      </c>
      <c r="I897" s="304">
        <f t="shared" ca="1" si="390"/>
        <v>134.76011314737991</v>
      </c>
      <c r="J897" s="306">
        <f t="shared" ca="1" si="391"/>
        <v>736.24066107807653</v>
      </c>
      <c r="K897" s="307">
        <f t="shared" ca="1" si="392"/>
        <v>1172.8856621218731</v>
      </c>
      <c r="L897" s="304">
        <f t="shared" ca="1" si="377"/>
        <v>1384.8144595705764</v>
      </c>
      <c r="M897" s="306">
        <f t="shared" ca="1" si="393"/>
        <v>-1.5187957431999839</v>
      </c>
      <c r="N897" s="304">
        <f t="shared" ca="1" si="394"/>
        <v>-87.02058602779428</v>
      </c>
      <c r="P897" s="310">
        <f t="shared" ca="1" si="395"/>
        <v>23</v>
      </c>
      <c r="Q897" s="304">
        <f t="shared" ca="1" si="396"/>
        <v>0</v>
      </c>
      <c r="R897" s="306">
        <f t="shared" ca="1" si="397"/>
        <v>0</v>
      </c>
      <c r="S897" s="307">
        <f t="shared" ca="1" si="398"/>
        <v>6.4679999999999849</v>
      </c>
      <c r="T897" s="304">
        <f t="shared" ca="1" si="378"/>
        <v>63.451079999999855</v>
      </c>
      <c r="U897" s="311">
        <f t="shared" ca="1" si="379"/>
        <v>0</v>
      </c>
      <c r="V897" s="306">
        <f t="shared" ca="1" si="380"/>
        <v>1.0892806692457901</v>
      </c>
      <c r="W897" s="304">
        <f t="shared" ca="1" si="381"/>
        <v>53.87961124777145</v>
      </c>
      <c r="Y897" s="314" t="str">
        <f t="shared" ca="1" si="399"/>
        <v/>
      </c>
      <c r="Z897" s="315" t="str">
        <f t="shared" ca="1" si="400"/>
        <v/>
      </c>
      <c r="AA897" s="316" t="str">
        <f t="shared" ca="1" si="401"/>
        <v/>
      </c>
      <c r="AC897" s="310" t="e">
        <f t="shared" ca="1" si="402"/>
        <v>#N/A</v>
      </c>
      <c r="AD897" s="323" t="e">
        <f t="shared" ca="1" si="403"/>
        <v>#N/A</v>
      </c>
      <c r="AE897" s="324" t="e">
        <f t="shared" ca="1" si="382"/>
        <v>#N/A</v>
      </c>
      <c r="AG897" s="306">
        <f t="shared" ca="1" si="404"/>
        <v>1.4960609883922302</v>
      </c>
      <c r="AH897" s="304">
        <f t="shared" ca="1" si="405"/>
        <v>-8.3004835271702433</v>
      </c>
    </row>
    <row r="898" spans="1:34" x14ac:dyDescent="0.2">
      <c r="A898" s="347">
        <f t="shared" ca="1" si="383"/>
        <v>0.1</v>
      </c>
      <c r="B898" s="304">
        <f t="shared" ca="1" si="384"/>
        <v>44.400000000000297</v>
      </c>
      <c r="D898" s="306">
        <f t="shared" ca="1" si="385"/>
        <v>-0.43297908259397128</v>
      </c>
      <c r="E898" s="307">
        <f t="shared" ca="1" si="386"/>
        <v>-1.4910790364886868</v>
      </c>
      <c r="F898" s="304">
        <f t="shared" ca="1" si="387"/>
        <v>1.5526711110276856</v>
      </c>
      <c r="G898" s="306">
        <f t="shared" ca="1" si="388"/>
        <v>6.9611488830255528</v>
      </c>
      <c r="H898" s="307">
        <f t="shared" ca="1" si="389"/>
        <v>-134.72706234137502</v>
      </c>
      <c r="I898" s="304">
        <f t="shared" ca="1" si="390"/>
        <v>134.90677863216658</v>
      </c>
      <c r="J898" s="306">
        <f t="shared" ca="1" si="391"/>
        <v>736.93894086179205</v>
      </c>
      <c r="K898" s="307">
        <f t="shared" ca="1" si="392"/>
        <v>1159.4204112829179</v>
      </c>
      <c r="L898" s="304">
        <f t="shared" ca="1" si="377"/>
        <v>1373.803003584557</v>
      </c>
      <c r="M898" s="306">
        <f t="shared" ca="1" si="393"/>
        <v>-1.5191737048351495</v>
      </c>
      <c r="N898" s="304">
        <f t="shared" ca="1" si="394"/>
        <v>-87.042241634307132</v>
      </c>
      <c r="P898" s="310">
        <f t="shared" ca="1" si="395"/>
        <v>23</v>
      </c>
      <c r="Q898" s="304">
        <f t="shared" ca="1" si="396"/>
        <v>0</v>
      </c>
      <c r="R898" s="306">
        <f t="shared" ca="1" si="397"/>
        <v>0</v>
      </c>
      <c r="S898" s="307">
        <f t="shared" ca="1" si="398"/>
        <v>6.4679999999999849</v>
      </c>
      <c r="T898" s="304">
        <f t="shared" ca="1" si="378"/>
        <v>63.451079999999855</v>
      </c>
      <c r="U898" s="311">
        <f t="shared" ca="1" si="379"/>
        <v>0</v>
      </c>
      <c r="V898" s="306">
        <f t="shared" ca="1" si="380"/>
        <v>1.0907534113680895</v>
      </c>
      <c r="W898" s="304">
        <f t="shared" ca="1" si="381"/>
        <v>54.069959870635685</v>
      </c>
      <c r="Y898" s="314" t="str">
        <f t="shared" ca="1" si="399"/>
        <v/>
      </c>
      <c r="Z898" s="315" t="str">
        <f t="shared" ca="1" si="400"/>
        <v/>
      </c>
      <c r="AA898" s="316" t="str">
        <f t="shared" ca="1" si="401"/>
        <v/>
      </c>
      <c r="AC898" s="310" t="e">
        <f t="shared" ca="1" si="402"/>
        <v>#N/A</v>
      </c>
      <c r="AD898" s="323" t="e">
        <f t="shared" ca="1" si="403"/>
        <v>#N/A</v>
      </c>
      <c r="AE898" s="324" t="e">
        <f t="shared" ca="1" si="382"/>
        <v>#N/A</v>
      </c>
      <c r="AG898" s="306">
        <f t="shared" ca="1" si="404"/>
        <v>1.4665584873300954</v>
      </c>
      <c r="AH898" s="304">
        <f t="shared" ca="1" si="405"/>
        <v>-8.330181083452624</v>
      </c>
    </row>
    <row r="899" spans="1:34" x14ac:dyDescent="0.2">
      <c r="A899" s="347">
        <f t="shared" ca="1" si="383"/>
        <v>0.1</v>
      </c>
      <c r="B899" s="304">
        <f t="shared" ca="1" si="384"/>
        <v>44.500000000000298</v>
      </c>
      <c r="D899" s="306">
        <f t="shared" ca="1" si="385"/>
        <v>-0.43135336101682392</v>
      </c>
      <c r="E899" s="307">
        <f t="shared" ca="1" si="386"/>
        <v>-1.4615258993259008</v>
      </c>
      <c r="F899" s="304">
        <f t="shared" ca="1" si="387"/>
        <v>1.5238515926627809</v>
      </c>
      <c r="G899" s="306">
        <f t="shared" ca="1" si="388"/>
        <v>6.9180135469238708</v>
      </c>
      <c r="H899" s="307">
        <f t="shared" ca="1" si="389"/>
        <v>-134.87321493130761</v>
      </c>
      <c r="I899" s="304">
        <f t="shared" ca="1" si="390"/>
        <v>135.05052024091623</v>
      </c>
      <c r="J899" s="306">
        <f t="shared" ca="1" si="391"/>
        <v>737.63289898328946</v>
      </c>
      <c r="K899" s="307">
        <f t="shared" ca="1" si="392"/>
        <v>1145.9403974192837</v>
      </c>
      <c r="L899" s="304">
        <f t="shared" ca="1" si="377"/>
        <v>1362.8212238220967</v>
      </c>
      <c r="M899" s="306">
        <f t="shared" ca="1" si="393"/>
        <v>-1.519548522375457</v>
      </c>
      <c r="N899" s="304">
        <f t="shared" ca="1" si="394"/>
        <v>-87.06371709745423</v>
      </c>
      <c r="P899" s="310">
        <f t="shared" ca="1" si="395"/>
        <v>23</v>
      </c>
      <c r="Q899" s="304">
        <f t="shared" ca="1" si="396"/>
        <v>0</v>
      </c>
      <c r="R899" s="306">
        <f t="shared" ca="1" si="397"/>
        <v>0</v>
      </c>
      <c r="S899" s="307">
        <f t="shared" ca="1" si="398"/>
        <v>6.4679999999999849</v>
      </c>
      <c r="T899" s="304">
        <f t="shared" ca="1" si="378"/>
        <v>63.451079999999855</v>
      </c>
      <c r="U899" s="311">
        <f t="shared" ca="1" si="379"/>
        <v>0</v>
      </c>
      <c r="V899" s="306">
        <f t="shared" ca="1" si="380"/>
        <v>1.092229646877285</v>
      </c>
      <c r="W899" s="304">
        <f t="shared" ca="1" si="381"/>
        <v>54.258577882213771</v>
      </c>
      <c r="Y899" s="314" t="str">
        <f t="shared" ca="1" si="399"/>
        <v/>
      </c>
      <c r="Z899" s="315" t="str">
        <f t="shared" ca="1" si="400"/>
        <v/>
      </c>
      <c r="AA899" s="316" t="str">
        <f t="shared" ca="1" si="401"/>
        <v/>
      </c>
      <c r="AC899" s="310" t="e">
        <f t="shared" ca="1" si="402"/>
        <v>#N/A</v>
      </c>
      <c r="AD899" s="323" t="e">
        <f t="shared" ca="1" si="403"/>
        <v>#N/A</v>
      </c>
      <c r="AE899" s="324" t="e">
        <f t="shared" ca="1" si="382"/>
        <v>#N/A</v>
      </c>
      <c r="AG899" s="306">
        <f t="shared" ca="1" si="404"/>
        <v>1.4373212224826606</v>
      </c>
      <c r="AH899" s="304">
        <f t="shared" ca="1" si="405"/>
        <v>-8.3596103696097419</v>
      </c>
    </row>
    <row r="900" spans="1:34" x14ac:dyDescent="0.2">
      <c r="A900" s="347">
        <f t="shared" ca="1" si="383"/>
        <v>0.1</v>
      </c>
      <c r="B900" s="304">
        <f t="shared" ca="1" si="384"/>
        <v>44.6000000000003</v>
      </c>
      <c r="D900" s="306">
        <f t="shared" ca="1" si="385"/>
        <v>-0.42971799635817493</v>
      </c>
      <c r="E900" s="307">
        <f t="shared" ca="1" si="386"/>
        <v>-1.432241371811422</v>
      </c>
      <c r="F900" s="304">
        <f t="shared" ca="1" si="387"/>
        <v>1.4953169909829647</v>
      </c>
      <c r="G900" s="306">
        <f t="shared" ca="1" si="388"/>
        <v>6.8750417472880532</v>
      </c>
      <c r="H900" s="307">
        <f t="shared" ca="1" si="389"/>
        <v>-135.01643906848875</v>
      </c>
      <c r="I900" s="304">
        <f t="shared" ca="1" si="390"/>
        <v>135.19136443487022</v>
      </c>
      <c r="J900" s="306">
        <f t="shared" ca="1" si="391"/>
        <v>738.32255174800002</v>
      </c>
      <c r="K900" s="307">
        <f t="shared" ca="1" si="392"/>
        <v>1132.4459147192938</v>
      </c>
      <c r="L900" s="304">
        <f t="shared" ref="L900:L963" ca="1" si="406">SQRT(pos_x^2+pos_z^2)</f>
        <v>1351.8705338101338</v>
      </c>
      <c r="M900" s="306">
        <f t="shared" ca="1" si="393"/>
        <v>-1.519920233203798</v>
      </c>
      <c r="N900" s="304">
        <f t="shared" ca="1" si="394"/>
        <v>-87.085014559117482</v>
      </c>
      <c r="P900" s="310">
        <f t="shared" ca="1" si="395"/>
        <v>23</v>
      </c>
      <c r="Q900" s="304">
        <f t="shared" ca="1" si="396"/>
        <v>0</v>
      </c>
      <c r="R900" s="306">
        <f t="shared" ca="1" si="397"/>
        <v>0</v>
      </c>
      <c r="S900" s="307">
        <f t="shared" ca="1" si="398"/>
        <v>6.4679999999999849</v>
      </c>
      <c r="T900" s="304">
        <f t="shared" ref="T900:T963" ca="1" si="407">m*g</f>
        <v>63.451079999999855</v>
      </c>
      <c r="U900" s="311">
        <f t="shared" ref="U900:U963" ca="1" si="408">IF(pos_xz&lt;L_rampe,Poids*COS(Beta),0)</f>
        <v>0</v>
      </c>
      <c r="V900" s="306">
        <f t="shared" ref="V900:V963" ca="1" si="409">Rho_moyen*(20000-Alt_rampe-pos_z)/(20000+Alt_rampe+pos_z)</f>
        <v>1.0937093532732167</v>
      </c>
      <c r="W900" s="304">
        <f t="shared" ref="W900:W963" ca="1" si="410">1/2*Rho*Sref*Cx*vit_xz^2</f>
        <v>54.44547006404283</v>
      </c>
      <c r="Y900" s="314" t="str">
        <f t="shared" ca="1" si="399"/>
        <v/>
      </c>
      <c r="Z900" s="315" t="str">
        <f t="shared" ca="1" si="400"/>
        <v/>
      </c>
      <c r="AA900" s="316" t="str">
        <f t="shared" ca="1" si="401"/>
        <v/>
      </c>
      <c r="AC900" s="310" t="e">
        <f t="shared" ca="1" si="402"/>
        <v>#N/A</v>
      </c>
      <c r="AD900" s="323" t="e">
        <f t="shared" ca="1" si="403"/>
        <v>#N/A</v>
      </c>
      <c r="AE900" s="324" t="e">
        <f t="shared" ref="AE900:AE963" ca="1" si="411">IF(t&lt;T_para, pos_z, NA())</f>
        <v>#N/A</v>
      </c>
      <c r="AG900" s="306">
        <f t="shared" ca="1" si="404"/>
        <v>1.4083485433034699</v>
      </c>
      <c r="AH900" s="304">
        <f t="shared" ca="1" si="405"/>
        <v>-8.3887720906329459</v>
      </c>
    </row>
    <row r="901" spans="1:34" x14ac:dyDescent="0.2">
      <c r="A901" s="347">
        <f t="shared" ref="A901:A964" ca="1" si="412">IF(B900+0.01&lt;=T_ini+ROUNDUP(Temps_fin_propu,0), 0.01, IF(K900&gt;0, 0.1, 0.0001))</f>
        <v>0.1</v>
      </c>
      <c r="B901" s="304">
        <f t="shared" ref="B901:B964" ca="1" si="413">B900+pas</f>
        <v>44.700000000000301</v>
      </c>
      <c r="D901" s="306">
        <f t="shared" ref="D901:D964" ca="1" si="414">IF(AND(L900&lt;L_rampe,Poussee&lt;Poids*SIN(M900)),0,(-W900+Poussee)/m*COS(M900)-U900/m*SIN(M900))</f>
        <v>-0.42807328843777864</v>
      </c>
      <c r="E901" s="307">
        <f t="shared" ref="E901:E964" ca="1" si="415">IF(AND(L900&lt;L_rampe,Poussee&lt;Poids*SIN(M900)),0,(-W900+Poussee)/m*SIN(M900)+U900/m*COS(M900)-Poids/m)</f>
        <v>-1.4032247119800303</v>
      </c>
      <c r="F901" s="304">
        <f t="shared" ref="F901:F964" ca="1" si="416">SQRT(acc_x^2+acc_z^2)</f>
        <v>1.4670672556448707</v>
      </c>
      <c r="G901" s="306">
        <f t="shared" ref="G901:G964" ca="1" si="417">G900+acc_x*pas</f>
        <v>6.8322344184442754</v>
      </c>
      <c r="H901" s="307">
        <f t="shared" ref="H901:H964" ca="1" si="418">H900+acc_z*pas</f>
        <v>-135.15676153968676</v>
      </c>
      <c r="I901" s="304">
        <f t="shared" ref="I901:I964" ca="1" si="419">SQRT(vit_x^2+vit_z^2)</f>
        <v>135.32933760661183</v>
      </c>
      <c r="J901" s="306">
        <f t="shared" ref="J901:J964" ca="1" si="420">J900+0.5*(vit_x+G900)*pas*(K900&gt;=0)</f>
        <v>739.00791555628666</v>
      </c>
      <c r="K901" s="307">
        <f t="shared" ref="K901:K964" ca="1" si="421">K900+0.5*(vit_z+H900)*pas</f>
        <v>1118.9372546888851</v>
      </c>
      <c r="L901" s="304">
        <f t="shared" ca="1" si="406"/>
        <v>1340.9523776725057</v>
      </c>
      <c r="M901" s="306">
        <f t="shared" ref="M901:M964" ca="1" si="422">IF(AND(L900&gt;L_rampe,G901&gt;0),ATAN2(G901,H901),$M$4)</f>
        <v>-1.5202888740459672</v>
      </c>
      <c r="N901" s="304">
        <f t="shared" ref="N901:N964" ca="1" si="423">DEGREES(Beta)</f>
        <v>-87.106136123529922</v>
      </c>
      <c r="P901" s="310">
        <f t="shared" ref="P901:P964" ca="1" si="424">MATCH(t-pas/2-T_ini,CdP_t)</f>
        <v>23</v>
      </c>
      <c r="Q901" s="304">
        <f t="shared" ref="Q901:Q964" ca="1" si="425">(INDEX(CdP,2,i_P+1)-INDEX(CdP,2,i_P+0))/(INDEX(CdP,1,i_P+1)-INDEX(CdP,1,i_P+0))*(t-pas/2-T_ini-INDEX(CdP,1,i_P+0))+INDEX(CdP,2,i_P+0)</f>
        <v>0</v>
      </c>
      <c r="R901" s="306">
        <f t="shared" ref="R901:R964" ca="1" si="426">Poussee/(g*ISP)</f>
        <v>0</v>
      </c>
      <c r="S901" s="307">
        <f t="shared" ref="S901:S964" ca="1" si="427">S900-Débit*pas</f>
        <v>6.4679999999999849</v>
      </c>
      <c r="T901" s="304">
        <f t="shared" ca="1" si="407"/>
        <v>63.451079999999855</v>
      </c>
      <c r="U901" s="311">
        <f t="shared" ca="1" si="408"/>
        <v>0</v>
      </c>
      <c r="V901" s="306">
        <f t="shared" ca="1" si="409"/>
        <v>1.0951925082248581</v>
      </c>
      <c r="W901" s="304">
        <f t="shared" ca="1" si="410"/>
        <v>54.63064141386166</v>
      </c>
      <c r="Y901" s="314" t="str">
        <f t="shared" ref="Y901:Y964" ca="1" si="428">IF(AND(pos_z&lt;=0,K900&gt;0),"Impact balistique","") &amp; IF(AND(H902&lt;0,vit_z&gt;=0),"Apogée","") &amp; IF(AND(Poussee=0,Q900&gt;0),"Fin de propulsion","") &amp; IF(AND(L902&gt;L_rampe,pos_xz&lt;=L_rampe),"Sortie de rampe","")</f>
        <v/>
      </c>
      <c r="Z901" s="315" t="str">
        <f t="shared" ref="Z901:Z964" ca="1" si="429">IF(ABS(t-T_para)&lt;pas/2,"Para","")</f>
        <v/>
      </c>
      <c r="AA901" s="316" t="str">
        <f t="shared" ref="AA901:AA964" ca="1" si="430">IF(ABS(t-T_satellite)&lt;pas/2,"Satellite","")</f>
        <v/>
      </c>
      <c r="AC901" s="310" t="e">
        <f t="shared" ref="AC901:AC964" ca="1" si="431">IF(ABS(t-ROUND(t,0))&lt;0.001,t,NA())</f>
        <v>#N/A</v>
      </c>
      <c r="AD901" s="323" t="e">
        <f t="shared" ref="AD901:AD964" ca="1" si="432">IF(ABS(t-ROUND(t,0))&lt;0.001,pos_x,NA())</f>
        <v>#N/A</v>
      </c>
      <c r="AE901" s="324" t="e">
        <f t="shared" ca="1" si="411"/>
        <v>#N/A</v>
      </c>
      <c r="AG901" s="306">
        <f t="shared" ref="AG901:AG964" ca="1" si="433">IF(AND(L900&lt;L_rampe,Poussee&lt;Poids*SIN(M900)),0,(-W900+Poussee)/m-Poids*SIN(M900)/m)</f>
        <v>1.3796397637912481</v>
      </c>
      <c r="AH901" s="304">
        <f t="shared" ref="AH901:AH964" ca="1" si="434">IF(AND(L900&lt;L_rampe,Poussee&lt;Poids*SIN(M900)), g*SIN(M900), (-W900+Poussee)/m)</f>
        <v>-8.4176669857827697</v>
      </c>
    </row>
    <row r="902" spans="1:34" x14ac:dyDescent="0.2">
      <c r="A902" s="347">
        <f t="shared" ca="1" si="412"/>
        <v>0.1</v>
      </c>
      <c r="B902" s="304">
        <f t="shared" ca="1" si="413"/>
        <v>44.800000000000303</v>
      </c>
      <c r="D902" s="306">
        <f t="shared" ca="1" si="414"/>
        <v>-0.42641953388139292</v>
      </c>
      <c r="E902" s="307">
        <f t="shared" ca="1" si="415"/>
        <v>-1.3744751443122656</v>
      </c>
      <c r="F902" s="304">
        <f t="shared" ca="1" si="416"/>
        <v>1.4391023386847259</v>
      </c>
      <c r="G902" s="306">
        <f t="shared" ca="1" si="417"/>
        <v>6.7895924650561357</v>
      </c>
      <c r="H902" s="307">
        <f t="shared" ca="1" si="418"/>
        <v>-135.29420905411797</v>
      </c>
      <c r="I902" s="304">
        <f t="shared" ca="1" si="419"/>
        <v>135.46446607660965</v>
      </c>
      <c r="J902" s="306">
        <f t="shared" ca="1" si="420"/>
        <v>739.68900690046166</v>
      </c>
      <c r="K902" s="307">
        <f t="shared" ca="1" si="421"/>
        <v>1105.4147061591948</v>
      </c>
      <c r="L902" s="304">
        <f t="shared" ca="1" si="406"/>
        <v>1330.0682311529774</v>
      </c>
      <c r="M902" s="306">
        <f t="shared" ca="1" si="422"/>
        <v>-1.5206544809853411</v>
      </c>
      <c r="N902" s="304">
        <f t="shared" ca="1" si="423"/>
        <v>-87.127083858116734</v>
      </c>
      <c r="P902" s="310">
        <f t="shared" ca="1" si="424"/>
        <v>23</v>
      </c>
      <c r="Q902" s="304">
        <f t="shared" ca="1" si="425"/>
        <v>0</v>
      </c>
      <c r="R902" s="306">
        <f t="shared" ca="1" si="426"/>
        <v>0</v>
      </c>
      <c r="S902" s="307">
        <f t="shared" ca="1" si="427"/>
        <v>6.4679999999999849</v>
      </c>
      <c r="T902" s="304">
        <f t="shared" ca="1" si="407"/>
        <v>63.451079999999855</v>
      </c>
      <c r="U902" s="311">
        <f t="shared" ca="1" si="408"/>
        <v>0</v>
      </c>
      <c r="V902" s="306">
        <f t="shared" ca="1" si="409"/>
        <v>1.0966790895703333</v>
      </c>
      <c r="W902" s="304">
        <f t="shared" ca="1" si="410"/>
        <v>54.814097140205334</v>
      </c>
      <c r="Y902" s="314" t="str">
        <f t="shared" ca="1" si="428"/>
        <v/>
      </c>
      <c r="Z902" s="315" t="str">
        <f t="shared" ca="1" si="429"/>
        <v/>
      </c>
      <c r="AA902" s="316" t="str">
        <f t="shared" ca="1" si="430"/>
        <v/>
      </c>
      <c r="AC902" s="310" t="e">
        <f t="shared" ca="1" si="431"/>
        <v>#N/A</v>
      </c>
      <c r="AD902" s="323" t="e">
        <f t="shared" ca="1" si="432"/>
        <v>#N/A</v>
      </c>
      <c r="AE902" s="324" t="e">
        <f t="shared" ca="1" si="411"/>
        <v>#N/A</v>
      </c>
      <c r="AG902" s="306">
        <f t="shared" ca="1" si="433"/>
        <v>1.3511941633639104</v>
      </c>
      <c r="AH902" s="304">
        <f t="shared" ca="1" si="434"/>
        <v>-8.446295827746102</v>
      </c>
    </row>
    <row r="903" spans="1:34" x14ac:dyDescent="0.2">
      <c r="A903" s="347">
        <f t="shared" ca="1" si="412"/>
        <v>0.1</v>
      </c>
      <c r="B903" s="304">
        <f t="shared" ca="1" si="413"/>
        <v>44.900000000000304</v>
      </c>
      <c r="D903" s="306">
        <f t="shared" ca="1" si="414"/>
        <v>-0.4247570261092159</v>
      </c>
      <c r="E903" s="307">
        <f t="shared" ca="1" si="415"/>
        <v>-1.3459918605732444</v>
      </c>
      <c r="F903" s="304">
        <f t="shared" ca="1" si="416"/>
        <v>1.411422197628537</v>
      </c>
      <c r="G903" s="306">
        <f t="shared" ca="1" si="417"/>
        <v>6.7471167624452137</v>
      </c>
      <c r="H903" s="307">
        <f t="shared" ca="1" si="418"/>
        <v>-135.4288082401753</v>
      </c>
      <c r="I903" s="304">
        <f t="shared" ca="1" si="419"/>
        <v>135.59677608984751</v>
      </c>
      <c r="J903" s="306">
        <f t="shared" ca="1" si="420"/>
        <v>740.36584236183671</v>
      </c>
      <c r="K903" s="307">
        <f t="shared" ca="1" si="421"/>
        <v>1091.8785552944801</v>
      </c>
      <c r="L903" s="304">
        <f t="shared" ca="1" si="406"/>
        <v>1319.2196026621621</v>
      </c>
      <c r="M903" s="306">
        <f t="shared" ca="1" si="422"/>
        <v>-1.5210170894771735</v>
      </c>
      <c r="N903" s="304">
        <f t="shared" ca="1" si="423"/>
        <v>-87.147859794314343</v>
      </c>
      <c r="P903" s="310">
        <f t="shared" ca="1" si="424"/>
        <v>23</v>
      </c>
      <c r="Q903" s="304">
        <f t="shared" ca="1" si="425"/>
        <v>0</v>
      </c>
      <c r="R903" s="306">
        <f t="shared" ca="1" si="426"/>
        <v>0</v>
      </c>
      <c r="S903" s="307">
        <f t="shared" ca="1" si="427"/>
        <v>6.4679999999999849</v>
      </c>
      <c r="T903" s="304">
        <f t="shared" ca="1" si="407"/>
        <v>63.451079999999855</v>
      </c>
      <c r="U903" s="311">
        <f t="shared" ca="1" si="408"/>
        <v>0</v>
      </c>
      <c r="V903" s="306">
        <f t="shared" ca="1" si="409"/>
        <v>1.0981690753169082</v>
      </c>
      <c r="W903" s="304">
        <f t="shared" ca="1" si="410"/>
        <v>54.995842657047213</v>
      </c>
      <c r="Y903" s="314" t="str">
        <f t="shared" ca="1" si="428"/>
        <v/>
      </c>
      <c r="Z903" s="315" t="str">
        <f t="shared" ca="1" si="429"/>
        <v/>
      </c>
      <c r="AA903" s="316" t="str">
        <f t="shared" ca="1" si="430"/>
        <v/>
      </c>
      <c r="AC903" s="310" t="e">
        <f t="shared" ca="1" si="431"/>
        <v>#N/A</v>
      </c>
      <c r="AD903" s="323" t="e">
        <f t="shared" ca="1" si="432"/>
        <v>#N/A</v>
      </c>
      <c r="AE903" s="324" t="e">
        <f t="shared" ca="1" si="411"/>
        <v>#N/A</v>
      </c>
      <c r="AG903" s="306">
        <f t="shared" ca="1" si="433"/>
        <v>1.323010987724496</v>
      </c>
      <c r="AH903" s="304">
        <f t="shared" ca="1" si="434"/>
        <v>-8.4746594218004727</v>
      </c>
    </row>
    <row r="904" spans="1:34" x14ac:dyDescent="0.2">
      <c r="A904" s="347">
        <f t="shared" ca="1" si="412"/>
        <v>0.1</v>
      </c>
      <c r="B904" s="304">
        <f t="shared" ca="1" si="413"/>
        <v>45.000000000000306</v>
      </c>
      <c r="D904" s="306">
        <f t="shared" ca="1" si="414"/>
        <v>-0.423086055325615</v>
      </c>
      <c r="E904" s="307">
        <f t="shared" ca="1" si="415"/>
        <v>-1.3177740206441211</v>
      </c>
      <c r="F904" s="304">
        <f t="shared" ca="1" si="416"/>
        <v>1.3840267987635073</v>
      </c>
      <c r="G904" s="306">
        <f t="shared" ca="1" si="417"/>
        <v>6.7048081569126525</v>
      </c>
      <c r="H904" s="307">
        <f t="shared" ca="1" si="418"/>
        <v>-135.56058564223972</v>
      </c>
      <c r="I904" s="304">
        <f t="shared" ca="1" si="419"/>
        <v>135.72629381254029</v>
      </c>
      <c r="J904" s="306">
        <f t="shared" ca="1" si="420"/>
        <v>741.03843860780455</v>
      </c>
      <c r="K904" s="307">
        <f t="shared" ca="1" si="421"/>
        <v>1078.3290856003593</v>
      </c>
      <c r="L904" s="304">
        <f t="shared" ca="1" si="406"/>
        <v>1308.4080343478483</v>
      </c>
      <c r="M904" s="306">
        <f t="shared" ca="1" si="422"/>
        <v>-1.5213767343625175</v>
      </c>
      <c r="N904" s="304">
        <f t="shared" ca="1" si="423"/>
        <v>-87.168465928368022</v>
      </c>
      <c r="P904" s="310">
        <f t="shared" ca="1" si="424"/>
        <v>23</v>
      </c>
      <c r="Q904" s="304">
        <f t="shared" ca="1" si="425"/>
        <v>0</v>
      </c>
      <c r="R904" s="306">
        <f t="shared" ca="1" si="426"/>
        <v>0</v>
      </c>
      <c r="S904" s="307">
        <f t="shared" ca="1" si="427"/>
        <v>6.4679999999999849</v>
      </c>
      <c r="T904" s="304">
        <f t="shared" ca="1" si="407"/>
        <v>63.451079999999855</v>
      </c>
      <c r="U904" s="311">
        <f t="shared" ca="1" si="408"/>
        <v>0</v>
      </c>
      <c r="V904" s="306">
        <f t="shared" ca="1" si="409"/>
        <v>1.0996624436409577</v>
      </c>
      <c r="W904" s="304">
        <f t="shared" ca="1" si="410"/>
        <v>55.175883578489803</v>
      </c>
      <c r="Y904" s="314" t="str">
        <f t="shared" ca="1" si="428"/>
        <v/>
      </c>
      <c r="Z904" s="315" t="str">
        <f t="shared" ca="1" si="429"/>
        <v/>
      </c>
      <c r="AA904" s="316" t="str">
        <f t="shared" ca="1" si="430"/>
        <v/>
      </c>
      <c r="AC904" s="310">
        <f t="shared" ca="1" si="431"/>
        <v>45.000000000000306</v>
      </c>
      <c r="AD904" s="323">
        <f t="shared" ca="1" si="432"/>
        <v>741.03843860780455</v>
      </c>
      <c r="AE904" s="324" t="e">
        <f t="shared" ca="1" si="411"/>
        <v>#N/A</v>
      </c>
      <c r="AG904" s="306">
        <f t="shared" ca="1" si="433"/>
        <v>1.2950894497188674</v>
      </c>
      <c r="AH904" s="304">
        <f t="shared" ca="1" si="434"/>
        <v>-8.502758604985674</v>
      </c>
    </row>
    <row r="905" spans="1:34" x14ac:dyDescent="0.2">
      <c r="A905" s="347">
        <f t="shared" ca="1" si="412"/>
        <v>0.1</v>
      </c>
      <c r="B905" s="304">
        <f t="shared" ca="1" si="413"/>
        <v>45.100000000000307</v>
      </c>
      <c r="D905" s="306">
        <f t="shared" ca="1" si="414"/>
        <v>-0.42140690851016538</v>
      </c>
      <c r="E905" s="307">
        <f t="shared" ca="1" si="415"/>
        <v>-1.2898207533459747</v>
      </c>
      <c r="F905" s="304">
        <f t="shared" ca="1" si="416"/>
        <v>1.3569161205844937</v>
      </c>
      <c r="G905" s="306">
        <f t="shared" ca="1" si="417"/>
        <v>6.6626674660616363</v>
      </c>
      <c r="H905" s="307">
        <f t="shared" ca="1" si="418"/>
        <v>-135.68956771757431</v>
      </c>
      <c r="I905" s="304">
        <f t="shared" ca="1" si="419"/>
        <v>135.85304532893437</v>
      </c>
      <c r="J905" s="306">
        <f t="shared" ca="1" si="420"/>
        <v>741.70681238895327</v>
      </c>
      <c r="K905" s="307">
        <f t="shared" ca="1" si="421"/>
        <v>1064.7665779323686</v>
      </c>
      <c r="L905" s="304">
        <f t="shared" ca="1" si="406"/>
        <v>1297.635103188099</v>
      </c>
      <c r="M905" s="306">
        <f t="shared" ca="1" si="422"/>
        <v>-1.5217334498817845</v>
      </c>
      <c r="N905" s="304">
        <f t="shared" ca="1" si="423"/>
        <v>-87.188904222108832</v>
      </c>
      <c r="P905" s="310">
        <f t="shared" ca="1" si="424"/>
        <v>23</v>
      </c>
      <c r="Q905" s="304">
        <f t="shared" ca="1" si="425"/>
        <v>0</v>
      </c>
      <c r="R905" s="306">
        <f t="shared" ca="1" si="426"/>
        <v>0</v>
      </c>
      <c r="S905" s="307">
        <f t="shared" ca="1" si="427"/>
        <v>6.4679999999999849</v>
      </c>
      <c r="T905" s="304">
        <f t="shared" ca="1" si="407"/>
        <v>63.451079999999855</v>
      </c>
      <c r="U905" s="311">
        <f t="shared" ca="1" si="408"/>
        <v>0</v>
      </c>
      <c r="V905" s="306">
        <f t="shared" ca="1" si="409"/>
        <v>1.1011591728879078</v>
      </c>
      <c r="W905" s="304">
        <f t="shared" ca="1" si="410"/>
        <v>55.354225713505016</v>
      </c>
      <c r="Y905" s="314" t="str">
        <f t="shared" ca="1" si="428"/>
        <v/>
      </c>
      <c r="Z905" s="315" t="str">
        <f t="shared" ca="1" si="429"/>
        <v/>
      </c>
      <c r="AA905" s="316" t="str">
        <f t="shared" ca="1" si="430"/>
        <v/>
      </c>
      <c r="AC905" s="310" t="e">
        <f t="shared" ca="1" si="431"/>
        <v>#N/A</v>
      </c>
      <c r="AD905" s="323" t="e">
        <f t="shared" ca="1" si="432"/>
        <v>#N/A</v>
      </c>
      <c r="AE905" s="324" t="e">
        <f t="shared" ca="1" si="411"/>
        <v>#N/A</v>
      </c>
      <c r="AG905" s="306">
        <f t="shared" ca="1" si="433"/>
        <v>1.2674287301849443</v>
      </c>
      <c r="AH905" s="304">
        <f t="shared" ca="1" si="434"/>
        <v>-8.53059424528292</v>
      </c>
    </row>
    <row r="906" spans="1:34" x14ac:dyDescent="0.2">
      <c r="A906" s="347">
        <f t="shared" ca="1" si="412"/>
        <v>0.1</v>
      </c>
      <c r="B906" s="304">
        <f t="shared" ca="1" si="413"/>
        <v>45.200000000000308</v>
      </c>
      <c r="D906" s="306">
        <f t="shared" ca="1" si="414"/>
        <v>-0.41971986940994532</v>
      </c>
      <c r="E906" s="307">
        <f t="shared" ca="1" si="415"/>
        <v>-1.2621311572560252</v>
      </c>
      <c r="F906" s="304">
        <f t="shared" ca="1" si="416"/>
        <v>1.3300901574306665</v>
      </c>
      <c r="G906" s="306">
        <f t="shared" ca="1" si="417"/>
        <v>6.6206954791206414</v>
      </c>
      <c r="H906" s="307">
        <f t="shared" ca="1" si="418"/>
        <v>-135.8157808332999</v>
      </c>
      <c r="I906" s="304">
        <f t="shared" ca="1" si="419"/>
        <v>135.97705663819247</v>
      </c>
      <c r="J906" s="306">
        <f t="shared" ca="1" si="420"/>
        <v>742.37098053621241</v>
      </c>
      <c r="K906" s="307">
        <f t="shared" ca="1" si="421"/>
        <v>1051.191310504825</v>
      </c>
      <c r="L906" s="304">
        <f t="shared" ca="1" si="406"/>
        <v>1286.9024221063339</v>
      </c>
      <c r="M906" s="306">
        <f t="shared" ca="1" si="422"/>
        <v>-1.5220872696879557</v>
      </c>
      <c r="N906" s="304">
        <f t="shared" ca="1" si="423"/>
        <v>-87.209176603710588</v>
      </c>
      <c r="P906" s="310">
        <f t="shared" ca="1" si="424"/>
        <v>23</v>
      </c>
      <c r="Q906" s="304">
        <f t="shared" ca="1" si="425"/>
        <v>0</v>
      </c>
      <c r="R906" s="306">
        <f t="shared" ca="1" si="426"/>
        <v>0</v>
      </c>
      <c r="S906" s="307">
        <f t="shared" ca="1" si="427"/>
        <v>6.4679999999999849</v>
      </c>
      <c r="T906" s="304">
        <f t="shared" ca="1" si="407"/>
        <v>63.451079999999855</v>
      </c>
      <c r="U906" s="311">
        <f t="shared" ca="1" si="408"/>
        <v>0</v>
      </c>
      <c r="V906" s="306">
        <f t="shared" ca="1" si="409"/>
        <v>1.102659241572155</v>
      </c>
      <c r="W906" s="304">
        <f t="shared" ca="1" si="410"/>
        <v>55.53087506072567</v>
      </c>
      <c r="Y906" s="314" t="str">
        <f t="shared" ca="1" si="428"/>
        <v/>
      </c>
      <c r="Z906" s="315" t="str">
        <f t="shared" ca="1" si="429"/>
        <v/>
      </c>
      <c r="AA906" s="316" t="str">
        <f t="shared" ca="1" si="430"/>
        <v/>
      </c>
      <c r="AC906" s="310" t="e">
        <f t="shared" ca="1" si="431"/>
        <v>#N/A</v>
      </c>
      <c r="AD906" s="323" t="e">
        <f t="shared" ca="1" si="432"/>
        <v>#N/A</v>
      </c>
      <c r="AE906" s="324" t="e">
        <f t="shared" ca="1" si="411"/>
        <v>#N/A</v>
      </c>
      <c r="AG906" s="306">
        <f t="shared" ca="1" si="433"/>
        <v>1.2400279787934583</v>
      </c>
      <c r="AH906" s="304">
        <f t="shared" ca="1" si="434"/>
        <v>-8.5581672408016622</v>
      </c>
    </row>
    <row r="907" spans="1:34" x14ac:dyDescent="0.2">
      <c r="A907" s="347">
        <f t="shared" ca="1" si="412"/>
        <v>0.1</v>
      </c>
      <c r="B907" s="304">
        <f t="shared" ca="1" si="413"/>
        <v>45.30000000000031</v>
      </c>
      <c r="D907" s="306">
        <f t="shared" ca="1" si="414"/>
        <v>-0.41802521853304359</v>
      </c>
      <c r="E907" s="307">
        <f t="shared" ca="1" si="415"/>
        <v>-1.2347043015159187</v>
      </c>
      <c r="F907" s="304">
        <f t="shared" ca="1" si="416"/>
        <v>1.3035489233287378</v>
      </c>
      <c r="G907" s="306">
        <f t="shared" ca="1" si="417"/>
        <v>6.5788929572673371</v>
      </c>
      <c r="H907" s="307">
        <f t="shared" ca="1" si="418"/>
        <v>-135.9392512634515</v>
      </c>
      <c r="I907" s="304">
        <f t="shared" ca="1" si="419"/>
        <v>136.09835365136121</v>
      </c>
      <c r="J907" s="306">
        <f t="shared" ca="1" si="420"/>
        <v>743.03095995803176</v>
      </c>
      <c r="K907" s="307">
        <f t="shared" ca="1" si="421"/>
        <v>1037.6035588999873</v>
      </c>
      <c r="L907" s="304">
        <f t="shared" ca="1" si="406"/>
        <v>1276.2116411074119</v>
      </c>
      <c r="M907" s="306">
        <f t="shared" ca="1" si="422"/>
        <v>-1.5224382268594503</v>
      </c>
      <c r="N907" s="304">
        <f t="shared" ca="1" si="423"/>
        <v>-87.229284968427066</v>
      </c>
      <c r="P907" s="310">
        <f t="shared" ca="1" si="424"/>
        <v>23</v>
      </c>
      <c r="Q907" s="304">
        <f t="shared" ca="1" si="425"/>
        <v>0</v>
      </c>
      <c r="R907" s="306">
        <f t="shared" ca="1" si="426"/>
        <v>0</v>
      </c>
      <c r="S907" s="307">
        <f t="shared" ca="1" si="427"/>
        <v>6.4679999999999849</v>
      </c>
      <c r="T907" s="304">
        <f t="shared" ca="1" si="407"/>
        <v>63.451079999999855</v>
      </c>
      <c r="U907" s="311">
        <f t="shared" ca="1" si="408"/>
        <v>0</v>
      </c>
      <c r="V907" s="306">
        <f t="shared" ca="1" si="409"/>
        <v>1.104162628376961</v>
      </c>
      <c r="W907" s="304">
        <f t="shared" ca="1" si="410"/>
        <v>55.70583780328829</v>
      </c>
      <c r="Y907" s="314" t="str">
        <f t="shared" ca="1" si="428"/>
        <v/>
      </c>
      <c r="Z907" s="315" t="str">
        <f t="shared" ca="1" si="429"/>
        <v/>
      </c>
      <c r="AA907" s="316" t="str">
        <f t="shared" ca="1" si="430"/>
        <v/>
      </c>
      <c r="AC907" s="310" t="e">
        <f t="shared" ca="1" si="431"/>
        <v>#N/A</v>
      </c>
      <c r="AD907" s="323" t="e">
        <f t="shared" ca="1" si="432"/>
        <v>#N/A</v>
      </c>
      <c r="AE907" s="324" t="e">
        <f t="shared" ca="1" si="411"/>
        <v>#N/A</v>
      </c>
      <c r="AG907" s="306">
        <f t="shared" ca="1" si="433"/>
        <v>1.2128863148799418</v>
      </c>
      <c r="AH907" s="304">
        <f t="shared" ca="1" si="434"/>
        <v>-8.5854785189743037</v>
      </c>
    </row>
    <row r="908" spans="1:34" x14ac:dyDescent="0.2">
      <c r="A908" s="347">
        <f t="shared" ca="1" si="412"/>
        <v>0.1</v>
      </c>
      <c r="B908" s="304">
        <f t="shared" ca="1" si="413"/>
        <v>45.400000000000311</v>
      </c>
      <c r="D908" s="306">
        <f t="shared" ca="1" si="414"/>
        <v>-0.416323233143296</v>
      </c>
      <c r="E908" s="307">
        <f t="shared" ca="1" si="415"/>
        <v>-1.2075392266320186</v>
      </c>
      <c r="F908" s="304">
        <f t="shared" ca="1" si="416"/>
        <v>1.2772924560608432</v>
      </c>
      <c r="G908" s="306">
        <f t="shared" ca="1" si="417"/>
        <v>6.5372606339530073</v>
      </c>
      <c r="H908" s="307">
        <f t="shared" ca="1" si="418"/>
        <v>-136.06000518611469</v>
      </c>
      <c r="I908" s="304">
        <f t="shared" ca="1" si="419"/>
        <v>136.21696218842126</v>
      </c>
      <c r="J908" s="306">
        <f t="shared" ca="1" si="420"/>
        <v>743.68676763759277</v>
      </c>
      <c r="K908" s="307">
        <f t="shared" ca="1" si="421"/>
        <v>1024.003596077509</v>
      </c>
      <c r="L908" s="304">
        <f t="shared" ca="1" si="406"/>
        <v>1265.5644484335521</v>
      </c>
      <c r="M908" s="306">
        <f t="shared" ca="1" si="422"/>
        <v>-1.5227863539126654</v>
      </c>
      <c r="N908" s="304">
        <f t="shared" ca="1" si="423"/>
        <v>-87.249231179310627</v>
      </c>
      <c r="P908" s="310">
        <f t="shared" ca="1" si="424"/>
        <v>23</v>
      </c>
      <c r="Q908" s="304">
        <f t="shared" ca="1" si="425"/>
        <v>0</v>
      </c>
      <c r="R908" s="306">
        <f t="shared" ca="1" si="426"/>
        <v>0</v>
      </c>
      <c r="S908" s="307">
        <f t="shared" ca="1" si="427"/>
        <v>6.4679999999999849</v>
      </c>
      <c r="T908" s="304">
        <f t="shared" ca="1" si="407"/>
        <v>63.451079999999855</v>
      </c>
      <c r="U908" s="311">
        <f t="shared" ca="1" si="408"/>
        <v>0</v>
      </c>
      <c r="V908" s="306">
        <f t="shared" ca="1" si="409"/>
        <v>1.105669312154324</v>
      </c>
      <c r="W908" s="304">
        <f t="shared" ca="1" si="410"/>
        <v>55.879120303728847</v>
      </c>
      <c r="Y908" s="314" t="str">
        <f t="shared" ca="1" si="428"/>
        <v/>
      </c>
      <c r="Z908" s="315" t="str">
        <f t="shared" ca="1" si="429"/>
        <v/>
      </c>
      <c r="AA908" s="316" t="str">
        <f t="shared" ca="1" si="430"/>
        <v/>
      </c>
      <c r="AC908" s="310" t="e">
        <f t="shared" ca="1" si="431"/>
        <v>#N/A</v>
      </c>
      <c r="AD908" s="323" t="e">
        <f t="shared" ca="1" si="432"/>
        <v>#N/A</v>
      </c>
      <c r="AE908" s="324" t="e">
        <f t="shared" ca="1" si="411"/>
        <v>#N/A</v>
      </c>
      <c r="AG908" s="306">
        <f t="shared" ca="1" si="433"/>
        <v>1.186002828267986</v>
      </c>
      <c r="AH908" s="304">
        <f t="shared" ca="1" si="434"/>
        <v>-8.6125290357588771</v>
      </c>
    </row>
    <row r="909" spans="1:34" x14ac:dyDescent="0.2">
      <c r="A909" s="347">
        <f t="shared" ca="1" si="412"/>
        <v>0.1</v>
      </c>
      <c r="B909" s="304">
        <f t="shared" ca="1" si="413"/>
        <v>45.500000000000313</v>
      </c>
      <c r="D909" s="306">
        <f t="shared" ca="1" si="414"/>
        <v>-0.41461418725617727</v>
      </c>
      <c r="E909" s="307">
        <f t="shared" ca="1" si="415"/>
        <v>-1.1806349452675278</v>
      </c>
      <c r="F909" s="304">
        <f t="shared" ca="1" si="416"/>
        <v>1.2513208214766343</v>
      </c>
      <c r="G909" s="306">
        <f t="shared" ca="1" si="417"/>
        <v>6.4957992152273896</v>
      </c>
      <c r="H909" s="307">
        <f t="shared" ca="1" si="418"/>
        <v>-136.17806868064145</v>
      </c>
      <c r="I909" s="304">
        <f t="shared" ca="1" si="419"/>
        <v>136.33290797541895</v>
      </c>
      <c r="J909" s="306">
        <f t="shared" ca="1" si="420"/>
        <v>744.33842063005181</v>
      </c>
      <c r="K909" s="307">
        <f t="shared" ca="1" si="421"/>
        <v>1010.3916923841712</v>
      </c>
      <c r="L909" s="304">
        <f t="shared" ca="1" si="406"/>
        <v>1254.9625717386912</v>
      </c>
      <c r="M909" s="306">
        <f t="shared" ca="1" si="422"/>
        <v>-1.5231316828141945</v>
      </c>
      <c r="N909" s="304">
        <f t="shared" ca="1" si="423"/>
        <v>-87.269017067912131</v>
      </c>
      <c r="P909" s="310">
        <f t="shared" ca="1" si="424"/>
        <v>23</v>
      </c>
      <c r="Q909" s="304">
        <f t="shared" ca="1" si="425"/>
        <v>0</v>
      </c>
      <c r="R909" s="306">
        <f t="shared" ca="1" si="426"/>
        <v>0</v>
      </c>
      <c r="S909" s="307">
        <f t="shared" ca="1" si="427"/>
        <v>6.4679999999999849</v>
      </c>
      <c r="T909" s="304">
        <f t="shared" ca="1" si="407"/>
        <v>63.451079999999855</v>
      </c>
      <c r="U909" s="311">
        <f t="shared" ca="1" si="408"/>
        <v>0</v>
      </c>
      <c r="V909" s="306">
        <f t="shared" ca="1" si="409"/>
        <v>1.1071792719248295</v>
      </c>
      <c r="W909" s="304">
        <f t="shared" ca="1" si="410"/>
        <v>56.050729098932329</v>
      </c>
      <c r="Y909" s="314" t="str">
        <f t="shared" ca="1" si="428"/>
        <v/>
      </c>
      <c r="Z909" s="315" t="str">
        <f t="shared" ca="1" si="429"/>
        <v/>
      </c>
      <c r="AA909" s="316" t="str">
        <f t="shared" ca="1" si="430"/>
        <v/>
      </c>
      <c r="AC909" s="310" t="e">
        <f t="shared" ca="1" si="431"/>
        <v>#N/A</v>
      </c>
      <c r="AD909" s="323" t="e">
        <f t="shared" ca="1" si="432"/>
        <v>#N/A</v>
      </c>
      <c r="AE909" s="324" t="e">
        <f t="shared" ca="1" si="411"/>
        <v>#N/A</v>
      </c>
      <c r="AG909" s="306">
        <f t="shared" ca="1" si="433"/>
        <v>1.1593765800835332</v>
      </c>
      <c r="AH909" s="304">
        <f t="shared" ca="1" si="434"/>
        <v>-8.6393197748498736</v>
      </c>
    </row>
    <row r="910" spans="1:34" x14ac:dyDescent="0.2">
      <c r="A910" s="347">
        <f t="shared" ca="1" si="412"/>
        <v>0.1</v>
      </c>
      <c r="B910" s="304">
        <f t="shared" ca="1" si="413"/>
        <v>45.600000000000314</v>
      </c>
      <c r="D910" s="306">
        <f t="shared" ca="1" si="414"/>
        <v>-0.41289835163585498</v>
      </c>
      <c r="E910" s="307">
        <f t="shared" ca="1" si="415"/>
        <v>-1.1539904430262276</v>
      </c>
      <c r="F910" s="304">
        <f t="shared" ca="1" si="416"/>
        <v>1.2256341180709174</v>
      </c>
      <c r="G910" s="306">
        <f t="shared" ca="1" si="417"/>
        <v>6.4545093800638043</v>
      </c>
      <c r="H910" s="307">
        <f t="shared" ca="1" si="418"/>
        <v>-136.29346772494407</v>
      </c>
      <c r="I910" s="304">
        <f t="shared" ca="1" si="419"/>
        <v>136.44621664167792</v>
      </c>
      <c r="J910" s="306">
        <f t="shared" ca="1" si="420"/>
        <v>744.98593605981637</v>
      </c>
      <c r="K910" s="307">
        <f t="shared" ca="1" si="421"/>
        <v>996.76811556389191</v>
      </c>
      <c r="L910" s="304">
        <f t="shared" ca="1" si="406"/>
        <v>1244.4077792796513</v>
      </c>
      <c r="M910" s="306">
        <f t="shared" ca="1" si="422"/>
        <v>-1.5234742449927365</v>
      </c>
      <c r="N910" s="304">
        <f t="shared" ca="1" si="423"/>
        <v>-87.288644434963388</v>
      </c>
      <c r="P910" s="310">
        <f t="shared" ca="1" si="424"/>
        <v>23</v>
      </c>
      <c r="Q910" s="304">
        <f t="shared" ca="1" si="425"/>
        <v>0</v>
      </c>
      <c r="R910" s="306">
        <f t="shared" ca="1" si="426"/>
        <v>0</v>
      </c>
      <c r="S910" s="307">
        <f t="shared" ca="1" si="427"/>
        <v>6.4679999999999849</v>
      </c>
      <c r="T910" s="304">
        <f t="shared" ca="1" si="407"/>
        <v>63.451079999999855</v>
      </c>
      <c r="U910" s="311">
        <f t="shared" ca="1" si="408"/>
        <v>0</v>
      </c>
      <c r="V910" s="306">
        <f t="shared" ca="1" si="409"/>
        <v>1.1086924868774763</v>
      </c>
      <c r="W910" s="304">
        <f t="shared" ca="1" si="410"/>
        <v>56.220670895136209</v>
      </c>
      <c r="Y910" s="314" t="str">
        <f t="shared" ca="1" si="428"/>
        <v/>
      </c>
      <c r="Z910" s="315" t="str">
        <f t="shared" ca="1" si="429"/>
        <v/>
      </c>
      <c r="AA910" s="316" t="str">
        <f t="shared" ca="1" si="430"/>
        <v/>
      </c>
      <c r="AC910" s="310" t="e">
        <f t="shared" ca="1" si="431"/>
        <v>#N/A</v>
      </c>
      <c r="AD910" s="323" t="e">
        <f t="shared" ca="1" si="432"/>
        <v>#N/A</v>
      </c>
      <c r="AE910" s="324" t="e">
        <f t="shared" ca="1" si="411"/>
        <v>#N/A</v>
      </c>
      <c r="AG910" s="306">
        <f t="shared" ca="1" si="433"/>
        <v>1.1330066035601245</v>
      </c>
      <c r="AH910" s="304">
        <f t="shared" ca="1" si="434"/>
        <v>-8.6658517468974114</v>
      </c>
    </row>
    <row r="911" spans="1:34" x14ac:dyDescent="0.2">
      <c r="A911" s="347">
        <f t="shared" ca="1" si="412"/>
        <v>0.1</v>
      </c>
      <c r="B911" s="304">
        <f t="shared" ca="1" si="413"/>
        <v>45.700000000000315</v>
      </c>
      <c r="D911" s="306">
        <f t="shared" ca="1" si="414"/>
        <v>-0.41117599379335129</v>
      </c>
      <c r="E911" s="307">
        <f t="shared" ca="1" si="415"/>
        <v>-1.127604679227856</v>
      </c>
      <c r="F911" s="304">
        <f t="shared" ca="1" si="416"/>
        <v>1.2002324818502896</v>
      </c>
      <c r="G911" s="306">
        <f t="shared" ca="1" si="417"/>
        <v>6.4133917806844689</v>
      </c>
      <c r="H911" s="307">
        <f t="shared" ca="1" si="418"/>
        <v>-136.40622819286685</v>
      </c>
      <c r="I911" s="304">
        <f t="shared" ca="1" si="419"/>
        <v>136.55691371709094</v>
      </c>
      <c r="J911" s="306">
        <f t="shared" ca="1" si="420"/>
        <v>745.62933111785378</v>
      </c>
      <c r="K911" s="307">
        <f t="shared" ca="1" si="421"/>
        <v>983.13313076800137</v>
      </c>
      <c r="L911" s="304">
        <f t="shared" ca="1" si="406"/>
        <v>1233.9018811222188</v>
      </c>
      <c r="M911" s="306">
        <f t="shared" ca="1" si="422"/>
        <v>-1.5238140713507002</v>
      </c>
      <c r="N911" s="304">
        <f t="shared" ca="1" si="423"/>
        <v>-87.308115051042009</v>
      </c>
      <c r="P911" s="310">
        <f t="shared" ca="1" si="424"/>
        <v>23</v>
      </c>
      <c r="Q911" s="304">
        <f t="shared" ca="1" si="425"/>
        <v>0</v>
      </c>
      <c r="R911" s="306">
        <f t="shared" ca="1" si="426"/>
        <v>0</v>
      </c>
      <c r="S911" s="307">
        <f t="shared" ca="1" si="427"/>
        <v>6.4679999999999849</v>
      </c>
      <c r="T911" s="304">
        <f t="shared" ca="1" si="407"/>
        <v>63.451079999999855</v>
      </c>
      <c r="U911" s="311">
        <f t="shared" ca="1" si="408"/>
        <v>0</v>
      </c>
      <c r="V911" s="306">
        <f t="shared" ca="1" si="409"/>
        <v>1.1102089363694829</v>
      </c>
      <c r="W911" s="304">
        <f t="shared" ca="1" si="410"/>
        <v>56.38895256298968</v>
      </c>
      <c r="Y911" s="314" t="str">
        <f t="shared" ca="1" si="428"/>
        <v/>
      </c>
      <c r="Z911" s="315" t="str">
        <f t="shared" ca="1" si="429"/>
        <v/>
      </c>
      <c r="AA911" s="316" t="str">
        <f t="shared" ca="1" si="430"/>
        <v/>
      </c>
      <c r="AC911" s="310" t="e">
        <f t="shared" ca="1" si="431"/>
        <v>#N/A</v>
      </c>
      <c r="AD911" s="323" t="e">
        <f t="shared" ca="1" si="432"/>
        <v>#N/A</v>
      </c>
      <c r="AE911" s="324" t="e">
        <f t="shared" ca="1" si="411"/>
        <v>#N/A</v>
      </c>
      <c r="AG911" s="306">
        <f t="shared" ca="1" si="433"/>
        <v>1.1068919048350399</v>
      </c>
      <c r="AH911" s="304">
        <f t="shared" ca="1" si="434"/>
        <v>-8.6921259887347464</v>
      </c>
    </row>
    <row r="912" spans="1:34" x14ac:dyDescent="0.2">
      <c r="A912" s="347">
        <f t="shared" ca="1" si="412"/>
        <v>0.1</v>
      </c>
      <c r="B912" s="304">
        <f t="shared" ca="1" si="413"/>
        <v>45.800000000000317</v>
      </c>
      <c r="D912" s="306">
        <f t="shared" ca="1" si="414"/>
        <v>-0.40944737798581726</v>
      </c>
      <c r="E912" s="307">
        <f t="shared" ca="1" si="415"/>
        <v>-1.1014765876748616</v>
      </c>
      <c r="F912" s="304">
        <f t="shared" ca="1" si="416"/>
        <v>1.1751160915140757</v>
      </c>
      <c r="G912" s="306">
        <f t="shared" ca="1" si="417"/>
        <v>6.372447042885887</v>
      </c>
      <c r="H912" s="307">
        <f t="shared" ca="1" si="418"/>
        <v>-136.51637585163434</v>
      </c>
      <c r="I912" s="304">
        <f t="shared" ca="1" si="419"/>
        <v>136.66502462948989</v>
      </c>
      <c r="J912" s="306">
        <f t="shared" ca="1" si="420"/>
        <v>746.26862305903228</v>
      </c>
      <c r="K912" s="307">
        <f t="shared" ca="1" si="421"/>
        <v>969.48700056577627</v>
      </c>
      <c r="L912" s="304">
        <f t="shared" ca="1" si="406"/>
        <v>1223.446730359949</v>
      </c>
      <c r="M912" s="306">
        <f t="shared" ca="1" si="422"/>
        <v>-1.5241511922755189</v>
      </c>
      <c r="N912" s="304">
        <f t="shared" ca="1" si="423"/>
        <v>-87.327430657219665</v>
      </c>
      <c r="P912" s="310">
        <f t="shared" ca="1" si="424"/>
        <v>23</v>
      </c>
      <c r="Q912" s="304">
        <f t="shared" ca="1" si="425"/>
        <v>0</v>
      </c>
      <c r="R912" s="306">
        <f t="shared" ca="1" si="426"/>
        <v>0</v>
      </c>
      <c r="S912" s="307">
        <f t="shared" ca="1" si="427"/>
        <v>6.4679999999999849</v>
      </c>
      <c r="T912" s="304">
        <f t="shared" ca="1" si="407"/>
        <v>63.451079999999855</v>
      </c>
      <c r="U912" s="311">
        <f t="shared" ca="1" si="408"/>
        <v>0</v>
      </c>
      <c r="V912" s="306">
        <f t="shared" ca="1" si="409"/>
        <v>1.1117285999260706</v>
      </c>
      <c r="W912" s="304">
        <f t="shared" ca="1" si="410"/>
        <v>56.555581132668536</v>
      </c>
      <c r="Y912" s="314" t="str">
        <f t="shared" ca="1" si="428"/>
        <v/>
      </c>
      <c r="Z912" s="315" t="str">
        <f t="shared" ca="1" si="429"/>
        <v/>
      </c>
      <c r="AA912" s="316" t="str">
        <f t="shared" ca="1" si="430"/>
        <v/>
      </c>
      <c r="AC912" s="310" t="e">
        <f t="shared" ca="1" si="431"/>
        <v>#N/A</v>
      </c>
      <c r="AD912" s="323" t="e">
        <f t="shared" ca="1" si="432"/>
        <v>#N/A</v>
      </c>
      <c r="AE912" s="324" t="e">
        <f t="shared" ca="1" si="411"/>
        <v>#N/A</v>
      </c>
      <c r="AG912" s="306">
        <f t="shared" ca="1" si="433"/>
        <v>1.0810314637361689</v>
      </c>
      <c r="AH912" s="304">
        <f t="shared" ca="1" si="434"/>
        <v>-8.7181435626143795</v>
      </c>
    </row>
    <row r="913" spans="1:34" x14ac:dyDescent="0.2">
      <c r="A913" s="347">
        <f t="shared" ca="1" si="412"/>
        <v>0.1</v>
      </c>
      <c r="B913" s="304">
        <f t="shared" ca="1" si="413"/>
        <v>45.900000000000318</v>
      </c>
      <c r="D913" s="306">
        <f t="shared" ca="1" si="414"/>
        <v>-0.40771276521685257</v>
      </c>
      <c r="E913" s="307">
        <f t="shared" ca="1" si="415"/>
        <v>-1.0756050774104882</v>
      </c>
      <c r="F913" s="304">
        <f t="shared" ca="1" si="416"/>
        <v>1.1502851739773032</v>
      </c>
      <c r="G913" s="306">
        <f t="shared" ca="1" si="417"/>
        <v>6.331675766364202</v>
      </c>
      <c r="H913" s="307">
        <f t="shared" ca="1" si="418"/>
        <v>-136.62393635937539</v>
      </c>
      <c r="I913" s="304">
        <f t="shared" ca="1" si="419"/>
        <v>136.7705747020938</v>
      </c>
      <c r="J913" s="306">
        <f t="shared" ca="1" si="420"/>
        <v>746.90382919949479</v>
      </c>
      <c r="K913" s="307">
        <f t="shared" ca="1" si="421"/>
        <v>955.82998495522577</v>
      </c>
      <c r="L913" s="304">
        <f t="shared" ca="1" si="406"/>
        <v>1213.0442243431914</v>
      </c>
      <c r="M913" s="306">
        <f t="shared" ca="1" si="422"/>
        <v>-1.5244856376506775</v>
      </c>
      <c r="N913" s="304">
        <f t="shared" ca="1" si="423"/>
        <v>-87.34659296569393</v>
      </c>
      <c r="P913" s="310">
        <f t="shared" ca="1" si="424"/>
        <v>23</v>
      </c>
      <c r="Q913" s="304">
        <f t="shared" ca="1" si="425"/>
        <v>0</v>
      </c>
      <c r="R913" s="306">
        <f t="shared" ca="1" si="426"/>
        <v>0</v>
      </c>
      <c r="S913" s="307">
        <f t="shared" ca="1" si="427"/>
        <v>6.4679999999999849</v>
      </c>
      <c r="T913" s="304">
        <f t="shared" ca="1" si="407"/>
        <v>63.451079999999855</v>
      </c>
      <c r="U913" s="311">
        <f t="shared" ca="1" si="408"/>
        <v>0</v>
      </c>
      <c r="V913" s="306">
        <f t="shared" ca="1" si="409"/>
        <v>1.1132514572402272</v>
      </c>
      <c r="W913" s="304">
        <f t="shared" ca="1" si="410"/>
        <v>56.720563789046707</v>
      </c>
      <c r="Y913" s="314" t="str">
        <f t="shared" ca="1" si="428"/>
        <v/>
      </c>
      <c r="Z913" s="315" t="str">
        <f t="shared" ca="1" si="429"/>
        <v/>
      </c>
      <c r="AA913" s="316" t="str">
        <f t="shared" ca="1" si="430"/>
        <v/>
      </c>
      <c r="AC913" s="310" t="e">
        <f t="shared" ca="1" si="431"/>
        <v>#N/A</v>
      </c>
      <c r="AD913" s="323" t="e">
        <f t="shared" ca="1" si="432"/>
        <v>#N/A</v>
      </c>
      <c r="AE913" s="324" t="e">
        <f t="shared" ca="1" si="411"/>
        <v>#N/A</v>
      </c>
      <c r="AG913" s="306">
        <f t="shared" ca="1" si="433"/>
        <v>1.055424234559565</v>
      </c>
      <c r="AH913" s="304">
        <f t="shared" ca="1" si="434"/>
        <v>-8.7439055554527929</v>
      </c>
    </row>
    <row r="914" spans="1:34" x14ac:dyDescent="0.2">
      <c r="A914" s="347">
        <f t="shared" ca="1" si="412"/>
        <v>0.1</v>
      </c>
      <c r="B914" s="304">
        <f t="shared" ca="1" si="413"/>
        <v>46.00000000000032</v>
      </c>
      <c r="D914" s="306">
        <f t="shared" ca="1" si="414"/>
        <v>-0.40597241323788491</v>
      </c>
      <c r="E914" s="307">
        <f t="shared" ca="1" si="415"/>
        <v>-1.0499890334680959</v>
      </c>
      <c r="F914" s="304">
        <f t="shared" ca="1" si="416"/>
        <v>1.1257400102658954</v>
      </c>
      <c r="G914" s="306">
        <f t="shared" ca="1" si="417"/>
        <v>6.2910785250404135</v>
      </c>
      <c r="H914" s="307">
        <f t="shared" ca="1" si="418"/>
        <v>-136.72893526272219</v>
      </c>
      <c r="I914" s="304">
        <f t="shared" ca="1" si="419"/>
        <v>136.87358915103346</v>
      </c>
      <c r="J914" s="306">
        <f t="shared" ca="1" si="420"/>
        <v>747.53496691406508</v>
      </c>
      <c r="K914" s="307">
        <f t="shared" ca="1" si="421"/>
        <v>942.16234137412084</v>
      </c>
      <c r="L914" s="304">
        <f t="shared" ca="1" si="406"/>
        <v>1202.696305915495</v>
      </c>
      <c r="M914" s="306">
        <f t="shared" ca="1" si="422"/>
        <v>-1.5248174368664666</v>
      </c>
      <c r="N914" s="304">
        <f t="shared" ca="1" si="423"/>
        <v>-87.365603660404403</v>
      </c>
      <c r="P914" s="310">
        <f t="shared" ca="1" si="424"/>
        <v>23</v>
      </c>
      <c r="Q914" s="304">
        <f t="shared" ca="1" si="425"/>
        <v>0</v>
      </c>
      <c r="R914" s="306">
        <f t="shared" ca="1" si="426"/>
        <v>0</v>
      </c>
      <c r="S914" s="307">
        <f t="shared" ca="1" si="427"/>
        <v>6.4679999999999849</v>
      </c>
      <c r="T914" s="304">
        <f t="shared" ca="1" si="407"/>
        <v>63.451079999999855</v>
      </c>
      <c r="U914" s="311">
        <f t="shared" ca="1" si="408"/>
        <v>0</v>
      </c>
      <c r="V914" s="306">
        <f t="shared" ca="1" si="409"/>
        <v>1.1147774881724493</v>
      </c>
      <c r="W914" s="304">
        <f t="shared" ca="1" si="410"/>
        <v>56.883907866925256</v>
      </c>
      <c r="Y914" s="314" t="str">
        <f t="shared" ca="1" si="428"/>
        <v/>
      </c>
      <c r="Z914" s="315" t="str">
        <f t="shared" ca="1" si="429"/>
        <v/>
      </c>
      <c r="AA914" s="316" t="str">
        <f t="shared" ca="1" si="430"/>
        <v/>
      </c>
      <c r="AC914" s="310">
        <f t="shared" ca="1" si="431"/>
        <v>46.00000000000032</v>
      </c>
      <c r="AD914" s="323">
        <f t="shared" ca="1" si="432"/>
        <v>747.53496691406508</v>
      </c>
      <c r="AE914" s="324" t="e">
        <f t="shared" ca="1" si="411"/>
        <v>#N/A</v>
      </c>
      <c r="AG914" s="306">
        <f t="shared" ca="1" si="433"/>
        <v>1.0300691468376204</v>
      </c>
      <c r="AH914" s="304">
        <f t="shared" ca="1" si="434"/>
        <v>-8.769413078083927</v>
      </c>
    </row>
    <row r="915" spans="1:34" x14ac:dyDescent="0.2">
      <c r="A915" s="347">
        <f t="shared" ca="1" si="412"/>
        <v>0.1</v>
      </c>
      <c r="B915" s="304">
        <f t="shared" ca="1" si="413"/>
        <v>46.100000000000321</v>
      </c>
      <c r="D915" s="306">
        <f t="shared" ca="1" si="414"/>
        <v>-0.40422657655054089</v>
      </c>
      <c r="E915" s="307">
        <f t="shared" ca="1" si="415"/>
        <v>-1.0246273176115519</v>
      </c>
      <c r="F915" s="304">
        <f t="shared" ca="1" si="416"/>
        <v>1.1014809418167952</v>
      </c>
      <c r="G915" s="306">
        <f t="shared" ca="1" si="417"/>
        <v>6.2506558673853592</v>
      </c>
      <c r="H915" s="307">
        <f t="shared" ca="1" si="418"/>
        <v>-136.83139799448335</v>
      </c>
      <c r="I915" s="304">
        <f t="shared" ca="1" si="419"/>
        <v>136.97409308295195</v>
      </c>
      <c r="J915" s="306">
        <f t="shared" ca="1" si="420"/>
        <v>748.16205363368636</v>
      </c>
      <c r="K915" s="307">
        <f t="shared" ca="1" si="421"/>
        <v>928.48432471126057</v>
      </c>
      <c r="L915" s="304">
        <f t="shared" ca="1" si="406"/>
        <v>1192.404964654165</v>
      </c>
      <c r="M915" s="306">
        <f t="shared" ca="1" si="422"/>
        <v>-1.5251466188304652</v>
      </c>
      <c r="N915" s="304">
        <f t="shared" ca="1" si="423"/>
        <v>-87.384464397633337</v>
      </c>
      <c r="P915" s="310">
        <f t="shared" ca="1" si="424"/>
        <v>23</v>
      </c>
      <c r="Q915" s="304">
        <f t="shared" ca="1" si="425"/>
        <v>0</v>
      </c>
      <c r="R915" s="306">
        <f t="shared" ca="1" si="426"/>
        <v>0</v>
      </c>
      <c r="S915" s="307">
        <f t="shared" ca="1" si="427"/>
        <v>6.4679999999999849</v>
      </c>
      <c r="T915" s="304">
        <f t="shared" ca="1" si="407"/>
        <v>63.451079999999855</v>
      </c>
      <c r="U915" s="311">
        <f t="shared" ca="1" si="408"/>
        <v>0</v>
      </c>
      <c r="V915" s="306">
        <f t="shared" ca="1" si="409"/>
        <v>1.1163066727504658</v>
      </c>
      <c r="W915" s="304">
        <f t="shared" ca="1" si="410"/>
        <v>57.045620846318926</v>
      </c>
      <c r="Y915" s="314" t="str">
        <f t="shared" ca="1" si="428"/>
        <v/>
      </c>
      <c r="Z915" s="315" t="str">
        <f t="shared" ca="1" si="429"/>
        <v/>
      </c>
      <c r="AA915" s="316" t="str">
        <f t="shared" ca="1" si="430"/>
        <v/>
      </c>
      <c r="AC915" s="310" t="e">
        <f t="shared" ca="1" si="431"/>
        <v>#N/A</v>
      </c>
      <c r="AD915" s="323" t="e">
        <f t="shared" ca="1" si="432"/>
        <v>#N/A</v>
      </c>
      <c r="AE915" s="324" t="e">
        <f t="shared" ca="1" si="411"/>
        <v>#N/A</v>
      </c>
      <c r="AG915" s="306">
        <f t="shared" ca="1" si="433"/>
        <v>1.0049651060976821</v>
      </c>
      <c r="AH915" s="304">
        <f t="shared" ca="1" si="434"/>
        <v>-8.79466726452155</v>
      </c>
    </row>
    <row r="916" spans="1:34" x14ac:dyDescent="0.2">
      <c r="A916" s="347">
        <f t="shared" ca="1" si="412"/>
        <v>0.1</v>
      </c>
      <c r="B916" s="304">
        <f t="shared" ca="1" si="413"/>
        <v>46.200000000000323</v>
      </c>
      <c r="D916" s="306">
        <f t="shared" ca="1" si="414"/>
        <v>-0.40247550641002855</v>
      </c>
      <c r="E916" s="307">
        <f t="shared" ca="1" si="415"/>
        <v>-0.99951876906669668</v>
      </c>
      <c r="F916" s="304">
        <f t="shared" ca="1" si="416"/>
        <v>1.0775083772187637</v>
      </c>
      <c r="G916" s="306">
        <f t="shared" ca="1" si="417"/>
        <v>6.2104083167443562</v>
      </c>
      <c r="H916" s="307">
        <f t="shared" ca="1" si="418"/>
        <v>-136.93134987139001</v>
      </c>
      <c r="I916" s="304">
        <f t="shared" ca="1" si="419"/>
        <v>137.07211149268005</v>
      </c>
      <c r="J916" s="306">
        <f t="shared" ca="1" si="420"/>
        <v>748.78510684289279</v>
      </c>
      <c r="K916" s="307">
        <f t="shared" ca="1" si="421"/>
        <v>914.79618731796688</v>
      </c>
      <c r="L916" s="304">
        <f t="shared" ca="1" si="406"/>
        <v>1182.1722381113555</v>
      </c>
      <c r="M916" s="306">
        <f t="shared" ca="1" si="422"/>
        <v>-1.5254732119777641</v>
      </c>
      <c r="N916" s="304">
        <f t="shared" ca="1" si="423"/>
        <v>-87.40317680659146</v>
      </c>
      <c r="P916" s="310">
        <f t="shared" ca="1" si="424"/>
        <v>23</v>
      </c>
      <c r="Q916" s="304">
        <f t="shared" ca="1" si="425"/>
        <v>0</v>
      </c>
      <c r="R916" s="306">
        <f t="shared" ca="1" si="426"/>
        <v>0</v>
      </c>
      <c r="S916" s="307">
        <f t="shared" ca="1" si="427"/>
        <v>6.4679999999999849</v>
      </c>
      <c r="T916" s="304">
        <f t="shared" ca="1" si="407"/>
        <v>63.451079999999855</v>
      </c>
      <c r="U916" s="311">
        <f t="shared" ca="1" si="408"/>
        <v>0</v>
      </c>
      <c r="V916" s="306">
        <f t="shared" ca="1" si="409"/>
        <v>1.1178389911689393</v>
      </c>
      <c r="W916" s="304">
        <f t="shared" ca="1" si="410"/>
        <v>57.205710347801272</v>
      </c>
      <c r="Y916" s="314" t="str">
        <f t="shared" ca="1" si="428"/>
        <v/>
      </c>
      <c r="Z916" s="315" t="str">
        <f t="shared" ca="1" si="429"/>
        <v/>
      </c>
      <c r="AA916" s="316" t="str">
        <f t="shared" ca="1" si="430"/>
        <v/>
      </c>
      <c r="AC916" s="310" t="e">
        <f t="shared" ca="1" si="431"/>
        <v>#N/A</v>
      </c>
      <c r="AD916" s="323" t="e">
        <f t="shared" ca="1" si="432"/>
        <v>#N/A</v>
      </c>
      <c r="AE916" s="324" t="e">
        <f t="shared" ca="1" si="411"/>
        <v>#N/A</v>
      </c>
      <c r="AG916" s="306">
        <f t="shared" ca="1" si="433"/>
        <v>0.98011099461120921</v>
      </c>
      <c r="AH916" s="304">
        <f t="shared" ca="1" si="434"/>
        <v>-8.8196692712305289</v>
      </c>
    </row>
    <row r="917" spans="1:34" x14ac:dyDescent="0.2">
      <c r="A917" s="347">
        <f t="shared" ca="1" si="412"/>
        <v>0.1</v>
      </c>
      <c r="B917" s="304">
        <f t="shared" ca="1" si="413"/>
        <v>46.300000000000324</v>
      </c>
      <c r="D917" s="306">
        <f t="shared" ca="1" si="414"/>
        <v>-0.40071945082946153</v>
      </c>
      <c r="E917" s="307">
        <f t="shared" ca="1" si="415"/>
        <v>-0.97466220524372105</v>
      </c>
      <c r="F917" s="304">
        <f t="shared" ca="1" si="416"/>
        <v>1.0538227994324372</v>
      </c>
      <c r="G917" s="306">
        <f t="shared" ca="1" si="417"/>
        <v>6.1703363716614099</v>
      </c>
      <c r="H917" s="307">
        <f t="shared" ca="1" si="418"/>
        <v>-137.02881609191439</v>
      </c>
      <c r="I917" s="304">
        <f t="shared" ca="1" si="419"/>
        <v>137.16766926098563</v>
      </c>
      <c r="J917" s="306">
        <f t="shared" ca="1" si="420"/>
        <v>749.40414407731305</v>
      </c>
      <c r="K917" s="307">
        <f t="shared" ca="1" si="421"/>
        <v>901.09817901980171</v>
      </c>
      <c r="L917" s="304">
        <f t="shared" ca="1" si="406"/>
        <v>1172.0002130516243</v>
      </c>
      <c r="M917" s="306">
        <f t="shared" ca="1" si="422"/>
        <v>-1.5257972442809371</v>
      </c>
      <c r="N917" s="304">
        <f t="shared" ca="1" si="423"/>
        <v>-87.421742489989185</v>
      </c>
      <c r="P917" s="310">
        <f t="shared" ca="1" si="424"/>
        <v>23</v>
      </c>
      <c r="Q917" s="304">
        <f t="shared" ca="1" si="425"/>
        <v>0</v>
      </c>
      <c r="R917" s="306">
        <f t="shared" ca="1" si="426"/>
        <v>0</v>
      </c>
      <c r="S917" s="307">
        <f t="shared" ca="1" si="427"/>
        <v>6.4679999999999849</v>
      </c>
      <c r="T917" s="304">
        <f t="shared" ca="1" si="407"/>
        <v>63.451079999999855</v>
      </c>
      <c r="U917" s="311">
        <f t="shared" ca="1" si="408"/>
        <v>0</v>
      </c>
      <c r="V917" s="306">
        <f t="shared" ca="1" si="409"/>
        <v>1.1193744237891501</v>
      </c>
      <c r="W917" s="304">
        <f t="shared" ca="1" si="410"/>
        <v>57.36418412790875</v>
      </c>
      <c r="Y917" s="314" t="str">
        <f t="shared" ca="1" si="428"/>
        <v/>
      </c>
      <c r="Z917" s="315" t="str">
        <f t="shared" ca="1" si="429"/>
        <v/>
      </c>
      <c r="AA917" s="316" t="str">
        <f t="shared" ca="1" si="430"/>
        <v/>
      </c>
      <c r="AC917" s="310" t="e">
        <f t="shared" ca="1" si="431"/>
        <v>#N/A</v>
      </c>
      <c r="AD917" s="323" t="e">
        <f t="shared" ca="1" si="432"/>
        <v>#N/A</v>
      </c>
      <c r="AE917" s="324" t="e">
        <f t="shared" ca="1" si="411"/>
        <v>#N/A</v>
      </c>
      <c r="AG917" s="306">
        <f t="shared" ca="1" si="433"/>
        <v>0.955505672133242</v>
      </c>
      <c r="AH917" s="304">
        <f t="shared" ca="1" si="434"/>
        <v>-8.8444202764071438</v>
      </c>
    </row>
    <row r="918" spans="1:34" x14ac:dyDescent="0.2">
      <c r="A918" s="347">
        <f t="shared" ca="1" si="412"/>
        <v>0.1</v>
      </c>
      <c r="B918" s="304">
        <f t="shared" ca="1" si="413"/>
        <v>46.400000000000325</v>
      </c>
      <c r="D918" s="306">
        <f t="shared" ca="1" si="414"/>
        <v>-0.39895865458512159</v>
      </c>
      <c r="E918" s="307">
        <f t="shared" ca="1" si="415"/>
        <v>-0.95005642245040001</v>
      </c>
      <c r="F918" s="304">
        <f t="shared" ca="1" si="416"/>
        <v>1.0304247735315875</v>
      </c>
      <c r="G918" s="306">
        <f t="shared" ca="1" si="417"/>
        <v>6.1304405062028975</v>
      </c>
      <c r="H918" s="307">
        <f t="shared" ca="1" si="418"/>
        <v>-137.12382173415943</v>
      </c>
      <c r="I918" s="304">
        <f t="shared" ca="1" si="419"/>
        <v>137.26079115239583</v>
      </c>
      <c r="J918" s="306">
        <f t="shared" ca="1" si="420"/>
        <v>750.01918292120627</v>
      </c>
      <c r="K918" s="307">
        <f t="shared" ca="1" si="421"/>
        <v>887.39054712849804</v>
      </c>
      <c r="L918" s="304">
        <f t="shared" ca="1" si="406"/>
        <v>1161.8910266814219</v>
      </c>
      <c r="M918" s="306">
        <f t="shared" ca="1" si="422"/>
        <v>-1.526118743259764</v>
      </c>
      <c r="N918" s="304">
        <f t="shared" ca="1" si="423"/>
        <v>-87.44016302459373</v>
      </c>
      <c r="P918" s="310">
        <f t="shared" ca="1" si="424"/>
        <v>23</v>
      </c>
      <c r="Q918" s="304">
        <f t="shared" ca="1" si="425"/>
        <v>0</v>
      </c>
      <c r="R918" s="306">
        <f t="shared" ca="1" si="426"/>
        <v>0</v>
      </c>
      <c r="S918" s="307">
        <f t="shared" ca="1" si="427"/>
        <v>6.4679999999999849</v>
      </c>
      <c r="T918" s="304">
        <f t="shared" ca="1" si="407"/>
        <v>63.451079999999855</v>
      </c>
      <c r="U918" s="311">
        <f t="shared" ca="1" si="408"/>
        <v>0</v>
      </c>
      <c r="V918" s="306">
        <f t="shared" ca="1" si="409"/>
        <v>1.1209129511386617</v>
      </c>
      <c r="W918" s="304">
        <f t="shared" ca="1" si="410"/>
        <v>57.521050074603856</v>
      </c>
      <c r="Y918" s="314" t="str">
        <f t="shared" ca="1" si="428"/>
        <v/>
      </c>
      <c r="Z918" s="315" t="str">
        <f t="shared" ca="1" si="429"/>
        <v/>
      </c>
      <c r="AA918" s="316" t="str">
        <f t="shared" ca="1" si="430"/>
        <v/>
      </c>
      <c r="AC918" s="310" t="e">
        <f t="shared" ca="1" si="431"/>
        <v>#N/A</v>
      </c>
      <c r="AD918" s="323" t="e">
        <f t="shared" ca="1" si="432"/>
        <v>#N/A</v>
      </c>
      <c r="AE918" s="324" t="e">
        <f t="shared" ca="1" si="411"/>
        <v>#N/A</v>
      </c>
      <c r="AG918" s="306">
        <f t="shared" ca="1" si="433"/>
        <v>0.9311479766322055</v>
      </c>
      <c r="AH918" s="304">
        <f t="shared" ca="1" si="434"/>
        <v>-8.8689214792685345</v>
      </c>
    </row>
    <row r="919" spans="1:34" x14ac:dyDescent="0.2">
      <c r="A919" s="347">
        <f t="shared" ca="1" si="412"/>
        <v>0.1</v>
      </c>
      <c r="B919" s="304">
        <f t="shared" ca="1" si="413"/>
        <v>46.500000000000327</v>
      </c>
      <c r="D919" s="306">
        <f t="shared" ca="1" si="414"/>
        <v>-0.39719335922264182</v>
      </c>
      <c r="E919" s="307">
        <f t="shared" ca="1" si="415"/>
        <v>-0.92570019659615355</v>
      </c>
      <c r="F919" s="304">
        <f t="shared" ca="1" si="416"/>
        <v>1.0073149550109557</v>
      </c>
      <c r="G919" s="306">
        <f t="shared" ca="1" si="417"/>
        <v>6.0907211702806334</v>
      </c>
      <c r="H919" s="307">
        <f t="shared" ca="1" si="418"/>
        <v>-137.21639175381904</v>
      </c>
      <c r="I919" s="304">
        <f t="shared" ca="1" si="419"/>
        <v>137.35150181309137</v>
      </c>
      <c r="J919" s="306">
        <f t="shared" ca="1" si="420"/>
        <v>750.63024100503048</v>
      </c>
      <c r="K919" s="307">
        <f t="shared" ca="1" si="421"/>
        <v>873.67353645409912</v>
      </c>
      <c r="L919" s="304">
        <f t="shared" ca="1" si="406"/>
        <v>1151.8468678654651</v>
      </c>
      <c r="M919" s="306">
        <f t="shared" ca="1" si="422"/>
        <v>-1.5264377359907173</v>
      </c>
      <c r="N919" s="304">
        <f t="shared" ca="1" si="423"/>
        <v>-87.458439961772697</v>
      </c>
      <c r="P919" s="310">
        <f t="shared" ca="1" si="424"/>
        <v>23</v>
      </c>
      <c r="Q919" s="304">
        <f t="shared" ca="1" si="425"/>
        <v>0</v>
      </c>
      <c r="R919" s="306">
        <f t="shared" ca="1" si="426"/>
        <v>0</v>
      </c>
      <c r="S919" s="307">
        <f t="shared" ca="1" si="427"/>
        <v>6.4679999999999849</v>
      </c>
      <c r="T919" s="304">
        <f t="shared" ca="1" si="407"/>
        <v>63.451079999999855</v>
      </c>
      <c r="U919" s="311">
        <f t="shared" ca="1" si="408"/>
        <v>0</v>
      </c>
      <c r="V919" s="306">
        <f t="shared" ca="1" si="409"/>
        <v>1.1224545539109665</v>
      </c>
      <c r="W919" s="304">
        <f t="shared" ca="1" si="410"/>
        <v>57.676316202798212</v>
      </c>
      <c r="Y919" s="314" t="str">
        <f t="shared" ca="1" si="428"/>
        <v/>
      </c>
      <c r="Z919" s="315" t="str">
        <f t="shared" ca="1" si="429"/>
        <v/>
      </c>
      <c r="AA919" s="316" t="str">
        <f t="shared" ca="1" si="430"/>
        <v/>
      </c>
      <c r="AC919" s="310" t="e">
        <f t="shared" ca="1" si="431"/>
        <v>#N/A</v>
      </c>
      <c r="AD919" s="323" t="e">
        <f t="shared" ca="1" si="432"/>
        <v>#N/A</v>
      </c>
      <c r="AE919" s="324" t="e">
        <f t="shared" ca="1" si="411"/>
        <v>#N/A</v>
      </c>
      <c r="AG919" s="306">
        <f t="shared" ca="1" si="433"/>
        <v>0.9070367250100233</v>
      </c>
      <c r="AH919" s="304">
        <f t="shared" ca="1" si="434"/>
        <v>-8.8931740993512669</v>
      </c>
    </row>
    <row r="920" spans="1:34" x14ac:dyDescent="0.2">
      <c r="A920" s="347">
        <f t="shared" ca="1" si="412"/>
        <v>0.1</v>
      </c>
      <c r="B920" s="304">
        <f t="shared" ca="1" si="413"/>
        <v>46.600000000000328</v>
      </c>
      <c r="D920" s="306">
        <f t="shared" ca="1" si="414"/>
        <v>-0.39542380306405184</v>
      </c>
      <c r="E920" s="307">
        <f t="shared" ca="1" si="415"/>
        <v>-0.90159228388681179</v>
      </c>
      <c r="F920" s="304">
        <f t="shared" ca="1" si="416"/>
        <v>0.98449409870952265</v>
      </c>
      <c r="G920" s="306">
        <f t="shared" ca="1" si="417"/>
        <v>6.0511787899742284</v>
      </c>
      <c r="H920" s="307">
        <f t="shared" ca="1" si="418"/>
        <v>-137.30655098220771</v>
      </c>
      <c r="I920" s="304">
        <f t="shared" ca="1" si="419"/>
        <v>137.4398257688718</v>
      </c>
      <c r="J920" s="306">
        <f t="shared" ca="1" si="420"/>
        <v>751.2373360030432</v>
      </c>
      <c r="K920" s="307">
        <f t="shared" ca="1" si="421"/>
        <v>859.94738931729773</v>
      </c>
      <c r="L920" s="304">
        <f t="shared" ca="1" si="406"/>
        <v>1141.8699783244085</v>
      </c>
      <c r="M920" s="306">
        <f t="shared" ca="1" si="422"/>
        <v>-1.5267542491162136</v>
      </c>
      <c r="N920" s="304">
        <f t="shared" ca="1" si="423"/>
        <v>-87.476574828024141</v>
      </c>
      <c r="P920" s="310">
        <f t="shared" ca="1" si="424"/>
        <v>23</v>
      </c>
      <c r="Q920" s="304">
        <f t="shared" ca="1" si="425"/>
        <v>0</v>
      </c>
      <c r="R920" s="306">
        <f t="shared" ca="1" si="426"/>
        <v>0</v>
      </c>
      <c r="S920" s="307">
        <f t="shared" ca="1" si="427"/>
        <v>6.4679999999999849</v>
      </c>
      <c r="T920" s="304">
        <f t="shared" ca="1" si="407"/>
        <v>63.451079999999855</v>
      </c>
      <c r="U920" s="311">
        <f t="shared" ca="1" si="408"/>
        <v>0</v>
      </c>
      <c r="V920" s="306">
        <f t="shared" ca="1" si="409"/>
        <v>1.1239992129651133</v>
      </c>
      <c r="W920" s="304">
        <f t="shared" ca="1" si="410"/>
        <v>57.829990649935645</v>
      </c>
      <c r="Y920" s="314" t="str">
        <f t="shared" ca="1" si="428"/>
        <v/>
      </c>
      <c r="Z920" s="315" t="str">
        <f t="shared" ca="1" si="429"/>
        <v/>
      </c>
      <c r="AA920" s="316" t="str">
        <f t="shared" ca="1" si="430"/>
        <v/>
      </c>
      <c r="AC920" s="310" t="e">
        <f t="shared" ca="1" si="431"/>
        <v>#N/A</v>
      </c>
      <c r="AD920" s="323" t="e">
        <f t="shared" ca="1" si="432"/>
        <v>#N/A</v>
      </c>
      <c r="AE920" s="324" t="e">
        <f t="shared" ca="1" si="411"/>
        <v>#N/A</v>
      </c>
      <c r="AG920" s="306">
        <f t="shared" ca="1" si="433"/>
        <v>0.8831707138124365</v>
      </c>
      <c r="AH920" s="304">
        <f t="shared" ca="1" si="434"/>
        <v>-8.9171793758191633</v>
      </c>
    </row>
    <row r="921" spans="1:34" x14ac:dyDescent="0.2">
      <c r="A921" s="347">
        <f t="shared" ca="1" si="412"/>
        <v>0.1</v>
      </c>
      <c r="B921" s="304">
        <f t="shared" ca="1" si="413"/>
        <v>46.70000000000033</v>
      </c>
      <c r="D921" s="306">
        <f t="shared" ca="1" si="414"/>
        <v>-0.39365022121570559</v>
      </c>
      <c r="E921" s="307">
        <f t="shared" ca="1" si="415"/>
        <v>-0.87773142151007555</v>
      </c>
      <c r="F921" s="304">
        <f t="shared" ca="1" si="416"/>
        <v>0.96196306840193813</v>
      </c>
      <c r="G921" s="306">
        <f t="shared" ca="1" si="417"/>
        <v>6.011813767852658</v>
      </c>
      <c r="H921" s="307">
        <f t="shared" ca="1" si="418"/>
        <v>-137.39432412435872</v>
      </c>
      <c r="I921" s="304">
        <f t="shared" ca="1" si="419"/>
        <v>137.52578742319085</v>
      </c>
      <c r="J921" s="306">
        <f t="shared" ca="1" si="420"/>
        <v>751.8404856309345</v>
      </c>
      <c r="K921" s="307">
        <f t="shared" ca="1" si="421"/>
        <v>846.21234556196941</v>
      </c>
      <c r="L921" s="304">
        <f t="shared" ca="1" si="406"/>
        <v>1131.9626538076463</v>
      </c>
      <c r="M921" s="306">
        <f t="shared" ca="1" si="422"/>
        <v>-1.527068308853643</v>
      </c>
      <c r="N921" s="304">
        <f t="shared" ca="1" si="423"/>
        <v>-87.494569125493825</v>
      </c>
      <c r="P921" s="310">
        <f t="shared" ca="1" si="424"/>
        <v>23</v>
      </c>
      <c r="Q921" s="304">
        <f t="shared" ca="1" si="425"/>
        <v>0</v>
      </c>
      <c r="R921" s="306">
        <f t="shared" ca="1" si="426"/>
        <v>0</v>
      </c>
      <c r="S921" s="307">
        <f t="shared" ca="1" si="427"/>
        <v>6.4679999999999849</v>
      </c>
      <c r="T921" s="304">
        <f t="shared" ca="1" si="407"/>
        <v>63.451079999999855</v>
      </c>
      <c r="U921" s="311">
        <f t="shared" ca="1" si="408"/>
        <v>0</v>
      </c>
      <c r="V921" s="306">
        <f t="shared" ca="1" si="409"/>
        <v>1.1255469093253192</v>
      </c>
      <c r="W921" s="304">
        <f t="shared" ca="1" si="410"/>
        <v>57.98208167163579</v>
      </c>
      <c r="Y921" s="314" t="str">
        <f t="shared" ca="1" si="428"/>
        <v/>
      </c>
      <c r="Z921" s="315" t="str">
        <f t="shared" ca="1" si="429"/>
        <v/>
      </c>
      <c r="AA921" s="316" t="str">
        <f t="shared" ca="1" si="430"/>
        <v/>
      </c>
      <c r="AC921" s="310" t="e">
        <f t="shared" ca="1" si="431"/>
        <v>#N/A</v>
      </c>
      <c r="AD921" s="323" t="e">
        <f t="shared" ca="1" si="432"/>
        <v>#N/A</v>
      </c>
      <c r="AE921" s="324" t="e">
        <f t="shared" ca="1" si="411"/>
        <v>#N/A</v>
      </c>
      <c r="AG921" s="306">
        <f t="shared" ca="1" si="433"/>
        <v>0.85954871992951709</v>
      </c>
      <c r="AH921" s="304">
        <f t="shared" ca="1" si="434"/>
        <v>-8.9409385667804244</v>
      </c>
    </row>
    <row r="922" spans="1:34" x14ac:dyDescent="0.2">
      <c r="A922" s="347">
        <f t="shared" ca="1" si="412"/>
        <v>0.1</v>
      </c>
      <c r="B922" s="304">
        <f t="shared" ca="1" si="413"/>
        <v>46.800000000000331</v>
      </c>
      <c r="D922" s="306">
        <f t="shared" ca="1" si="414"/>
        <v>-0.39187284557701479</v>
      </c>
      <c r="E922" s="307">
        <f t="shared" ca="1" si="415"/>
        <v>-0.85411632831158357</v>
      </c>
      <c r="F922" s="304">
        <f t="shared" ca="1" si="416"/>
        <v>0.93972284711455634</v>
      </c>
      <c r="G922" s="306">
        <f t="shared" ca="1" si="417"/>
        <v>5.972626483294956</v>
      </c>
      <c r="H922" s="307">
        <f t="shared" ca="1" si="418"/>
        <v>-137.47973575718987</v>
      </c>
      <c r="I922" s="304">
        <f t="shared" ca="1" si="419"/>
        <v>137.60941105526069</v>
      </c>
      <c r="J922" s="306">
        <f t="shared" ca="1" si="420"/>
        <v>752.43970764349183</v>
      </c>
      <c r="K922" s="307">
        <f t="shared" ca="1" si="421"/>
        <v>832.46864256789195</v>
      </c>
      <c r="L922" s="304">
        <f t="shared" ca="1" si="406"/>
        <v>1122.1272452344485</v>
      </c>
      <c r="M922" s="306">
        <f t="shared" ca="1" si="422"/>
        <v>-1.5273799410041746</v>
      </c>
      <c r="N922" s="304">
        <f t="shared" ca="1" si="423"/>
        <v>-87.512424332479881</v>
      </c>
      <c r="P922" s="310">
        <f t="shared" ca="1" si="424"/>
        <v>23</v>
      </c>
      <c r="Q922" s="304">
        <f t="shared" ca="1" si="425"/>
        <v>0</v>
      </c>
      <c r="R922" s="306">
        <f t="shared" ca="1" si="426"/>
        <v>0</v>
      </c>
      <c r="S922" s="307">
        <f t="shared" ca="1" si="427"/>
        <v>6.4679999999999849</v>
      </c>
      <c r="T922" s="304">
        <f t="shared" ca="1" si="407"/>
        <v>63.451079999999855</v>
      </c>
      <c r="U922" s="311">
        <f t="shared" ca="1" si="408"/>
        <v>0</v>
      </c>
      <c r="V922" s="306">
        <f t="shared" ca="1" si="409"/>
        <v>1.1270976241805624</v>
      </c>
      <c r="W922" s="304">
        <f t="shared" ca="1" si="410"/>
        <v>58.132597637398241</v>
      </c>
      <c r="Y922" s="314" t="str">
        <f t="shared" ca="1" si="428"/>
        <v/>
      </c>
      <c r="Z922" s="315" t="str">
        <f t="shared" ca="1" si="429"/>
        <v/>
      </c>
      <c r="AA922" s="316" t="str">
        <f t="shared" ca="1" si="430"/>
        <v/>
      </c>
      <c r="AC922" s="310" t="e">
        <f t="shared" ca="1" si="431"/>
        <v>#N/A</v>
      </c>
      <c r="AD922" s="323" t="e">
        <f t="shared" ca="1" si="432"/>
        <v>#N/A</v>
      </c>
      <c r="AE922" s="324" t="e">
        <f t="shared" ca="1" si="411"/>
        <v>#N/A</v>
      </c>
      <c r="AG922" s="306">
        <f t="shared" ca="1" si="433"/>
        <v>0.83616950128634571</v>
      </c>
      <c r="AH922" s="304">
        <f t="shared" ca="1" si="434"/>
        <v>-8.9644529486140883</v>
      </c>
    </row>
    <row r="923" spans="1:34" x14ac:dyDescent="0.2">
      <c r="A923" s="347">
        <f t="shared" ca="1" si="412"/>
        <v>0.1</v>
      </c>
      <c r="B923" s="304">
        <f t="shared" ca="1" si="413"/>
        <v>46.900000000000333</v>
      </c>
      <c r="D923" s="306">
        <f t="shared" ca="1" si="414"/>
        <v>-0.39009190485002476</v>
      </c>
      <c r="E923" s="307">
        <f t="shared" ca="1" si="415"/>
        <v>-0.83074570546157211</v>
      </c>
      <c r="F923" s="304">
        <f t="shared" ca="1" si="416"/>
        <v>0.91777454822650528</v>
      </c>
      <c r="G923" s="306">
        <f t="shared" ca="1" si="417"/>
        <v>5.933617292809954</v>
      </c>
      <c r="H923" s="307">
        <f t="shared" ca="1" si="418"/>
        <v>-137.56281032773603</v>
      </c>
      <c r="I923" s="304">
        <f t="shared" ca="1" si="419"/>
        <v>137.69072081822441</v>
      </c>
      <c r="J923" s="306">
        <f t="shared" ca="1" si="420"/>
        <v>753.03501983229705</v>
      </c>
      <c r="K923" s="307">
        <f t="shared" ca="1" si="421"/>
        <v>818.71651526364565</v>
      </c>
      <c r="L923" s="304">
        <f t="shared" ca="1" si="406"/>
        <v>1112.3661597959888</v>
      </c>
      <c r="M923" s="306">
        <f t="shared" ca="1" si="422"/>
        <v>-1.527689170961354</v>
      </c>
      <c r="N923" s="304">
        <f t="shared" ca="1" si="423"/>
        <v>-87.530141903925269</v>
      </c>
      <c r="P923" s="310">
        <f t="shared" ca="1" si="424"/>
        <v>23</v>
      </c>
      <c r="Q923" s="304">
        <f t="shared" ca="1" si="425"/>
        <v>0</v>
      </c>
      <c r="R923" s="306">
        <f t="shared" ca="1" si="426"/>
        <v>0</v>
      </c>
      <c r="S923" s="307">
        <f t="shared" ca="1" si="427"/>
        <v>6.4679999999999849</v>
      </c>
      <c r="T923" s="304">
        <f t="shared" ca="1" si="407"/>
        <v>63.451079999999855</v>
      </c>
      <c r="U923" s="311">
        <f t="shared" ca="1" si="408"/>
        <v>0</v>
      </c>
      <c r="V923" s="306">
        <f t="shared" ca="1" si="409"/>
        <v>1.1286513388841577</v>
      </c>
      <c r="W923" s="304">
        <f t="shared" ca="1" si="410"/>
        <v>58.281547026367647</v>
      </c>
      <c r="Y923" s="314" t="str">
        <f t="shared" ca="1" si="428"/>
        <v/>
      </c>
      <c r="Z923" s="315" t="str">
        <f t="shared" ca="1" si="429"/>
        <v/>
      </c>
      <c r="AA923" s="316" t="str">
        <f t="shared" ca="1" si="430"/>
        <v/>
      </c>
      <c r="AC923" s="310" t="e">
        <f t="shared" ca="1" si="431"/>
        <v>#N/A</v>
      </c>
      <c r="AD923" s="323" t="e">
        <f t="shared" ca="1" si="432"/>
        <v>#N/A</v>
      </c>
      <c r="AE923" s="324" t="e">
        <f t="shared" ca="1" si="411"/>
        <v>#N/A</v>
      </c>
      <c r="AG923" s="306">
        <f t="shared" ca="1" si="433"/>
        <v>0.81303179752380572</v>
      </c>
      <c r="AH923" s="304">
        <f t="shared" ca="1" si="434"/>
        <v>-8.9877238153058716</v>
      </c>
    </row>
    <row r="924" spans="1:34" x14ac:dyDescent="0.2">
      <c r="A924" s="347">
        <f t="shared" ca="1" si="412"/>
        <v>0.1</v>
      </c>
      <c r="B924" s="304">
        <f t="shared" ca="1" si="413"/>
        <v>47.000000000000334</v>
      </c>
      <c r="D924" s="306">
        <f t="shared" ca="1" si="414"/>
        <v>-0.38830762454973233</v>
      </c>
      <c r="E924" s="307">
        <f t="shared" ca="1" si="415"/>
        <v>-0.80761823711210035</v>
      </c>
      <c r="F924" s="304">
        <f t="shared" ca="1" si="416"/>
        <v>0.89611942741997985</v>
      </c>
      <c r="G924" s="306">
        <f t="shared" ca="1" si="417"/>
        <v>5.8947865303549811</v>
      </c>
      <c r="H924" s="307">
        <f t="shared" ca="1" si="418"/>
        <v>-137.64357215144724</v>
      </c>
      <c r="I924" s="304">
        <f t="shared" ca="1" si="419"/>
        <v>137.7697407373953</v>
      </c>
      <c r="J924" s="306">
        <f t="shared" ca="1" si="420"/>
        <v>753.6264400234553</v>
      </c>
      <c r="K924" s="307">
        <f t="shared" ca="1" si="421"/>
        <v>804.95619613968643</v>
      </c>
      <c r="L924" s="304">
        <f t="shared" ca="1" si="406"/>
        <v>1102.6818620101176</v>
      </c>
      <c r="M924" s="306">
        <f t="shared" ca="1" si="422"/>
        <v>-1.5279960237194883</v>
      </c>
      <c r="N924" s="304">
        <f t="shared" ca="1" si="423"/>
        <v>-87.547723271898306</v>
      </c>
      <c r="P924" s="310">
        <f t="shared" ca="1" si="424"/>
        <v>23</v>
      </c>
      <c r="Q924" s="304">
        <f t="shared" ca="1" si="425"/>
        <v>0</v>
      </c>
      <c r="R924" s="306">
        <f t="shared" ca="1" si="426"/>
        <v>0</v>
      </c>
      <c r="S924" s="307">
        <f t="shared" ca="1" si="427"/>
        <v>6.4679999999999849</v>
      </c>
      <c r="T924" s="304">
        <f t="shared" ca="1" si="407"/>
        <v>63.451079999999855</v>
      </c>
      <c r="U924" s="311">
        <f t="shared" ca="1" si="408"/>
        <v>0</v>
      </c>
      <c r="V924" s="306">
        <f t="shared" ca="1" si="409"/>
        <v>1.1302080349533177</v>
      </c>
      <c r="W924" s="304">
        <f t="shared" ca="1" si="410"/>
        <v>58.428938423159963</v>
      </c>
      <c r="Y924" s="314" t="str">
        <f t="shared" ca="1" si="428"/>
        <v/>
      </c>
      <c r="Z924" s="315" t="str">
        <f t="shared" ca="1" si="429"/>
        <v/>
      </c>
      <c r="AA924" s="316" t="str">
        <f t="shared" ca="1" si="430"/>
        <v/>
      </c>
      <c r="AC924" s="310">
        <f t="shared" ca="1" si="431"/>
        <v>47.000000000000334</v>
      </c>
      <c r="AD924" s="323">
        <f t="shared" ca="1" si="432"/>
        <v>753.6264400234553</v>
      </c>
      <c r="AE924" s="324" t="e">
        <f t="shared" ca="1" si="411"/>
        <v>#N/A</v>
      </c>
      <c r="AG924" s="306">
        <f t="shared" ca="1" si="433"/>
        <v>0.79013433066953986</v>
      </c>
      <c r="AH924" s="304">
        <f t="shared" ca="1" si="434"/>
        <v>-9.010752477793412</v>
      </c>
    </row>
    <row r="925" spans="1:34" x14ac:dyDescent="0.2">
      <c r="A925" s="347">
        <f t="shared" ca="1" si="412"/>
        <v>0.1</v>
      </c>
      <c r="B925" s="304">
        <f t="shared" ca="1" si="413"/>
        <v>47.100000000000335</v>
      </c>
      <c r="D925" s="306">
        <f t="shared" ca="1" si="414"/>
        <v>-0.38652022701520472</v>
      </c>
      <c r="E925" s="307">
        <f t="shared" ca="1" si="415"/>
        <v>-0.784732591044774</v>
      </c>
      <c r="F925" s="304">
        <f t="shared" ca="1" si="416"/>
        <v>0.87475889554764164</v>
      </c>
      <c r="G925" s="306">
        <f t="shared" ca="1" si="417"/>
        <v>5.8561345076534606</v>
      </c>
      <c r="H925" s="307">
        <f t="shared" ca="1" si="418"/>
        <v>-137.72204541055171</v>
      </c>
      <c r="I925" s="304">
        <f t="shared" ca="1" si="419"/>
        <v>137.84649470856269</v>
      </c>
      <c r="J925" s="306">
        <f t="shared" ca="1" si="420"/>
        <v>754.21398607535571</v>
      </c>
      <c r="K925" s="307">
        <f t="shared" ca="1" si="421"/>
        <v>791.18791526158645</v>
      </c>
      <c r="L925" s="304">
        <f t="shared" ca="1" si="406"/>
        <v>1093.0768747200043</v>
      </c>
      <c r="M925" s="306">
        <f t="shared" ca="1" si="422"/>
        <v>-1.5283005238818332</v>
      </c>
      <c r="N925" s="304">
        <f t="shared" ca="1" si="423"/>
        <v>-87.565169846061721</v>
      </c>
      <c r="P925" s="310">
        <f t="shared" ca="1" si="424"/>
        <v>23</v>
      </c>
      <c r="Q925" s="304">
        <f t="shared" ca="1" si="425"/>
        <v>0</v>
      </c>
      <c r="R925" s="306">
        <f t="shared" ca="1" si="426"/>
        <v>0</v>
      </c>
      <c r="S925" s="307">
        <f t="shared" ca="1" si="427"/>
        <v>6.4679999999999849</v>
      </c>
      <c r="T925" s="304">
        <f t="shared" ca="1" si="407"/>
        <v>63.451079999999855</v>
      </c>
      <c r="U925" s="311">
        <f t="shared" ca="1" si="408"/>
        <v>0</v>
      </c>
      <c r="V925" s="306">
        <f t="shared" ca="1" si="409"/>
        <v>1.1317676940686965</v>
      </c>
      <c r="W925" s="304">
        <f t="shared" ca="1" si="410"/>
        <v>58.574780513750206</v>
      </c>
      <c r="Y925" s="314" t="str">
        <f t="shared" ca="1" si="428"/>
        <v/>
      </c>
      <c r="Z925" s="315" t="str">
        <f t="shared" ca="1" si="429"/>
        <v/>
      </c>
      <c r="AA925" s="316" t="str">
        <f t="shared" ca="1" si="430"/>
        <v/>
      </c>
      <c r="AC925" s="310" t="e">
        <f t="shared" ca="1" si="431"/>
        <v>#N/A</v>
      </c>
      <c r="AD925" s="323" t="e">
        <f t="shared" ca="1" si="432"/>
        <v>#N/A</v>
      </c>
      <c r="AE925" s="324" t="e">
        <f t="shared" ca="1" si="411"/>
        <v>#N/A</v>
      </c>
      <c r="AG925" s="306">
        <f t="shared" ca="1" si="433"/>
        <v>0.76747580579894858</v>
      </c>
      <c r="AH925" s="304">
        <f t="shared" ca="1" si="434"/>
        <v>-9.0335402633209796</v>
      </c>
    </row>
    <row r="926" spans="1:34" x14ac:dyDescent="0.2">
      <c r="A926" s="347">
        <f t="shared" ca="1" si="412"/>
        <v>0.1</v>
      </c>
      <c r="B926" s="304">
        <f t="shared" ca="1" si="413"/>
        <v>47.200000000000337</v>
      </c>
      <c r="D926" s="306">
        <f t="shared" ca="1" si="414"/>
        <v>-0.38472993142140344</v>
      </c>
      <c r="E926" s="307">
        <f t="shared" ca="1" si="415"/>
        <v>-0.76208741930891577</v>
      </c>
      <c r="F926" s="304">
        <f t="shared" ca="1" si="416"/>
        <v>0.85369453248831395</v>
      </c>
      <c r="G926" s="306">
        <f t="shared" ca="1" si="417"/>
        <v>5.81766151451132</v>
      </c>
      <c r="H926" s="307">
        <f t="shared" ca="1" si="418"/>
        <v>-137.7982541524826</v>
      </c>
      <c r="I926" s="304">
        <f t="shared" ca="1" si="419"/>
        <v>137.92100649636231</v>
      </c>
      <c r="J926" s="306">
        <f t="shared" ca="1" si="420"/>
        <v>754.79767587646393</v>
      </c>
      <c r="K926" s="307">
        <f t="shared" ca="1" si="421"/>
        <v>777.41190028343476</v>
      </c>
      <c r="L926" s="304">
        <f t="shared" ca="1" si="406"/>
        <v>1083.5537800270056</v>
      </c>
      <c r="M926" s="306">
        <f t="shared" ca="1" si="422"/>
        <v>-1.5286026956685825</v>
      </c>
      <c r="N926" s="304">
        <f t="shared" ca="1" si="423"/>
        <v>-87.582483014130389</v>
      </c>
      <c r="P926" s="310">
        <f t="shared" ca="1" si="424"/>
        <v>23</v>
      </c>
      <c r="Q926" s="304">
        <f t="shared" ca="1" si="425"/>
        <v>0</v>
      </c>
      <c r="R926" s="306">
        <f t="shared" ca="1" si="426"/>
        <v>0</v>
      </c>
      <c r="S926" s="307">
        <f t="shared" ca="1" si="427"/>
        <v>6.4679999999999849</v>
      </c>
      <c r="T926" s="304">
        <f t="shared" ca="1" si="407"/>
        <v>63.451079999999855</v>
      </c>
      <c r="U926" s="311">
        <f t="shared" ca="1" si="408"/>
        <v>0</v>
      </c>
      <c r="V926" s="306">
        <f t="shared" ca="1" si="409"/>
        <v>1.1333302980739179</v>
      </c>
      <c r="W926" s="304">
        <f t="shared" ca="1" si="410"/>
        <v>58.719082081421156</v>
      </c>
      <c r="Y926" s="314" t="str">
        <f t="shared" ca="1" si="428"/>
        <v/>
      </c>
      <c r="Z926" s="315" t="str">
        <f t="shared" ca="1" si="429"/>
        <v/>
      </c>
      <c r="AA926" s="316" t="str">
        <f t="shared" ca="1" si="430"/>
        <v/>
      </c>
      <c r="AC926" s="310" t="e">
        <f t="shared" ca="1" si="431"/>
        <v>#N/A</v>
      </c>
      <c r="AD926" s="323" t="e">
        <f t="shared" ca="1" si="432"/>
        <v>#N/A</v>
      </c>
      <c r="AE926" s="324" t="e">
        <f t="shared" ca="1" si="411"/>
        <v>#N/A</v>
      </c>
      <c r="AG926" s="306">
        <f t="shared" ca="1" si="433"/>
        <v>0.74505491168626037</v>
      </c>
      <c r="AH926" s="304">
        <f t="shared" ca="1" si="434"/>
        <v>-9.0560885148037009</v>
      </c>
    </row>
    <row r="927" spans="1:34" x14ac:dyDescent="0.2">
      <c r="A927" s="347">
        <f t="shared" ca="1" si="412"/>
        <v>0.1</v>
      </c>
      <c r="B927" s="304">
        <f t="shared" ca="1" si="413"/>
        <v>47.300000000000338</v>
      </c>
      <c r="D927" s="306">
        <f t="shared" ca="1" si="414"/>
        <v>-0.38293695379173742</v>
      </c>
      <c r="E927" s="307">
        <f t="shared" ca="1" si="415"/>
        <v>-0.73968135885030506</v>
      </c>
      <c r="F927" s="304">
        <f t="shared" ca="1" si="416"/>
        <v>0.83292810206519574</v>
      </c>
      <c r="G927" s="306">
        <f t="shared" ca="1" si="417"/>
        <v>5.7793678191321458</v>
      </c>
      <c r="H927" s="307">
        <f t="shared" ca="1" si="418"/>
        <v>-137.87222228836762</v>
      </c>
      <c r="I927" s="304">
        <f t="shared" ca="1" si="419"/>
        <v>137.99329973271119</v>
      </c>
      <c r="J927" s="306">
        <f t="shared" ca="1" si="420"/>
        <v>755.37752734314608</v>
      </c>
      <c r="K927" s="307">
        <f t="shared" ca="1" si="421"/>
        <v>763.62837646139224</v>
      </c>
      <c r="L927" s="304">
        <f t="shared" ca="1" si="406"/>
        <v>1074.1152201473114</v>
      </c>
      <c r="M927" s="306">
        <f t="shared" ca="1" si="422"/>
        <v>-1.5289025629246673</v>
      </c>
      <c r="N927" s="304">
        <f t="shared" ca="1" si="423"/>
        <v>-87.599664142318204</v>
      </c>
      <c r="P927" s="310">
        <f t="shared" ca="1" si="424"/>
        <v>23</v>
      </c>
      <c r="Q927" s="304">
        <f t="shared" ca="1" si="425"/>
        <v>0</v>
      </c>
      <c r="R927" s="306">
        <f t="shared" ca="1" si="426"/>
        <v>0</v>
      </c>
      <c r="S927" s="307">
        <f t="shared" ca="1" si="427"/>
        <v>6.4679999999999849</v>
      </c>
      <c r="T927" s="304">
        <f t="shared" ca="1" si="407"/>
        <v>63.451079999999855</v>
      </c>
      <c r="U927" s="311">
        <f t="shared" ca="1" si="408"/>
        <v>0</v>
      </c>
      <c r="V927" s="306">
        <f t="shared" ca="1" si="409"/>
        <v>1.1348958289750872</v>
      </c>
      <c r="W927" s="304">
        <f t="shared" ca="1" si="410"/>
        <v>58.861852002774022</v>
      </c>
      <c r="Y927" s="314" t="str">
        <f t="shared" ca="1" si="428"/>
        <v/>
      </c>
      <c r="Z927" s="315" t="str">
        <f t="shared" ca="1" si="429"/>
        <v/>
      </c>
      <c r="AA927" s="316" t="str">
        <f t="shared" ca="1" si="430"/>
        <v/>
      </c>
      <c r="AC927" s="310" t="e">
        <f t="shared" ca="1" si="431"/>
        <v>#N/A</v>
      </c>
      <c r="AD927" s="323" t="e">
        <f t="shared" ca="1" si="432"/>
        <v>#N/A</v>
      </c>
      <c r="AE927" s="324" t="e">
        <f t="shared" ca="1" si="411"/>
        <v>#N/A</v>
      </c>
      <c r="AG927" s="306">
        <f t="shared" ca="1" si="433"/>
        <v>0.72287032144577168</v>
      </c>
      <c r="AH927" s="304">
        <f t="shared" ca="1" si="434"/>
        <v>-9.0783985902011892</v>
      </c>
    </row>
    <row r="928" spans="1:34" x14ac:dyDescent="0.2">
      <c r="A928" s="347">
        <f t="shared" ca="1" si="412"/>
        <v>0.1</v>
      </c>
      <c r="B928" s="304">
        <f t="shared" ca="1" si="413"/>
        <v>47.40000000000034</v>
      </c>
      <c r="D928" s="306">
        <f t="shared" ca="1" si="414"/>
        <v>-0.3811415070112944</v>
      </c>
      <c r="E928" s="307">
        <f t="shared" ca="1" si="415"/>
        <v>-0.7175130321302774</v>
      </c>
      <c r="F928" s="304">
        <f t="shared" ca="1" si="416"/>
        <v>0.81246156810253189</v>
      </c>
      <c r="G928" s="306">
        <f t="shared" ca="1" si="417"/>
        <v>5.7412536684310167</v>
      </c>
      <c r="H928" s="307">
        <f t="shared" ca="1" si="418"/>
        <v>-137.94397359158066</v>
      </c>
      <c r="I928" s="304">
        <f t="shared" ca="1" si="419"/>
        <v>138.06339791530547</v>
      </c>
      <c r="J928" s="306">
        <f t="shared" ca="1" si="420"/>
        <v>755.95355841752428</v>
      </c>
      <c r="K928" s="307">
        <f t="shared" ca="1" si="421"/>
        <v>749.83756666739487</v>
      </c>
      <c r="L928" s="304">
        <f t="shared" ca="1" si="406"/>
        <v>1064.7638981810931</v>
      </c>
      <c r="M928" s="306">
        <f t="shared" ca="1" si="422"/>
        <v>-1.5292001491273686</v>
      </c>
      <c r="N928" s="304">
        <f t="shared" ca="1" si="423"/>
        <v>-87.61671457577431</v>
      </c>
      <c r="P928" s="310">
        <f t="shared" ca="1" si="424"/>
        <v>23</v>
      </c>
      <c r="Q928" s="304">
        <f t="shared" ca="1" si="425"/>
        <v>0</v>
      </c>
      <c r="R928" s="306">
        <f t="shared" ca="1" si="426"/>
        <v>0</v>
      </c>
      <c r="S928" s="307">
        <f t="shared" ca="1" si="427"/>
        <v>6.4679999999999849</v>
      </c>
      <c r="T928" s="304">
        <f t="shared" ca="1" si="407"/>
        <v>63.451079999999855</v>
      </c>
      <c r="U928" s="311">
        <f t="shared" ca="1" si="408"/>
        <v>0</v>
      </c>
      <c r="V928" s="306">
        <f t="shared" ca="1" si="409"/>
        <v>1.1364642689402906</v>
      </c>
      <c r="W928" s="304">
        <f t="shared" ca="1" si="410"/>
        <v>59.003099243800484</v>
      </c>
      <c r="Y928" s="314" t="str">
        <f t="shared" ca="1" si="428"/>
        <v/>
      </c>
      <c r="Z928" s="315" t="str">
        <f t="shared" ca="1" si="429"/>
        <v/>
      </c>
      <c r="AA928" s="316" t="str">
        <f t="shared" ca="1" si="430"/>
        <v/>
      </c>
      <c r="AC928" s="310" t="e">
        <f t="shared" ca="1" si="431"/>
        <v>#N/A</v>
      </c>
      <c r="AD928" s="323" t="e">
        <f t="shared" ca="1" si="432"/>
        <v>#N/A</v>
      </c>
      <c r="AE928" s="324" t="e">
        <f t="shared" ca="1" si="411"/>
        <v>#N/A</v>
      </c>
      <c r="AG928" s="306">
        <f t="shared" ca="1" si="433"/>
        <v>0.70092069316305761</v>
      </c>
      <c r="AH928" s="304">
        <f t="shared" ca="1" si="434"/>
        <v>-9.1004718619007665</v>
      </c>
    </row>
    <row r="929" spans="1:34" x14ac:dyDescent="0.2">
      <c r="A929" s="347">
        <f t="shared" ca="1" si="412"/>
        <v>0.1</v>
      </c>
      <c r="B929" s="304">
        <f t="shared" ca="1" si="413"/>
        <v>47.500000000000341</v>
      </c>
      <c r="D929" s="306">
        <f t="shared" ca="1" si="414"/>
        <v>-0.37934380084075497</v>
      </c>
      <c r="E929" s="307">
        <f t="shared" ca="1" si="415"/>
        <v>-0.69558104773530793</v>
      </c>
      <c r="F929" s="304">
        <f t="shared" ca="1" si="416"/>
        <v>0.79229711169791539</v>
      </c>
      <c r="G929" s="306">
        <f t="shared" ca="1" si="417"/>
        <v>5.7033192883469415</v>
      </c>
      <c r="H929" s="307">
        <f t="shared" ca="1" si="418"/>
        <v>-138.01353169635419</v>
      </c>
      <c r="I929" s="304">
        <f t="shared" ca="1" si="419"/>
        <v>138.1313244061802</v>
      </c>
      <c r="J929" s="306">
        <f t="shared" ca="1" si="420"/>
        <v>756.52578706536315</v>
      </c>
      <c r="K929" s="307">
        <f t="shared" ca="1" si="421"/>
        <v>736.03969140299807</v>
      </c>
      <c r="L929" s="304">
        <f t="shared" ca="1" si="406"/>
        <v>1055.5025787820171</v>
      </c>
      <c r="M929" s="306">
        <f t="shared" ca="1" si="422"/>
        <v>-1.5294954773937524</v>
      </c>
      <c r="N929" s="304">
        <f t="shared" ca="1" si="423"/>
        <v>-87.633635639009029</v>
      </c>
      <c r="P929" s="310">
        <f t="shared" ca="1" si="424"/>
        <v>23</v>
      </c>
      <c r="Q929" s="304">
        <f t="shared" ca="1" si="425"/>
        <v>0</v>
      </c>
      <c r="R929" s="306">
        <f t="shared" ca="1" si="426"/>
        <v>0</v>
      </c>
      <c r="S929" s="307">
        <f t="shared" ca="1" si="427"/>
        <v>6.4679999999999849</v>
      </c>
      <c r="T929" s="304">
        <f t="shared" ca="1" si="407"/>
        <v>63.451079999999855</v>
      </c>
      <c r="U929" s="311">
        <f t="shared" ca="1" si="408"/>
        <v>0</v>
      </c>
      <c r="V929" s="306">
        <f t="shared" ca="1" si="409"/>
        <v>1.1380356002990786</v>
      </c>
      <c r="W929" s="304">
        <f t="shared" ca="1" si="410"/>
        <v>59.142832856016284</v>
      </c>
      <c r="Y929" s="314" t="str">
        <f t="shared" ca="1" si="428"/>
        <v/>
      </c>
      <c r="Z929" s="315" t="str">
        <f t="shared" ca="1" si="429"/>
        <v/>
      </c>
      <c r="AA929" s="316" t="str">
        <f t="shared" ca="1" si="430"/>
        <v/>
      </c>
      <c r="AC929" s="310" t="e">
        <f t="shared" ca="1" si="431"/>
        <v>#N/A</v>
      </c>
      <c r="AD929" s="323" t="e">
        <f t="shared" ca="1" si="432"/>
        <v>#N/A</v>
      </c>
      <c r="AE929" s="324" t="e">
        <f t="shared" ca="1" si="411"/>
        <v>#N/A</v>
      </c>
      <c r="AG929" s="306">
        <f t="shared" ca="1" si="433"/>
        <v>0.67920467051632727</v>
      </c>
      <c r="AH929" s="304">
        <f t="shared" ca="1" si="434"/>
        <v>-9.1223097161101769</v>
      </c>
    </row>
    <row r="930" spans="1:34" x14ac:dyDescent="0.2">
      <c r="A930" s="347">
        <f t="shared" ca="1" si="412"/>
        <v>0.1</v>
      </c>
      <c r="B930" s="304">
        <f t="shared" ca="1" si="413"/>
        <v>47.600000000000342</v>
      </c>
      <c r="D930" s="306">
        <f t="shared" ca="1" si="414"/>
        <v>-0.37754404193092023</v>
      </c>
      <c r="E930" s="307">
        <f t="shared" ca="1" si="415"/>
        <v>-0.6738840009770577</v>
      </c>
      <c r="F930" s="304">
        <f t="shared" ca="1" si="416"/>
        <v>0.77243714978655931</v>
      </c>
      <c r="G930" s="306">
        <f t="shared" ca="1" si="417"/>
        <v>5.6655648841538495</v>
      </c>
      <c r="H930" s="307">
        <f t="shared" ca="1" si="418"/>
        <v>-138.08092009645191</v>
      </c>
      <c r="I930" s="304">
        <f t="shared" ca="1" si="419"/>
        <v>138.19710243033063</v>
      </c>
      <c r="J930" s="306">
        <f t="shared" ca="1" si="420"/>
        <v>757.09423127398816</v>
      </c>
      <c r="K930" s="307">
        <f t="shared" ca="1" si="421"/>
        <v>722.2349688133578</v>
      </c>
      <c r="L930" s="304">
        <f t="shared" ca="1" si="406"/>
        <v>1046.334088714108</v>
      </c>
      <c r="M930" s="306">
        <f t="shared" ca="1" si="422"/>
        <v>-1.5297885704879259</v>
      </c>
      <c r="N930" s="304">
        <f t="shared" ca="1" si="423"/>
        <v>-87.650428636309599</v>
      </c>
      <c r="P930" s="310">
        <f t="shared" ca="1" si="424"/>
        <v>23</v>
      </c>
      <c r="Q930" s="304">
        <f t="shared" ca="1" si="425"/>
        <v>0</v>
      </c>
      <c r="R930" s="306">
        <f t="shared" ca="1" si="426"/>
        <v>0</v>
      </c>
      <c r="S930" s="307">
        <f t="shared" ca="1" si="427"/>
        <v>6.4679999999999849</v>
      </c>
      <c r="T930" s="304">
        <f t="shared" ca="1" si="407"/>
        <v>63.451079999999855</v>
      </c>
      <c r="U930" s="311">
        <f t="shared" ca="1" si="408"/>
        <v>0</v>
      </c>
      <c r="V930" s="306">
        <f t="shared" ca="1" si="409"/>
        <v>1.1396098055419333</v>
      </c>
      <c r="W930" s="304">
        <f t="shared" ca="1" si="410"/>
        <v>59.281061972656524</v>
      </c>
      <c r="Y930" s="314" t="str">
        <f t="shared" ca="1" si="428"/>
        <v/>
      </c>
      <c r="Z930" s="315" t="str">
        <f t="shared" ca="1" si="429"/>
        <v/>
      </c>
      <c r="AA930" s="316" t="str">
        <f t="shared" ca="1" si="430"/>
        <v/>
      </c>
      <c r="AC930" s="310" t="e">
        <f t="shared" ca="1" si="431"/>
        <v>#N/A</v>
      </c>
      <c r="AD930" s="323" t="e">
        <f t="shared" ca="1" si="432"/>
        <v>#N/A</v>
      </c>
      <c r="AE930" s="324" t="e">
        <f t="shared" ca="1" si="411"/>
        <v>#N/A</v>
      </c>
      <c r="AG930" s="306">
        <f t="shared" ca="1" si="433"/>
        <v>0.65772088338786006</v>
      </c>
      <c r="AH930" s="304">
        <f t="shared" ca="1" si="434"/>
        <v>-9.1439135522598054</v>
      </c>
    </row>
    <row r="931" spans="1:34" x14ac:dyDescent="0.2">
      <c r="A931" s="347">
        <f t="shared" ca="1" si="412"/>
        <v>0.1</v>
      </c>
      <c r="B931" s="304">
        <f t="shared" ca="1" si="413"/>
        <v>47.700000000000344</v>
      </c>
      <c r="D931" s="306">
        <f t="shared" ca="1" si="414"/>
        <v>-0.37574243383789246</v>
      </c>
      <c r="E931" s="307">
        <f t="shared" ca="1" si="415"/>
        <v>-0.65242047448282037</v>
      </c>
      <c r="F931" s="304">
        <f t="shared" ca="1" si="416"/>
        <v>0.75288435507109019</v>
      </c>
      <c r="G931" s="306">
        <f t="shared" ca="1" si="417"/>
        <v>5.6279906407700606</v>
      </c>
      <c r="H931" s="307">
        <f t="shared" ca="1" si="418"/>
        <v>-138.1461621439002</v>
      </c>
      <c r="I931" s="304">
        <f t="shared" ca="1" si="419"/>
        <v>138.26075507439324</v>
      </c>
      <c r="J931" s="306">
        <f t="shared" ca="1" si="420"/>
        <v>757.65890905023434</v>
      </c>
      <c r="K931" s="307">
        <f t="shared" ca="1" si="421"/>
        <v>708.42361470134017</v>
      </c>
      <c r="L931" s="304">
        <f t="shared" ca="1" si="406"/>
        <v>1037.261317282055</v>
      </c>
      <c r="M931" s="306">
        <f t="shared" ca="1" si="422"/>
        <v>-1.5300794508281252</v>
      </c>
      <c r="N931" s="304">
        <f t="shared" ca="1" si="423"/>
        <v>-87.667094852146349</v>
      </c>
      <c r="P931" s="310">
        <f t="shared" ca="1" si="424"/>
        <v>23</v>
      </c>
      <c r="Q931" s="304">
        <f t="shared" ca="1" si="425"/>
        <v>0</v>
      </c>
      <c r="R931" s="306">
        <f t="shared" ca="1" si="426"/>
        <v>0</v>
      </c>
      <c r="S931" s="307">
        <f t="shared" ca="1" si="427"/>
        <v>6.4679999999999849</v>
      </c>
      <c r="T931" s="304">
        <f t="shared" ca="1" si="407"/>
        <v>63.451079999999855</v>
      </c>
      <c r="U931" s="311">
        <f t="shared" ca="1" si="408"/>
        <v>0</v>
      </c>
      <c r="V931" s="306">
        <f t="shared" ca="1" si="409"/>
        <v>1.1411868673197261</v>
      </c>
      <c r="W931" s="304">
        <f t="shared" ca="1" si="410"/>
        <v>59.417795804932425</v>
      </c>
      <c r="Y931" s="314" t="str">
        <f t="shared" ca="1" si="428"/>
        <v/>
      </c>
      <c r="Z931" s="315" t="str">
        <f t="shared" ca="1" si="429"/>
        <v/>
      </c>
      <c r="AA931" s="316" t="str">
        <f t="shared" ca="1" si="430"/>
        <v/>
      </c>
      <c r="AC931" s="310" t="e">
        <f t="shared" ca="1" si="431"/>
        <v>#N/A</v>
      </c>
      <c r="AD931" s="323" t="e">
        <f t="shared" ca="1" si="432"/>
        <v>#N/A</v>
      </c>
      <c r="AE931" s="324" t="e">
        <f t="shared" ca="1" si="411"/>
        <v>#N/A</v>
      </c>
      <c r="AG931" s="306">
        <f t="shared" ca="1" si="433"/>
        <v>0.63646794846552801</v>
      </c>
      <c r="AH931" s="304">
        <f t="shared" ca="1" si="434"/>
        <v>-9.1652847824144494</v>
      </c>
    </row>
    <row r="932" spans="1:34" x14ac:dyDescent="0.2">
      <c r="A932" s="347">
        <f t="shared" ca="1" si="412"/>
        <v>0.1</v>
      </c>
      <c r="B932" s="304">
        <f t="shared" ca="1" si="413"/>
        <v>47.800000000000345</v>
      </c>
      <c r="D932" s="306">
        <f t="shared" ca="1" si="414"/>
        <v>-0.373939177038836</v>
      </c>
      <c r="E932" s="307">
        <f t="shared" ca="1" si="415"/>
        <v>-0.63118903877645316</v>
      </c>
      <c r="F932" s="304">
        <f t="shared" ca="1" si="416"/>
        <v>0.73364167738482855</v>
      </c>
      <c r="G932" s="306">
        <f t="shared" ca="1" si="417"/>
        <v>5.5905967230661773</v>
      </c>
      <c r="H932" s="307">
        <f t="shared" ca="1" si="418"/>
        <v>-138.20928104777784</v>
      </c>
      <c r="I932" s="304">
        <f t="shared" ca="1" si="419"/>
        <v>138.32230528538628</v>
      </c>
      <c r="J932" s="306">
        <f t="shared" ca="1" si="420"/>
        <v>758.21983841842621</v>
      </c>
      <c r="K932" s="307">
        <f t="shared" ca="1" si="421"/>
        <v>694.60584254175626</v>
      </c>
      <c r="L932" s="304">
        <f t="shared" ca="1" si="406"/>
        <v>1028.2872166201462</v>
      </c>
      <c r="M932" s="306">
        <f t="shared" ca="1" si="422"/>
        <v>-1.5303681404936356</v>
      </c>
      <c r="N932" s="304">
        <f t="shared" ca="1" si="423"/>
        <v>-87.683635551569139</v>
      </c>
      <c r="P932" s="310">
        <f t="shared" ca="1" si="424"/>
        <v>23</v>
      </c>
      <c r="Q932" s="304">
        <f t="shared" ca="1" si="425"/>
        <v>0</v>
      </c>
      <c r="R932" s="306">
        <f t="shared" ca="1" si="426"/>
        <v>0</v>
      </c>
      <c r="S932" s="307">
        <f t="shared" ca="1" si="427"/>
        <v>6.4679999999999849</v>
      </c>
      <c r="T932" s="304">
        <f t="shared" ca="1" si="407"/>
        <v>63.451079999999855</v>
      </c>
      <c r="U932" s="311">
        <f t="shared" ca="1" si="408"/>
        <v>0</v>
      </c>
      <c r="V932" s="306">
        <f t="shared" ca="1" si="409"/>
        <v>1.1427667684431584</v>
      </c>
      <c r="W932" s="304">
        <f t="shared" ca="1" si="410"/>
        <v>59.553043638349727</v>
      </c>
      <c r="Y932" s="314" t="str">
        <f t="shared" ca="1" si="428"/>
        <v/>
      </c>
      <c r="Z932" s="315" t="str">
        <f t="shared" ca="1" si="429"/>
        <v/>
      </c>
      <c r="AA932" s="316" t="str">
        <f t="shared" ca="1" si="430"/>
        <v/>
      </c>
      <c r="AC932" s="310" t="e">
        <f t="shared" ca="1" si="431"/>
        <v>#N/A</v>
      </c>
      <c r="AD932" s="323" t="e">
        <f t="shared" ca="1" si="432"/>
        <v>#N/A</v>
      </c>
      <c r="AE932" s="324" t="e">
        <f t="shared" ca="1" si="411"/>
        <v>#N/A</v>
      </c>
      <c r="AG932" s="306">
        <f t="shared" ca="1" si="433"/>
        <v>0.61544446983446477</v>
      </c>
      <c r="AH932" s="304">
        <f t="shared" ca="1" si="434"/>
        <v>-9.1864248306945839</v>
      </c>
    </row>
    <row r="933" spans="1:34" x14ac:dyDescent="0.2">
      <c r="A933" s="347">
        <f t="shared" ca="1" si="412"/>
        <v>0.1</v>
      </c>
      <c r="B933" s="304">
        <f t="shared" ca="1" si="413"/>
        <v>47.900000000000347</v>
      </c>
      <c r="D933" s="306">
        <f t="shared" ca="1" si="414"/>
        <v>-0.37213446894832114</v>
      </c>
      <c r="E933" s="307">
        <f t="shared" ca="1" si="415"/>
        <v>-0.61018825284973666</v>
      </c>
      <c r="F933" s="304">
        <f t="shared" ca="1" si="416"/>
        <v>0.71471236654703485</v>
      </c>
      <c r="G933" s="306">
        <f t="shared" ca="1" si="417"/>
        <v>5.5533832761713455</v>
      </c>
      <c r="H933" s="307">
        <f t="shared" ca="1" si="418"/>
        <v>-138.27029987306281</v>
      </c>
      <c r="I933" s="304">
        <f t="shared" ca="1" si="419"/>
        <v>138.38177586950809</v>
      </c>
      <c r="J933" s="306">
        <f t="shared" ca="1" si="420"/>
        <v>758.77703741838809</v>
      </c>
      <c r="K933" s="307">
        <f t="shared" ca="1" si="421"/>
        <v>680.78186349571422</v>
      </c>
      <c r="L933" s="304">
        <f t="shared" ca="1" si="406"/>
        <v>1019.4148018241266</v>
      </c>
      <c r="M933" s="306">
        <f t="shared" ca="1" si="422"/>
        <v>-1.5306546612315515</v>
      </c>
      <c r="N933" s="304">
        <f t="shared" ca="1" si="423"/>
        <v>-87.700051980594694</v>
      </c>
      <c r="P933" s="310">
        <f t="shared" ca="1" si="424"/>
        <v>23</v>
      </c>
      <c r="Q933" s="304">
        <f t="shared" ca="1" si="425"/>
        <v>0</v>
      </c>
      <c r="R933" s="306">
        <f t="shared" ca="1" si="426"/>
        <v>0</v>
      </c>
      <c r="S933" s="307">
        <f t="shared" ca="1" si="427"/>
        <v>6.4679999999999849</v>
      </c>
      <c r="T933" s="304">
        <f t="shared" ca="1" si="407"/>
        <v>63.451079999999855</v>
      </c>
      <c r="U933" s="311">
        <f t="shared" ca="1" si="408"/>
        <v>0</v>
      </c>
      <c r="V933" s="306">
        <f t="shared" ca="1" si="409"/>
        <v>1.1443494918821908</v>
      </c>
      <c r="W933" s="304">
        <f t="shared" ca="1" si="410"/>
        <v>59.686814829088249</v>
      </c>
      <c r="Y933" s="314" t="str">
        <f t="shared" ca="1" si="428"/>
        <v/>
      </c>
      <c r="Z933" s="315" t="str">
        <f t="shared" ca="1" si="429"/>
        <v/>
      </c>
      <c r="AA933" s="316" t="str">
        <f t="shared" ca="1" si="430"/>
        <v/>
      </c>
      <c r="AC933" s="310" t="e">
        <f t="shared" ca="1" si="431"/>
        <v>#N/A</v>
      </c>
      <c r="AD933" s="323" t="e">
        <f t="shared" ca="1" si="432"/>
        <v>#N/A</v>
      </c>
      <c r="AE933" s="324" t="e">
        <f t="shared" ca="1" si="411"/>
        <v>#N/A</v>
      </c>
      <c r="AG933" s="306">
        <f t="shared" ca="1" si="433"/>
        <v>0.59464903955883841</v>
      </c>
      <c r="AH933" s="304">
        <f t="shared" ca="1" si="434"/>
        <v>-9.2073351327071524</v>
      </c>
    </row>
    <row r="934" spans="1:34" x14ac:dyDescent="0.2">
      <c r="A934" s="347">
        <f t="shared" ca="1" si="412"/>
        <v>0.1</v>
      </c>
      <c r="B934" s="304">
        <f t="shared" ca="1" si="413"/>
        <v>48.000000000000348</v>
      </c>
      <c r="D934" s="306">
        <f t="shared" ca="1" si="414"/>
        <v>-0.37032850393521421</v>
      </c>
      <c r="E934" s="307">
        <f t="shared" ca="1" si="415"/>
        <v>-0.5894166647242276</v>
      </c>
      <c r="F934" s="304">
        <f t="shared" ca="1" si="416"/>
        <v>0.69609999675443646</v>
      </c>
      <c r="G934" s="306">
        <f t="shared" ca="1" si="417"/>
        <v>5.5163504257778238</v>
      </c>
      <c r="H934" s="307">
        <f t="shared" ca="1" si="418"/>
        <v>-138.32924153953525</v>
      </c>
      <c r="I934" s="304">
        <f t="shared" ca="1" si="419"/>
        <v>138.43918949099299</v>
      </c>
      <c r="J934" s="306">
        <f t="shared" ca="1" si="420"/>
        <v>759.33052410348557</v>
      </c>
      <c r="K934" s="307">
        <f t="shared" ca="1" si="421"/>
        <v>666.95188642508435</v>
      </c>
      <c r="L934" s="304">
        <f t="shared" ca="1" si="406"/>
        <v>1010.6471509093827</v>
      </c>
      <c r="M934" s="306">
        <f t="shared" ca="1" si="422"/>
        <v>-1.5309390344633775</v>
      </c>
      <c r="N934" s="304">
        <f t="shared" ca="1" si="423"/>
        <v>-87.716345366584818</v>
      </c>
      <c r="P934" s="310">
        <f t="shared" ca="1" si="424"/>
        <v>23</v>
      </c>
      <c r="Q934" s="304">
        <f t="shared" ca="1" si="425"/>
        <v>0</v>
      </c>
      <c r="R934" s="306">
        <f t="shared" ca="1" si="426"/>
        <v>0</v>
      </c>
      <c r="S934" s="307">
        <f t="shared" ca="1" si="427"/>
        <v>6.4679999999999849</v>
      </c>
      <c r="T934" s="304">
        <f t="shared" ca="1" si="407"/>
        <v>63.451079999999855</v>
      </c>
      <c r="U934" s="311">
        <f t="shared" ca="1" si="408"/>
        <v>0</v>
      </c>
      <c r="V934" s="306">
        <f t="shared" ca="1" si="409"/>
        <v>1.1459350207654588</v>
      </c>
      <c r="W934" s="304">
        <f t="shared" ca="1" si="410"/>
        <v>59.819118800442858</v>
      </c>
      <c r="Y934" s="314" t="str">
        <f t="shared" ca="1" si="428"/>
        <v/>
      </c>
      <c r="Z934" s="315" t="str">
        <f t="shared" ca="1" si="429"/>
        <v/>
      </c>
      <c r="AA934" s="316" t="str">
        <f t="shared" ca="1" si="430"/>
        <v/>
      </c>
      <c r="AC934" s="310">
        <f t="shared" ca="1" si="431"/>
        <v>48.000000000000348</v>
      </c>
      <c r="AD934" s="323">
        <f t="shared" ca="1" si="432"/>
        <v>759.33052410348557</v>
      </c>
      <c r="AE934" s="324" t="e">
        <f t="shared" ca="1" si="411"/>
        <v>#N/A</v>
      </c>
      <c r="AG934" s="306">
        <f t="shared" ca="1" si="433"/>
        <v>0.57408023825383658</v>
      </c>
      <c r="AH934" s="304">
        <f t="shared" ca="1" si="434"/>
        <v>-9.2280171349858353</v>
      </c>
    </row>
    <row r="935" spans="1:34" x14ac:dyDescent="0.2">
      <c r="A935" s="347">
        <f t="shared" ca="1" si="412"/>
        <v>0.1</v>
      </c>
      <c r="B935" s="304">
        <f t="shared" ca="1" si="413"/>
        <v>48.10000000000035</v>
      </c>
      <c r="D935" s="306">
        <f t="shared" ca="1" si="414"/>
        <v>-0.36852147334011959</v>
      </c>
      <c r="E935" s="307">
        <f t="shared" ca="1" si="415"/>
        <v>-0.56887281200361173</v>
      </c>
      <c r="F935" s="304">
        <f t="shared" ca="1" si="416"/>
        <v>0.67780849253286068</v>
      </c>
      <c r="G935" s="306">
        <f t="shared" ca="1" si="417"/>
        <v>5.4794982784438115</v>
      </c>
      <c r="H935" s="307">
        <f t="shared" ca="1" si="418"/>
        <v>-138.38612882073562</v>
      </c>
      <c r="I935" s="304">
        <f t="shared" ca="1" si="419"/>
        <v>138.49456867102299</v>
      </c>
      <c r="J935" s="306">
        <f t="shared" ca="1" si="420"/>
        <v>759.88031653869666</v>
      </c>
      <c r="K935" s="307">
        <f t="shared" ca="1" si="421"/>
        <v>653.11611790707082</v>
      </c>
      <c r="L935" s="304">
        <f t="shared" ca="1" si="406"/>
        <v>1001.9874045779979</v>
      </c>
      <c r="M935" s="306">
        <f t="shared" ca="1" si="422"/>
        <v>-1.5312212812914767</v>
      </c>
      <c r="N935" s="304">
        <f t="shared" ca="1" si="423"/>
        <v>-87.732516918615858</v>
      </c>
      <c r="P935" s="310">
        <f t="shared" ca="1" si="424"/>
        <v>23</v>
      </c>
      <c r="Q935" s="304">
        <f t="shared" ca="1" si="425"/>
        <v>0</v>
      </c>
      <c r="R935" s="306">
        <f t="shared" ca="1" si="426"/>
        <v>0</v>
      </c>
      <c r="S935" s="307">
        <f t="shared" ca="1" si="427"/>
        <v>6.4679999999999849</v>
      </c>
      <c r="T935" s="304">
        <f t="shared" ca="1" si="407"/>
        <v>63.451079999999855</v>
      </c>
      <c r="U935" s="311">
        <f t="shared" ca="1" si="408"/>
        <v>0</v>
      </c>
      <c r="V935" s="306">
        <f t="shared" ca="1" si="409"/>
        <v>1.1475233383796772</v>
      </c>
      <c r="W935" s="304">
        <f t="shared" ca="1" si="410"/>
        <v>59.949965039325555</v>
      </c>
      <c r="Y935" s="314" t="str">
        <f t="shared" ca="1" si="428"/>
        <v/>
      </c>
      <c r="Z935" s="315" t="str">
        <f t="shared" ca="1" si="429"/>
        <v/>
      </c>
      <c r="AA935" s="316" t="str">
        <f t="shared" ca="1" si="430"/>
        <v/>
      </c>
      <c r="AC935" s="310" t="e">
        <f t="shared" ca="1" si="431"/>
        <v>#N/A</v>
      </c>
      <c r="AD935" s="323" t="e">
        <f t="shared" ca="1" si="432"/>
        <v>#N/A</v>
      </c>
      <c r="AE935" s="324" t="e">
        <f t="shared" ca="1" si="411"/>
        <v>#N/A</v>
      </c>
      <c r="AG935" s="306">
        <f t="shared" ca="1" si="433"/>
        <v>0.55373663564782483</v>
      </c>
      <c r="AH935" s="304">
        <f t="shared" ca="1" si="434"/>
        <v>-9.248472294440786</v>
      </c>
    </row>
    <row r="936" spans="1:34" x14ac:dyDescent="0.2">
      <c r="A936" s="347">
        <f t="shared" ca="1" si="412"/>
        <v>0.1</v>
      </c>
      <c r="B936" s="304">
        <f t="shared" ca="1" si="413"/>
        <v>48.200000000000351</v>
      </c>
      <c r="D936" s="306">
        <f t="shared" ca="1" si="414"/>
        <v>-0.36671356549332734</v>
      </c>
      <c r="E936" s="307">
        <f t="shared" ca="1" si="415"/>
        <v>-0.54855522241655486</v>
      </c>
      <c r="F936" s="304">
        <f t="shared" ca="1" si="416"/>
        <v>0.65984215624443454</v>
      </c>
      <c r="G936" s="306">
        <f t="shared" ca="1" si="417"/>
        <v>5.4428269218944791</v>
      </c>
      <c r="H936" s="307">
        <f t="shared" ca="1" si="418"/>
        <v>-138.44098434297729</v>
      </c>
      <c r="I936" s="304">
        <f t="shared" ca="1" si="419"/>
        <v>138.54793578669506</v>
      </c>
      <c r="J936" s="306">
        <f t="shared" ca="1" si="420"/>
        <v>760.42643279871356</v>
      </c>
      <c r="K936" s="307">
        <f t="shared" ca="1" si="421"/>
        <v>639.27476224888517</v>
      </c>
      <c r="L936" s="304">
        <f t="shared" ca="1" si="406"/>
        <v>993.43876577640413</v>
      </c>
      <c r="M936" s="306">
        <f t="shared" ca="1" si="422"/>
        <v>-1.5315014225053709</v>
      </c>
      <c r="N936" s="304">
        <f t="shared" ca="1" si="423"/>
        <v>-87.748567827839665</v>
      </c>
      <c r="P936" s="310">
        <f t="shared" ca="1" si="424"/>
        <v>23</v>
      </c>
      <c r="Q936" s="304">
        <f t="shared" ca="1" si="425"/>
        <v>0</v>
      </c>
      <c r="R936" s="306">
        <f t="shared" ca="1" si="426"/>
        <v>0</v>
      </c>
      <c r="S936" s="307">
        <f t="shared" ca="1" si="427"/>
        <v>6.4679999999999849</v>
      </c>
      <c r="T936" s="304">
        <f t="shared" ca="1" si="407"/>
        <v>63.451079999999855</v>
      </c>
      <c r="U936" s="311">
        <f t="shared" ca="1" si="408"/>
        <v>0</v>
      </c>
      <c r="V936" s="306">
        <f t="shared" ca="1" si="409"/>
        <v>1.1491144281690298</v>
      </c>
      <c r="W936" s="304">
        <f t="shared" ca="1" si="410"/>
        <v>60.079363092828281</v>
      </c>
      <c r="Y936" s="314" t="str">
        <f t="shared" ca="1" si="428"/>
        <v/>
      </c>
      <c r="Z936" s="315" t="str">
        <f t="shared" ca="1" si="429"/>
        <v/>
      </c>
      <c r="AA936" s="316" t="str">
        <f t="shared" ca="1" si="430"/>
        <v/>
      </c>
      <c r="AC936" s="310" t="e">
        <f t="shared" ca="1" si="431"/>
        <v>#N/A</v>
      </c>
      <c r="AD936" s="323" t="e">
        <f t="shared" ca="1" si="432"/>
        <v>#N/A</v>
      </c>
      <c r="AE936" s="324" t="e">
        <f t="shared" ca="1" si="411"/>
        <v>#N/A</v>
      </c>
      <c r="AG936" s="306">
        <f t="shared" ca="1" si="433"/>
        <v>0.53361679113474736</v>
      </c>
      <c r="AH936" s="304">
        <f t="shared" ca="1" si="434"/>
        <v>-9.2687020778178262</v>
      </c>
    </row>
    <row r="937" spans="1:34" x14ac:dyDescent="0.2">
      <c r="A937" s="347">
        <f t="shared" ca="1" si="412"/>
        <v>0.1</v>
      </c>
      <c r="B937" s="304">
        <f t="shared" ca="1" si="413"/>
        <v>48.300000000000352</v>
      </c>
      <c r="D937" s="306">
        <f t="shared" ca="1" si="414"/>
        <v>-0.36490496573324249</v>
      </c>
      <c r="E937" s="307">
        <f t="shared" ca="1" si="415"/>
        <v>-0.52846241435013219</v>
      </c>
      <c r="F937" s="304">
        <f t="shared" ca="1" si="416"/>
        <v>0.64220569710767106</v>
      </c>
      <c r="G937" s="306">
        <f t="shared" ca="1" si="417"/>
        <v>5.4063364253211548</v>
      </c>
      <c r="H937" s="307">
        <f t="shared" ca="1" si="418"/>
        <v>-138.49383058441231</v>
      </c>
      <c r="I937" s="304">
        <f t="shared" ca="1" si="419"/>
        <v>138.59931307004248</v>
      </c>
      <c r="J937" s="306">
        <f t="shared" ca="1" si="420"/>
        <v>760.96889096607435</v>
      </c>
      <c r="K937" s="307">
        <f t="shared" ca="1" si="421"/>
        <v>625.42802150251566</v>
      </c>
      <c r="L937" s="304">
        <f t="shared" ca="1" si="406"/>
        <v>985.00449902459252</v>
      </c>
      <c r="M937" s="306">
        <f t="shared" ca="1" si="422"/>
        <v>-1.531779478587894</v>
      </c>
      <c r="N937" s="304">
        <f t="shared" ca="1" si="423"/>
        <v>-87.764499267836172</v>
      </c>
      <c r="P937" s="310">
        <f t="shared" ca="1" si="424"/>
        <v>23</v>
      </c>
      <c r="Q937" s="304">
        <f t="shared" ca="1" si="425"/>
        <v>0</v>
      </c>
      <c r="R937" s="306">
        <f t="shared" ca="1" si="426"/>
        <v>0</v>
      </c>
      <c r="S937" s="307">
        <f t="shared" ca="1" si="427"/>
        <v>6.4679999999999849</v>
      </c>
      <c r="T937" s="304">
        <f t="shared" ca="1" si="407"/>
        <v>63.451079999999855</v>
      </c>
      <c r="U937" s="311">
        <f t="shared" ca="1" si="408"/>
        <v>0</v>
      </c>
      <c r="V937" s="306">
        <f t="shared" ca="1" si="409"/>
        <v>1.150708273734552</v>
      </c>
      <c r="W937" s="304">
        <f t="shared" ca="1" si="410"/>
        <v>60.207322564846905</v>
      </c>
      <c r="Y937" s="314" t="str">
        <f t="shared" ca="1" si="428"/>
        <v/>
      </c>
      <c r="Z937" s="315" t="str">
        <f t="shared" ca="1" si="429"/>
        <v/>
      </c>
      <c r="AA937" s="316" t="str">
        <f t="shared" ca="1" si="430"/>
        <v/>
      </c>
      <c r="AC937" s="310" t="e">
        <f t="shared" ca="1" si="431"/>
        <v>#N/A</v>
      </c>
      <c r="AD937" s="323" t="e">
        <f t="shared" ca="1" si="432"/>
        <v>#N/A</v>
      </c>
      <c r="AE937" s="324" t="e">
        <f t="shared" ca="1" si="411"/>
        <v>#N/A</v>
      </c>
      <c r="AG937" s="306">
        <f t="shared" ca="1" si="433"/>
        <v>0.51371925431679699</v>
      </c>
      <c r="AH937" s="304">
        <f t="shared" ca="1" si="434"/>
        <v>-9.2887079611670416</v>
      </c>
    </row>
    <row r="938" spans="1:34" x14ac:dyDescent="0.2">
      <c r="A938" s="347">
        <f t="shared" ca="1" si="412"/>
        <v>0.1</v>
      </c>
      <c r="B938" s="304">
        <f t="shared" ca="1" si="413"/>
        <v>48.400000000000354</v>
      </c>
      <c r="D938" s="306">
        <f t="shared" ca="1" si="414"/>
        <v>-0.36309585642531028</v>
      </c>
      <c r="E938" s="307">
        <f t="shared" ca="1" si="415"/>
        <v>-0.50859289737375946</v>
      </c>
      <c r="F938" s="304">
        <f t="shared" ca="1" si="416"/>
        <v>0.62490426163714474</v>
      </c>
      <c r="G938" s="306">
        <f t="shared" ca="1" si="417"/>
        <v>5.3700268396786237</v>
      </c>
      <c r="H938" s="307">
        <f t="shared" ca="1" si="418"/>
        <v>-138.5446898741497</v>
      </c>
      <c r="I938" s="304">
        <f t="shared" ca="1" si="419"/>
        <v>138.64872260710948</v>
      </c>
      <c r="J938" s="306">
        <f t="shared" ca="1" si="420"/>
        <v>761.50770912932433</v>
      </c>
      <c r="K938" s="307">
        <f t="shared" ca="1" si="421"/>
        <v>611.57609547958759</v>
      </c>
      <c r="L938" s="304">
        <f t="shared" ca="1" si="406"/>
        <v>976.68792949715998</v>
      </c>
      <c r="M938" s="306">
        <f t="shared" ca="1" si="422"/>
        <v>-1.532055469721205</v>
      </c>
      <c r="N938" s="304">
        <f t="shared" ca="1" si="423"/>
        <v>-87.780312394957932</v>
      </c>
      <c r="P938" s="310">
        <f t="shared" ca="1" si="424"/>
        <v>23</v>
      </c>
      <c r="Q938" s="304">
        <f t="shared" ca="1" si="425"/>
        <v>0</v>
      </c>
      <c r="R938" s="306">
        <f t="shared" ca="1" si="426"/>
        <v>0</v>
      </c>
      <c r="S938" s="307">
        <f t="shared" ca="1" si="427"/>
        <v>6.4679999999999849</v>
      </c>
      <c r="T938" s="304">
        <f t="shared" ca="1" si="407"/>
        <v>63.451079999999855</v>
      </c>
      <c r="U938" s="311">
        <f t="shared" ca="1" si="408"/>
        <v>0</v>
      </c>
      <c r="V938" s="306">
        <f t="shared" ca="1" si="409"/>
        <v>1.1523048588334981</v>
      </c>
      <c r="W938" s="304">
        <f t="shared" ca="1" si="410"/>
        <v>60.333853112765205</v>
      </c>
      <c r="Y938" s="314" t="str">
        <f t="shared" ca="1" si="428"/>
        <v/>
      </c>
      <c r="Z938" s="315" t="str">
        <f t="shared" ca="1" si="429"/>
        <v/>
      </c>
      <c r="AA938" s="316" t="str">
        <f t="shared" ca="1" si="430"/>
        <v/>
      </c>
      <c r="AC938" s="310" t="e">
        <f t="shared" ca="1" si="431"/>
        <v>#N/A</v>
      </c>
      <c r="AD938" s="323" t="e">
        <f t="shared" ca="1" si="432"/>
        <v>#N/A</v>
      </c>
      <c r="AE938" s="324" t="e">
        <f t="shared" ca="1" si="411"/>
        <v>#N/A</v>
      </c>
      <c r="AG938" s="306">
        <f t="shared" ca="1" si="433"/>
        <v>0.49404256553737369</v>
      </c>
      <c r="AH938" s="304">
        <f t="shared" ca="1" si="434"/>
        <v>-9.3084914293208172</v>
      </c>
    </row>
    <row r="939" spans="1:34" x14ac:dyDescent="0.2">
      <c r="A939" s="347">
        <f t="shared" ca="1" si="412"/>
        <v>0.1</v>
      </c>
      <c r="B939" s="304">
        <f t="shared" ca="1" si="413"/>
        <v>48.500000000000355</v>
      </c>
      <c r="D939" s="306">
        <f t="shared" ca="1" si="414"/>
        <v>-0.36128641698137876</v>
      </c>
      <c r="E939" s="307">
        <f t="shared" ca="1" si="415"/>
        <v>-0.48894517275383542</v>
      </c>
      <c r="F939" s="304">
        <f t="shared" ca="1" si="416"/>
        <v>0.60794346534404053</v>
      </c>
      <c r="G939" s="306">
        <f t="shared" ca="1" si="417"/>
        <v>5.3338981979804858</v>
      </c>
      <c r="H939" s="307">
        <f t="shared" ca="1" si="418"/>
        <v>-138.59358439142508</v>
      </c>
      <c r="I939" s="304">
        <f t="shared" ca="1" si="419"/>
        <v>138.6961863370781</v>
      </c>
      <c r="J939" s="306">
        <f t="shared" ca="1" si="420"/>
        <v>762.04290538120733</v>
      </c>
      <c r="K939" s="307">
        <f t="shared" ca="1" si="421"/>
        <v>597.71918176630891</v>
      </c>
      <c r="L939" s="304">
        <f t="shared" ca="1" si="406"/>
        <v>968.49244183587598</v>
      </c>
      <c r="M939" s="306">
        <f t="shared" ca="1" si="422"/>
        <v>-1.5323294157926635</v>
      </c>
      <c r="N939" s="304">
        <f t="shared" ca="1" si="423"/>
        <v>-87.796008348666689</v>
      </c>
      <c r="P939" s="310">
        <f t="shared" ca="1" si="424"/>
        <v>23</v>
      </c>
      <c r="Q939" s="304">
        <f t="shared" ca="1" si="425"/>
        <v>0</v>
      </c>
      <c r="R939" s="306">
        <f t="shared" ca="1" si="426"/>
        <v>0</v>
      </c>
      <c r="S939" s="307">
        <f t="shared" ca="1" si="427"/>
        <v>6.4679999999999849</v>
      </c>
      <c r="T939" s="304">
        <f t="shared" ca="1" si="407"/>
        <v>63.451079999999855</v>
      </c>
      <c r="U939" s="311">
        <f t="shared" ca="1" si="408"/>
        <v>0</v>
      </c>
      <c r="V939" s="306">
        <f t="shared" ca="1" si="409"/>
        <v>1.1539041673786974</v>
      </c>
      <c r="W939" s="304">
        <f t="shared" ca="1" si="410"/>
        <v>60.458964444199253</v>
      </c>
      <c r="Y939" s="314" t="str">
        <f t="shared" ca="1" si="428"/>
        <v/>
      </c>
      <c r="Z939" s="315" t="str">
        <f t="shared" ca="1" si="429"/>
        <v/>
      </c>
      <c r="AA939" s="316" t="str">
        <f t="shared" ca="1" si="430"/>
        <v/>
      </c>
      <c r="AC939" s="310" t="e">
        <f t="shared" ca="1" si="431"/>
        <v>#N/A</v>
      </c>
      <c r="AD939" s="323" t="e">
        <f t="shared" ca="1" si="432"/>
        <v>#N/A</v>
      </c>
      <c r="AE939" s="324" t="e">
        <f t="shared" ca="1" si="411"/>
        <v>#N/A</v>
      </c>
      <c r="AG939" s="306">
        <f t="shared" ca="1" si="433"/>
        <v>0.47458525640442772</v>
      </c>
      <c r="AH939" s="304">
        <f t="shared" ca="1" si="434"/>
        <v>-9.3280539753811613</v>
      </c>
    </row>
    <row r="940" spans="1:34" x14ac:dyDescent="0.2">
      <c r="A940" s="347">
        <f t="shared" ca="1" si="412"/>
        <v>0.1</v>
      </c>
      <c r="B940" s="304">
        <f t="shared" ca="1" si="413"/>
        <v>48.600000000000357</v>
      </c>
      <c r="D940" s="306">
        <f t="shared" ca="1" si="414"/>
        <v>-0.35947682387949897</v>
      </c>
      <c r="E940" s="307">
        <f t="shared" ca="1" si="415"/>
        <v>-0.46951773395898755</v>
      </c>
      <c r="F940" s="304">
        <f t="shared" ca="1" si="416"/>
        <v>0.59132942545460643</v>
      </c>
      <c r="G940" s="306">
        <f t="shared" ca="1" si="417"/>
        <v>5.2979505155925359</v>
      </c>
      <c r="H940" s="307">
        <f t="shared" ca="1" si="418"/>
        <v>-138.64053616482099</v>
      </c>
      <c r="I940" s="304">
        <f t="shared" ca="1" si="419"/>
        <v>138.74172605144676</v>
      </c>
      <c r="J940" s="306">
        <f t="shared" ca="1" si="420"/>
        <v>762.57449781688604</v>
      </c>
      <c r="K940" s="307">
        <f t="shared" ca="1" si="421"/>
        <v>583.85747573849665</v>
      </c>
      <c r="L940" s="304">
        <f t="shared" ca="1" si="406"/>
        <v>960.42147867298615</v>
      </c>
      <c r="M940" s="306">
        <f t="shared" ca="1" si="422"/>
        <v>-1.5326013364005699</v>
      </c>
      <c r="N940" s="304">
        <f t="shared" ca="1" si="423"/>
        <v>-87.811588251862361</v>
      </c>
      <c r="P940" s="310">
        <f t="shared" ca="1" si="424"/>
        <v>23</v>
      </c>
      <c r="Q940" s="304">
        <f t="shared" ca="1" si="425"/>
        <v>0</v>
      </c>
      <c r="R940" s="306">
        <f t="shared" ca="1" si="426"/>
        <v>0</v>
      </c>
      <c r="S940" s="307">
        <f t="shared" ca="1" si="427"/>
        <v>6.4679999999999849</v>
      </c>
      <c r="T940" s="304">
        <f t="shared" ca="1" si="407"/>
        <v>63.451079999999855</v>
      </c>
      <c r="U940" s="311">
        <f t="shared" ca="1" si="408"/>
        <v>0</v>
      </c>
      <c r="V940" s="306">
        <f t="shared" ca="1" si="409"/>
        <v>1.1555061834379032</v>
      </c>
      <c r="W940" s="304">
        <f t="shared" ca="1" si="410"/>
        <v>60.582666313802015</v>
      </c>
      <c r="Y940" s="314" t="str">
        <f t="shared" ca="1" si="428"/>
        <v/>
      </c>
      <c r="Z940" s="315" t="str">
        <f t="shared" ca="1" si="429"/>
        <v/>
      </c>
      <c r="AA940" s="316" t="str">
        <f t="shared" ca="1" si="430"/>
        <v/>
      </c>
      <c r="AC940" s="310" t="e">
        <f t="shared" ca="1" si="431"/>
        <v>#N/A</v>
      </c>
      <c r="AD940" s="323" t="e">
        <f t="shared" ca="1" si="432"/>
        <v>#N/A</v>
      </c>
      <c r="AE940" s="324" t="e">
        <f t="shared" ca="1" si="411"/>
        <v>#N/A</v>
      </c>
      <c r="AG940" s="306">
        <f t="shared" ca="1" si="433"/>
        <v>0.45534585030421759</v>
      </c>
      <c r="AH940" s="304">
        <f t="shared" ca="1" si="434"/>
        <v>-9.3473971002163569</v>
      </c>
    </row>
    <row r="941" spans="1:34" x14ac:dyDescent="0.2">
      <c r="A941" s="347">
        <f t="shared" ca="1" si="412"/>
        <v>0.1</v>
      </c>
      <c r="B941" s="304">
        <f t="shared" ca="1" si="413"/>
        <v>48.700000000000358</v>
      </c>
      <c r="D941" s="306">
        <f t="shared" ca="1" si="414"/>
        <v>-0.35766725068414829</v>
      </c>
      <c r="E941" s="307">
        <f t="shared" ca="1" si="415"/>
        <v>-0.45030906715598285</v>
      </c>
      <c r="F941" s="304">
        <f t="shared" ca="1" si="416"/>
        <v>0.57506879429755953</v>
      </c>
      <c r="G941" s="306">
        <f t="shared" ca="1" si="417"/>
        <v>5.2621837905241211</v>
      </c>
      <c r="H941" s="307">
        <f t="shared" ca="1" si="418"/>
        <v>-138.68556707153658</v>
      </c>
      <c r="I941" s="304">
        <f t="shared" ca="1" si="419"/>
        <v>138.7853633932589</v>
      </c>
      <c r="J941" s="306">
        <f t="shared" ca="1" si="420"/>
        <v>763.10250453219192</v>
      </c>
      <c r="K941" s="307">
        <f t="shared" ca="1" si="421"/>
        <v>569.99117057667877</v>
      </c>
      <c r="L941" s="304">
        <f t="shared" ca="1" si="406"/>
        <v>952.47853884414451</v>
      </c>
      <c r="M941" s="306">
        <f t="shared" ca="1" si="422"/>
        <v>-1.5328712508597768</v>
      </c>
      <c r="N941" s="304">
        <f t="shared" ca="1" si="423"/>
        <v>-87.827053211204472</v>
      </c>
      <c r="P941" s="310">
        <f t="shared" ca="1" si="424"/>
        <v>23</v>
      </c>
      <c r="Q941" s="304">
        <f t="shared" ca="1" si="425"/>
        <v>0</v>
      </c>
      <c r="R941" s="306">
        <f t="shared" ca="1" si="426"/>
        <v>0</v>
      </c>
      <c r="S941" s="307">
        <f t="shared" ca="1" si="427"/>
        <v>6.4679999999999849</v>
      </c>
      <c r="T941" s="304">
        <f t="shared" ca="1" si="407"/>
        <v>63.451079999999855</v>
      </c>
      <c r="U941" s="311">
        <f t="shared" ca="1" si="408"/>
        <v>0</v>
      </c>
      <c r="V941" s="306">
        <f t="shared" ca="1" si="409"/>
        <v>1.1571108912331287</v>
      </c>
      <c r="W941" s="304">
        <f t="shared" ca="1" si="410"/>
        <v>60.704968520127402</v>
      </c>
      <c r="Y941" s="314" t="str">
        <f t="shared" ca="1" si="428"/>
        <v/>
      </c>
      <c r="Z941" s="315" t="str">
        <f t="shared" ca="1" si="429"/>
        <v/>
      </c>
      <c r="AA941" s="316" t="str">
        <f t="shared" ca="1" si="430"/>
        <v/>
      </c>
      <c r="AC941" s="310" t="e">
        <f t="shared" ca="1" si="431"/>
        <v>#N/A</v>
      </c>
      <c r="AD941" s="323" t="e">
        <f t="shared" ca="1" si="432"/>
        <v>#N/A</v>
      </c>
      <c r="AE941" s="324" t="e">
        <f t="shared" ca="1" si="411"/>
        <v>#N/A</v>
      </c>
      <c r="AG941" s="306">
        <f t="shared" ca="1" si="433"/>
        <v>0.43632286290546674</v>
      </c>
      <c r="AH941" s="304">
        <f t="shared" ca="1" si="434"/>
        <v>-9.3665223119669374</v>
      </c>
    </row>
    <row r="942" spans="1:34" x14ac:dyDescent="0.2">
      <c r="A942" s="347">
        <f t="shared" ca="1" si="412"/>
        <v>0.1</v>
      </c>
      <c r="B942" s="304">
        <f t="shared" ca="1" si="413"/>
        <v>48.80000000000036</v>
      </c>
      <c r="D942" s="306">
        <f t="shared" ca="1" si="414"/>
        <v>-0.35585786806684072</v>
      </c>
      <c r="E942" s="307">
        <f t="shared" ca="1" si="415"/>
        <v>-0.43131765169641767</v>
      </c>
      <c r="F942" s="304">
        <f t="shared" ca="1" si="416"/>
        <v>0.55916879287920684</v>
      </c>
      <c r="G942" s="306">
        <f t="shared" ca="1" si="417"/>
        <v>5.2265980037174371</v>
      </c>
      <c r="H942" s="307">
        <f t="shared" ca="1" si="418"/>
        <v>-138.72869883670623</v>
      </c>
      <c r="I942" s="304">
        <f t="shared" ca="1" si="419"/>
        <v>138.82711985638107</v>
      </c>
      <c r="J942" s="306">
        <f t="shared" ca="1" si="420"/>
        <v>763.62694362190405</v>
      </c>
      <c r="K942" s="307">
        <f t="shared" ca="1" si="421"/>
        <v>556.12045728126668</v>
      </c>
      <c r="L942" s="304">
        <f t="shared" ca="1" si="406"/>
        <v>944.66717526971149</v>
      </c>
      <c r="M942" s="306">
        <f t="shared" ca="1" si="422"/>
        <v>-1.5331391782071713</v>
      </c>
      <c r="N942" s="304">
        <f t="shared" ca="1" si="423"/>
        <v>-87.842404317426315</v>
      </c>
      <c r="P942" s="310">
        <f t="shared" ca="1" si="424"/>
        <v>23</v>
      </c>
      <c r="Q942" s="304">
        <f t="shared" ca="1" si="425"/>
        <v>0</v>
      </c>
      <c r="R942" s="306">
        <f t="shared" ca="1" si="426"/>
        <v>0</v>
      </c>
      <c r="S942" s="307">
        <f t="shared" ca="1" si="427"/>
        <v>6.4679999999999849</v>
      </c>
      <c r="T942" s="304">
        <f t="shared" ca="1" si="407"/>
        <v>63.451079999999855</v>
      </c>
      <c r="U942" s="311">
        <f t="shared" ca="1" si="408"/>
        <v>0</v>
      </c>
      <c r="V942" s="306">
        <f t="shared" ca="1" si="409"/>
        <v>1.1587182751399723</v>
      </c>
      <c r="W942" s="304">
        <f t="shared" ca="1" si="410"/>
        <v>60.825880902553479</v>
      </c>
      <c r="Y942" s="314" t="str">
        <f t="shared" ca="1" si="428"/>
        <v/>
      </c>
      <c r="Z942" s="315" t="str">
        <f t="shared" ca="1" si="429"/>
        <v/>
      </c>
      <c r="AA942" s="316" t="str">
        <f t="shared" ca="1" si="430"/>
        <v/>
      </c>
      <c r="AC942" s="310" t="e">
        <f t="shared" ca="1" si="431"/>
        <v>#N/A</v>
      </c>
      <c r="AD942" s="323" t="e">
        <f t="shared" ca="1" si="432"/>
        <v>#N/A</v>
      </c>
      <c r="AE942" s="324" t="e">
        <f t="shared" ca="1" si="411"/>
        <v>#N/A</v>
      </c>
      <c r="AG942" s="306">
        <f t="shared" ca="1" si="433"/>
        <v>0.41751480265406649</v>
      </c>
      <c r="AH942" s="304">
        <f t="shared" ca="1" si="434"/>
        <v>-9.385431125560844</v>
      </c>
    </row>
    <row r="943" spans="1:34" x14ac:dyDescent="0.2">
      <c r="A943" s="347">
        <f t="shared" ca="1" si="412"/>
        <v>0.1</v>
      </c>
      <c r="B943" s="304">
        <f t="shared" ca="1" si="413"/>
        <v>48.900000000000361</v>
      </c>
      <c r="D943" s="306">
        <f t="shared" ca="1" si="414"/>
        <v>-0.35404884382712121</v>
      </c>
      <c r="E943" s="307">
        <f t="shared" ca="1" si="415"/>
        <v>-0.41254196059421666</v>
      </c>
      <c r="F943" s="304">
        <f t="shared" ca="1" si="416"/>
        <v>0.5436372440021392</v>
      </c>
      <c r="G943" s="306">
        <f t="shared" ca="1" si="417"/>
        <v>5.1911931193347254</v>
      </c>
      <c r="H943" s="307">
        <f t="shared" ca="1" si="418"/>
        <v>-138.76995303276564</v>
      </c>
      <c r="I943" s="304">
        <f t="shared" ca="1" si="419"/>
        <v>138.86701678482984</v>
      </c>
      <c r="J943" s="306">
        <f t="shared" ca="1" si="420"/>
        <v>764.14783317805666</v>
      </c>
      <c r="K943" s="307">
        <f t="shared" ca="1" si="421"/>
        <v>542.24552468779314</v>
      </c>
      <c r="L943" s="304">
        <f t="shared" ca="1" si="406"/>
        <v>936.99099248320374</v>
      </c>
      <c r="M943" s="306">
        <f t="shared" ca="1" si="422"/>
        <v>-1.5334051372070348</v>
      </c>
      <c r="N943" s="304">
        <f t="shared" ca="1" si="423"/>
        <v>-87.857642645642017</v>
      </c>
      <c r="P943" s="310">
        <f t="shared" ca="1" si="424"/>
        <v>23</v>
      </c>
      <c r="Q943" s="304">
        <f t="shared" ca="1" si="425"/>
        <v>0</v>
      </c>
      <c r="R943" s="306">
        <f t="shared" ca="1" si="426"/>
        <v>0</v>
      </c>
      <c r="S943" s="307">
        <f t="shared" ca="1" si="427"/>
        <v>6.4679999999999849</v>
      </c>
      <c r="T943" s="304">
        <f t="shared" ca="1" si="407"/>
        <v>63.451079999999855</v>
      </c>
      <c r="U943" s="311">
        <f t="shared" ca="1" si="408"/>
        <v>0</v>
      </c>
      <c r="V943" s="306">
        <f t="shared" ca="1" si="409"/>
        <v>1.1603283196869352</v>
      </c>
      <c r="W943" s="304">
        <f t="shared" ca="1" si="410"/>
        <v>60.945413338265212</v>
      </c>
      <c r="Y943" s="314" t="str">
        <f t="shared" ca="1" si="428"/>
        <v/>
      </c>
      <c r="Z943" s="315" t="str">
        <f t="shared" ca="1" si="429"/>
        <v/>
      </c>
      <c r="AA943" s="316" t="str">
        <f t="shared" ca="1" si="430"/>
        <v/>
      </c>
      <c r="AC943" s="310" t="e">
        <f t="shared" ca="1" si="431"/>
        <v>#N/A</v>
      </c>
      <c r="AD943" s="323" t="e">
        <f t="shared" ca="1" si="432"/>
        <v>#N/A</v>
      </c>
      <c r="AE943" s="324" t="e">
        <f t="shared" ca="1" si="411"/>
        <v>#N/A</v>
      </c>
      <c r="AG943" s="306">
        <f t="shared" ca="1" si="433"/>
        <v>0.3989201712583732</v>
      </c>
      <c r="AH943" s="304">
        <f t="shared" ca="1" si="434"/>
        <v>-9.4041250622377266</v>
      </c>
    </row>
    <row r="944" spans="1:34" x14ac:dyDescent="0.2">
      <c r="A944" s="347">
        <f t="shared" ca="1" si="412"/>
        <v>0.1</v>
      </c>
      <c r="B944" s="304">
        <f t="shared" ca="1" si="413"/>
        <v>49.000000000000362</v>
      </c>
      <c r="D944" s="306">
        <f t="shared" ca="1" si="414"/>
        <v>-0.35224034291391831</v>
      </c>
      <c r="E944" s="307">
        <f t="shared" ca="1" si="415"/>
        <v>-0.39398046099390527</v>
      </c>
      <c r="F944" s="304">
        <f t="shared" ca="1" si="416"/>
        <v>0.52848260408558845</v>
      </c>
      <c r="G944" s="306">
        <f t="shared" ca="1" si="417"/>
        <v>5.155969085043334</v>
      </c>
      <c r="H944" s="307">
        <f t="shared" ca="1" si="418"/>
        <v>-138.80935107886503</v>
      </c>
      <c r="I944" s="304">
        <f t="shared" ca="1" si="419"/>
        <v>138.90507537214589</v>
      </c>
      <c r="J944" s="306">
        <f t="shared" ca="1" si="420"/>
        <v>764.66519128827554</v>
      </c>
      <c r="K944" s="307">
        <f t="shared" ca="1" si="421"/>
        <v>528.36655948221164</v>
      </c>
      <c r="L944" s="304">
        <f t="shared" ca="1" si="406"/>
        <v>929.45364378596332</v>
      </c>
      <c r="M944" s="306">
        <f t="shared" ca="1" si="422"/>
        <v>-1.533669146356281</v>
      </c>
      <c r="N944" s="304">
        <f t="shared" ca="1" si="423"/>
        <v>-87.872769255646659</v>
      </c>
      <c r="P944" s="310">
        <f t="shared" ca="1" si="424"/>
        <v>23</v>
      </c>
      <c r="Q944" s="304">
        <f t="shared" ca="1" si="425"/>
        <v>0</v>
      </c>
      <c r="R944" s="306">
        <f t="shared" ca="1" si="426"/>
        <v>0</v>
      </c>
      <c r="S944" s="307">
        <f t="shared" ca="1" si="427"/>
        <v>6.4679999999999849</v>
      </c>
      <c r="T944" s="304">
        <f t="shared" ca="1" si="407"/>
        <v>63.451079999999855</v>
      </c>
      <c r="U944" s="311">
        <f t="shared" ca="1" si="408"/>
        <v>0</v>
      </c>
      <c r="V944" s="306">
        <f t="shared" ca="1" si="409"/>
        <v>1.1619410095547285</v>
      </c>
      <c r="W944" s="304">
        <f t="shared" ca="1" si="410"/>
        <v>61.063575739295267</v>
      </c>
      <c r="Y944" s="314" t="str">
        <f t="shared" ca="1" si="428"/>
        <v/>
      </c>
      <c r="Z944" s="315" t="str">
        <f t="shared" ca="1" si="429"/>
        <v/>
      </c>
      <c r="AA944" s="316" t="str">
        <f t="shared" ca="1" si="430"/>
        <v/>
      </c>
      <c r="AC944" s="310">
        <f t="shared" ca="1" si="431"/>
        <v>49.000000000000362</v>
      </c>
      <c r="AD944" s="323">
        <f t="shared" ca="1" si="432"/>
        <v>764.66519128827554</v>
      </c>
      <c r="AE944" s="324" t="e">
        <f t="shared" ca="1" si="411"/>
        <v>#N/A</v>
      </c>
      <c r="AG944" s="306">
        <f t="shared" ca="1" si="433"/>
        <v>0.38053746416505163</v>
      </c>
      <c r="AH944" s="304">
        <f t="shared" ca="1" si="434"/>
        <v>-9.4226056490824597</v>
      </c>
    </row>
    <row r="945" spans="1:34" x14ac:dyDescent="0.2">
      <c r="A945" s="347">
        <f t="shared" ca="1" si="412"/>
        <v>0.1</v>
      </c>
      <c r="B945" s="304">
        <f t="shared" ca="1" si="413"/>
        <v>49.100000000000364</v>
      </c>
      <c r="D945" s="306">
        <f t="shared" ca="1" si="414"/>
        <v>-0.3504325274472439</v>
      </c>
      <c r="E945" s="307">
        <f t="shared" ca="1" si="415"/>
        <v>-0.37563161462986194</v>
      </c>
      <c r="F945" s="304">
        <f t="shared" ca="1" si="416"/>
        <v>0.5137139926092148</v>
      </c>
      <c r="G945" s="306">
        <f t="shared" ca="1" si="417"/>
        <v>5.1209258322986093</v>
      </c>
      <c r="H945" s="307">
        <f t="shared" ca="1" si="418"/>
        <v>-138.84691424032803</v>
      </c>
      <c r="I945" s="304">
        <f t="shared" ca="1" si="419"/>
        <v>138.94131666081515</v>
      </c>
      <c r="J945" s="306">
        <f t="shared" ca="1" si="420"/>
        <v>765.17903603414265</v>
      </c>
      <c r="K945" s="307">
        <f t="shared" ca="1" si="421"/>
        <v>514.48374621625203</v>
      </c>
      <c r="L945" s="304">
        <f t="shared" ca="1" si="406"/>
        <v>922.05882800765403</v>
      </c>
      <c r="M945" s="306">
        <f t="shared" ca="1" si="422"/>
        <v>-1.5339312238895775</v>
      </c>
      <c r="N945" s="304">
        <f t="shared" ca="1" si="423"/>
        <v>-87.887785192209748</v>
      </c>
      <c r="P945" s="310">
        <f t="shared" ca="1" si="424"/>
        <v>23</v>
      </c>
      <c r="Q945" s="304">
        <f t="shared" ca="1" si="425"/>
        <v>0</v>
      </c>
      <c r="R945" s="306">
        <f t="shared" ca="1" si="426"/>
        <v>0</v>
      </c>
      <c r="S945" s="307">
        <f t="shared" ca="1" si="427"/>
        <v>6.4679999999999849</v>
      </c>
      <c r="T945" s="304">
        <f t="shared" ca="1" si="407"/>
        <v>63.451079999999855</v>
      </c>
      <c r="U945" s="311">
        <f t="shared" ca="1" si="408"/>
        <v>0</v>
      </c>
      <c r="V945" s="306">
        <f t="shared" ca="1" si="409"/>
        <v>1.1635563295755713</v>
      </c>
      <c r="W945" s="304">
        <f t="shared" ca="1" si="410"/>
        <v>61.180378049623727</v>
      </c>
      <c r="Y945" s="314" t="str">
        <f t="shared" ca="1" si="428"/>
        <v/>
      </c>
      <c r="Z945" s="315" t="str">
        <f t="shared" ca="1" si="429"/>
        <v/>
      </c>
      <c r="AA945" s="316" t="str">
        <f t="shared" ca="1" si="430"/>
        <v/>
      </c>
      <c r="AC945" s="310" t="e">
        <f t="shared" ca="1" si="431"/>
        <v>#N/A</v>
      </c>
      <c r="AD945" s="323" t="e">
        <f t="shared" ca="1" si="432"/>
        <v>#N/A</v>
      </c>
      <c r="AE945" s="324" t="e">
        <f t="shared" ca="1" si="411"/>
        <v>#N/A</v>
      </c>
      <c r="AG945" s="306">
        <f t="shared" ca="1" si="433"/>
        <v>0.36236517102570431</v>
      </c>
      <c r="AH945" s="304">
        <f t="shared" ca="1" si="434"/>
        <v>-9.4408744185676259</v>
      </c>
    </row>
    <row r="946" spans="1:34" x14ac:dyDescent="0.2">
      <c r="A946" s="347">
        <f t="shared" ca="1" si="412"/>
        <v>0.1</v>
      </c>
      <c r="B946" s="304">
        <f t="shared" ca="1" si="413"/>
        <v>49.200000000000365</v>
      </c>
      <c r="D946" s="306">
        <f t="shared" ca="1" si="414"/>
        <v>-0.34862555674021345</v>
      </c>
      <c r="E946" s="307">
        <f t="shared" ca="1" si="415"/>
        <v>-0.35749387827643808</v>
      </c>
      <c r="F946" s="304">
        <f t="shared" ca="1" si="416"/>
        <v>0.49934121782359658</v>
      </c>
      <c r="G946" s="306">
        <f t="shared" ca="1" si="417"/>
        <v>5.0860632766245883</v>
      </c>
      <c r="H946" s="307">
        <f t="shared" ca="1" si="418"/>
        <v>-138.88266362815568</v>
      </c>
      <c r="I946" s="304">
        <f t="shared" ca="1" si="419"/>
        <v>138.97576154173527</v>
      </c>
      <c r="J946" s="306">
        <f t="shared" ca="1" si="420"/>
        <v>765.68938548958886</v>
      </c>
      <c r="K946" s="307">
        <f t="shared" ca="1" si="421"/>
        <v>500.59726732282786</v>
      </c>
      <c r="L946" s="304">
        <f t="shared" ca="1" si="406"/>
        <v>914.8102858530325</v>
      </c>
      <c r="M946" s="306">
        <f t="shared" ca="1" si="422"/>
        <v>-1.5341913877843518</v>
      </c>
      <c r="N946" s="304">
        <f t="shared" ca="1" si="423"/>
        <v>-87.902691485361999</v>
      </c>
      <c r="P946" s="310">
        <f t="shared" ca="1" si="424"/>
        <v>23</v>
      </c>
      <c r="Q946" s="304">
        <f t="shared" ca="1" si="425"/>
        <v>0</v>
      </c>
      <c r="R946" s="306">
        <f t="shared" ca="1" si="426"/>
        <v>0</v>
      </c>
      <c r="S946" s="307">
        <f t="shared" ca="1" si="427"/>
        <v>6.4679999999999849</v>
      </c>
      <c r="T946" s="304">
        <f t="shared" ca="1" si="407"/>
        <v>63.451079999999855</v>
      </c>
      <c r="U946" s="311">
        <f t="shared" ca="1" si="408"/>
        <v>0</v>
      </c>
      <c r="V946" s="306">
        <f t="shared" ca="1" si="409"/>
        <v>1.1651742647324788</v>
      </c>
      <c r="W946" s="304">
        <f t="shared" ca="1" si="410"/>
        <v>61.295830242334972</v>
      </c>
      <c r="Y946" s="314" t="str">
        <f t="shared" ca="1" si="428"/>
        <v/>
      </c>
      <c r="Z946" s="315" t="str">
        <f t="shared" ca="1" si="429"/>
        <v/>
      </c>
      <c r="AA946" s="316" t="str">
        <f t="shared" ca="1" si="430"/>
        <v/>
      </c>
      <c r="AC946" s="310" t="e">
        <f t="shared" ca="1" si="431"/>
        <v>#N/A</v>
      </c>
      <c r="AD946" s="323" t="e">
        <f t="shared" ca="1" si="432"/>
        <v>#N/A</v>
      </c>
      <c r="AE946" s="324" t="e">
        <f t="shared" ca="1" si="411"/>
        <v>#N/A</v>
      </c>
      <c r="AG946" s="306">
        <f t="shared" ca="1" si="433"/>
        <v>0.34440177615414491</v>
      </c>
      <c r="AH946" s="304">
        <f t="shared" ca="1" si="434"/>
        <v>-9.4589329081051137</v>
      </c>
    </row>
    <row r="947" spans="1:34" x14ac:dyDescent="0.2">
      <c r="A947" s="347">
        <f t="shared" ca="1" si="412"/>
        <v>0.1</v>
      </c>
      <c r="B947" s="304">
        <f t="shared" ca="1" si="413"/>
        <v>49.300000000000367</v>
      </c>
      <c r="D947" s="306">
        <f t="shared" ca="1" si="414"/>
        <v>-0.34681958732136781</v>
      </c>
      <c r="E947" s="307">
        <f t="shared" ca="1" si="415"/>
        <v>-0.33956570418919618</v>
      </c>
      <c r="F947" s="304">
        <f t="shared" ca="1" si="416"/>
        <v>0.48537479704993808</v>
      </c>
      <c r="G947" s="306">
        <f t="shared" ca="1" si="417"/>
        <v>5.0513813178924512</v>
      </c>
      <c r="H947" s="307">
        <f t="shared" ca="1" si="418"/>
        <v>-138.91662019857461</v>
      </c>
      <c r="I947" s="304">
        <f t="shared" ca="1" si="419"/>
        <v>139.00843075372723</v>
      </c>
      <c r="J947" s="306">
        <f t="shared" ca="1" si="420"/>
        <v>766.19625771931476</v>
      </c>
      <c r="K947" s="307">
        <f t="shared" ca="1" si="421"/>
        <v>486.70730313149136</v>
      </c>
      <c r="L947" s="304">
        <f t="shared" ca="1" si="406"/>
        <v>907.71179581660829</v>
      </c>
      <c r="M947" s="306">
        <f t="shared" ca="1" si="422"/>
        <v>-1.534449655765685</v>
      </c>
      <c r="N947" s="304">
        <f t="shared" ca="1" si="423"/>
        <v>-87.917489150675763</v>
      </c>
      <c r="P947" s="310">
        <f t="shared" ca="1" si="424"/>
        <v>23</v>
      </c>
      <c r="Q947" s="304">
        <f t="shared" ca="1" si="425"/>
        <v>0</v>
      </c>
      <c r="R947" s="306">
        <f t="shared" ca="1" si="426"/>
        <v>0</v>
      </c>
      <c r="S947" s="307">
        <f t="shared" ca="1" si="427"/>
        <v>6.4679999999999849</v>
      </c>
      <c r="T947" s="304">
        <f t="shared" ca="1" si="407"/>
        <v>63.451079999999855</v>
      </c>
      <c r="U947" s="311">
        <f t="shared" ca="1" si="408"/>
        <v>0</v>
      </c>
      <c r="V947" s="306">
        <f t="shared" ca="1" si="409"/>
        <v>1.1667948001585458</v>
      </c>
      <c r="W947" s="304">
        <f t="shared" ca="1" si="410"/>
        <v>61.409942316832804</v>
      </c>
      <c r="Y947" s="314" t="str">
        <f t="shared" ca="1" si="428"/>
        <v/>
      </c>
      <c r="Z947" s="315" t="str">
        <f t="shared" ca="1" si="429"/>
        <v/>
      </c>
      <c r="AA947" s="316" t="str">
        <f t="shared" ca="1" si="430"/>
        <v/>
      </c>
      <c r="AC947" s="310" t="e">
        <f t="shared" ca="1" si="431"/>
        <v>#N/A</v>
      </c>
      <c r="AD947" s="323" t="e">
        <f t="shared" ca="1" si="432"/>
        <v>#N/A</v>
      </c>
      <c r="AE947" s="324" t="e">
        <f t="shared" ca="1" si="411"/>
        <v>#N/A</v>
      </c>
      <c r="AG947" s="306">
        <f t="shared" ca="1" si="433"/>
        <v>0.32664575897462633</v>
      </c>
      <c r="AH947" s="304">
        <f t="shared" ca="1" si="434"/>
        <v>-9.4767826596065419</v>
      </c>
    </row>
    <row r="948" spans="1:34" x14ac:dyDescent="0.2">
      <c r="A948" s="347">
        <f t="shared" ca="1" si="412"/>
        <v>0.1</v>
      </c>
      <c r="B948" s="304">
        <f t="shared" ca="1" si="413"/>
        <v>49.400000000000368</v>
      </c>
      <c r="D948" s="306">
        <f t="shared" ca="1" si="414"/>
        <v>-0.34501477295731514</v>
      </c>
      <c r="E948" s="307">
        <f t="shared" ca="1" si="415"/>
        <v>-0.32184554053711878</v>
      </c>
      <c r="F948" s="304">
        <f t="shared" ca="1" si="416"/>
        <v>0.47182596952946315</v>
      </c>
      <c r="G948" s="306">
        <f t="shared" ca="1" si="417"/>
        <v>5.0168798405967197</v>
      </c>
      <c r="H948" s="307">
        <f t="shared" ca="1" si="418"/>
        <v>-138.94880475262832</v>
      </c>
      <c r="I948" s="304">
        <f t="shared" ca="1" si="419"/>
        <v>139.03934488309059</v>
      </c>
      <c r="J948" s="306">
        <f t="shared" ca="1" si="420"/>
        <v>766.69967077723925</v>
      </c>
      <c r="K948" s="307">
        <f t="shared" ca="1" si="421"/>
        <v>472.81403188393119</v>
      </c>
      <c r="L948" s="304">
        <f t="shared" ca="1" si="406"/>
        <v>900.76716964833156</v>
      </c>
      <c r="M948" s="306">
        <f t="shared" ca="1" si="422"/>
        <v>-1.5347060453110988</v>
      </c>
      <c r="N948" s="304">
        <f t="shared" ca="1" si="423"/>
        <v>-87.932179189539241</v>
      </c>
      <c r="P948" s="310">
        <f t="shared" ca="1" si="424"/>
        <v>23</v>
      </c>
      <c r="Q948" s="304">
        <f t="shared" ca="1" si="425"/>
        <v>0</v>
      </c>
      <c r="R948" s="306">
        <f t="shared" ca="1" si="426"/>
        <v>0</v>
      </c>
      <c r="S948" s="307">
        <f t="shared" ca="1" si="427"/>
        <v>6.4679999999999849</v>
      </c>
      <c r="T948" s="304">
        <f t="shared" ca="1" si="407"/>
        <v>63.451079999999855</v>
      </c>
      <c r="U948" s="311">
        <f t="shared" ca="1" si="408"/>
        <v>0</v>
      </c>
      <c r="V948" s="306">
        <f t="shared" ca="1" si="409"/>
        <v>1.1684179211362162</v>
      </c>
      <c r="W948" s="304">
        <f t="shared" ca="1" si="410"/>
        <v>61.52272429611196</v>
      </c>
      <c r="Y948" s="314" t="str">
        <f t="shared" ca="1" si="428"/>
        <v/>
      </c>
      <c r="Z948" s="315" t="str">
        <f t="shared" ca="1" si="429"/>
        <v/>
      </c>
      <c r="AA948" s="316" t="str">
        <f t="shared" ca="1" si="430"/>
        <v/>
      </c>
      <c r="AC948" s="310" t="e">
        <f t="shared" ca="1" si="431"/>
        <v>#N/A</v>
      </c>
      <c r="AD948" s="323" t="e">
        <f t="shared" ca="1" si="432"/>
        <v>#N/A</v>
      </c>
      <c r="AE948" s="324" t="e">
        <f t="shared" ca="1" si="411"/>
        <v>#N/A</v>
      </c>
      <c r="AG948" s="306">
        <f t="shared" ca="1" si="433"/>
        <v>0.30909559446080159</v>
      </c>
      <c r="AH948" s="304">
        <f t="shared" ca="1" si="434"/>
        <v>-9.4944252190527134</v>
      </c>
    </row>
    <row r="949" spans="1:34" x14ac:dyDescent="0.2">
      <c r="A949" s="347">
        <f t="shared" ca="1" si="412"/>
        <v>0.1</v>
      </c>
      <c r="B949" s="304">
        <f t="shared" ca="1" si="413"/>
        <v>49.500000000000369</v>
      </c>
      <c r="D949" s="306">
        <f t="shared" ca="1" si="414"/>
        <v>-0.34321126467560875</v>
      </c>
      <c r="E949" s="307">
        <f t="shared" ca="1" si="415"/>
        <v>-0.30433183182606172</v>
      </c>
      <c r="F949" s="304">
        <f t="shared" ca="1" si="416"/>
        <v>0.45870669938735043</v>
      </c>
      <c r="G949" s="306">
        <f t="shared" ca="1" si="417"/>
        <v>4.9825587141291585</v>
      </c>
      <c r="H949" s="307">
        <f t="shared" ca="1" si="418"/>
        <v>-138.97923793581091</v>
      </c>
      <c r="I949" s="304">
        <f t="shared" ca="1" si="419"/>
        <v>139.06852436320193</v>
      </c>
      <c r="J949" s="306">
        <f t="shared" ca="1" si="420"/>
        <v>767.19964270497553</v>
      </c>
      <c r="K949" s="307">
        <f t="shared" ca="1" si="421"/>
        <v>458.91762974950922</v>
      </c>
      <c r="L949" s="304">
        <f t="shared" ca="1" si="406"/>
        <v>893.98024735535955</v>
      </c>
      <c r="M949" s="306">
        <f t="shared" ca="1" si="422"/>
        <v>-1.5349605736552334</v>
      </c>
      <c r="N949" s="304">
        <f t="shared" ca="1" si="423"/>
        <v>-87.946762589424608</v>
      </c>
      <c r="P949" s="310">
        <f t="shared" ca="1" si="424"/>
        <v>23</v>
      </c>
      <c r="Q949" s="304">
        <f t="shared" ca="1" si="425"/>
        <v>0</v>
      </c>
      <c r="R949" s="306">
        <f t="shared" ca="1" si="426"/>
        <v>0</v>
      </c>
      <c r="S949" s="307">
        <f t="shared" ca="1" si="427"/>
        <v>6.4679999999999849</v>
      </c>
      <c r="T949" s="304">
        <f t="shared" ca="1" si="407"/>
        <v>63.451079999999855</v>
      </c>
      <c r="U949" s="311">
        <f t="shared" ca="1" si="408"/>
        <v>0</v>
      </c>
      <c r="V949" s="306">
        <f t="shared" ca="1" si="409"/>
        <v>1.1700436130965515</v>
      </c>
      <c r="W949" s="304">
        <f t="shared" ca="1" si="410"/>
        <v>61.634186224086775</v>
      </c>
      <c r="Y949" s="314" t="str">
        <f t="shared" ca="1" si="428"/>
        <v/>
      </c>
      <c r="Z949" s="315" t="str">
        <f t="shared" ca="1" si="429"/>
        <v/>
      </c>
      <c r="AA949" s="316" t="str">
        <f t="shared" ca="1" si="430"/>
        <v/>
      </c>
      <c r="AC949" s="310" t="e">
        <f t="shared" ca="1" si="431"/>
        <v>#N/A</v>
      </c>
      <c r="AD949" s="323" t="e">
        <f t="shared" ca="1" si="432"/>
        <v>#N/A</v>
      </c>
      <c r="AE949" s="324" t="e">
        <f t="shared" ca="1" si="411"/>
        <v>#N/A</v>
      </c>
      <c r="AG949" s="306">
        <f t="shared" ca="1" si="433"/>
        <v>0.29174975356580291</v>
      </c>
      <c r="AH949" s="304">
        <f t="shared" ca="1" si="434"/>
        <v>-9.5118621360717537</v>
      </c>
    </row>
    <row r="950" spans="1:34" x14ac:dyDescent="0.2">
      <c r="A950" s="347">
        <f t="shared" ca="1" si="412"/>
        <v>0.1</v>
      </c>
      <c r="B950" s="304">
        <f t="shared" ca="1" si="413"/>
        <v>49.600000000000371</v>
      </c>
      <c r="D950" s="306">
        <f t="shared" ca="1" si="414"/>
        <v>-0.34140921078792041</v>
      </c>
      <c r="E950" s="307">
        <f t="shared" ca="1" si="415"/>
        <v>-0.2870230193133434</v>
      </c>
      <c r="F950" s="304">
        <f t="shared" ca="1" si="416"/>
        <v>0.44602966585932213</v>
      </c>
      <c r="G950" s="306">
        <f t="shared" ca="1" si="417"/>
        <v>4.9484177930503668</v>
      </c>
      <c r="H950" s="307">
        <f t="shared" ca="1" si="418"/>
        <v>-139.00794023774225</v>
      </c>
      <c r="I950" s="304">
        <f t="shared" ca="1" si="419"/>
        <v>139.09598947415523</v>
      </c>
      <c r="J950" s="306">
        <f t="shared" ca="1" si="420"/>
        <v>767.69619153033454</v>
      </c>
      <c r="K950" s="307">
        <f t="shared" ca="1" si="421"/>
        <v>445.01827084083158</v>
      </c>
      <c r="L950" s="304">
        <f t="shared" ca="1" si="406"/>
        <v>887.35489172728626</v>
      </c>
      <c r="M950" s="306">
        <f t="shared" ca="1" si="422"/>
        <v>-1.5352132577944251</v>
      </c>
      <c r="N950" s="304">
        <f t="shared" ca="1" si="423"/>
        <v>-87.961240324150197</v>
      </c>
      <c r="P950" s="310">
        <f t="shared" ca="1" si="424"/>
        <v>23</v>
      </c>
      <c r="Q950" s="304">
        <f t="shared" ca="1" si="425"/>
        <v>0</v>
      </c>
      <c r="R950" s="306">
        <f t="shared" ca="1" si="426"/>
        <v>0</v>
      </c>
      <c r="S950" s="307">
        <f t="shared" ca="1" si="427"/>
        <v>6.4679999999999849</v>
      </c>
      <c r="T950" s="304">
        <f t="shared" ca="1" si="407"/>
        <v>63.451079999999855</v>
      </c>
      <c r="U950" s="311">
        <f t="shared" ca="1" si="408"/>
        <v>0</v>
      </c>
      <c r="V950" s="306">
        <f t="shared" ca="1" si="409"/>
        <v>1.1716718616184834</v>
      </c>
      <c r="W950" s="304">
        <f t="shared" ca="1" si="410"/>
        <v>61.744338162975474</v>
      </c>
      <c r="Y950" s="314" t="str">
        <f t="shared" ca="1" si="428"/>
        <v/>
      </c>
      <c r="Z950" s="315" t="str">
        <f t="shared" ca="1" si="429"/>
        <v/>
      </c>
      <c r="AA950" s="316" t="str">
        <f t="shared" ca="1" si="430"/>
        <v/>
      </c>
      <c r="AC950" s="310" t="e">
        <f t="shared" ca="1" si="431"/>
        <v>#N/A</v>
      </c>
      <c r="AD950" s="323" t="e">
        <f t="shared" ca="1" si="432"/>
        <v>#N/A</v>
      </c>
      <c r="AE950" s="324" t="e">
        <f t="shared" ca="1" si="411"/>
        <v>#N/A</v>
      </c>
      <c r="AG950" s="306">
        <f t="shared" ca="1" si="433"/>
        <v>0.2746067036432418</v>
      </c>
      <c r="AH950" s="304">
        <f t="shared" ca="1" si="434"/>
        <v>-9.5290949635261164</v>
      </c>
    </row>
    <row r="951" spans="1:34" x14ac:dyDescent="0.2">
      <c r="A951" s="347">
        <f t="shared" ca="1" si="412"/>
        <v>0.1</v>
      </c>
      <c r="B951" s="304">
        <f t="shared" ca="1" si="413"/>
        <v>49.700000000000372</v>
      </c>
      <c r="D951" s="306">
        <f t="shared" ca="1" si="414"/>
        <v>-0.33960875691343106</v>
      </c>
      <c r="E951" s="307">
        <f t="shared" ca="1" si="415"/>
        <v>-0.26991754141369384</v>
      </c>
      <c r="F951" s="304">
        <f t="shared" ca="1" si="416"/>
        <v>0.43380823751411063</v>
      </c>
      <c r="G951" s="306">
        <f t="shared" ca="1" si="417"/>
        <v>4.9144569173590238</v>
      </c>
      <c r="H951" s="307">
        <f t="shared" ca="1" si="418"/>
        <v>-139.03493199188361</v>
      </c>
      <c r="I951" s="304">
        <f t="shared" ca="1" si="419"/>
        <v>139.12176034244348</v>
      </c>
      <c r="J951" s="306">
        <f t="shared" ca="1" si="420"/>
        <v>768.18933526585499</v>
      </c>
      <c r="K951" s="307">
        <f t="shared" ca="1" si="421"/>
        <v>431.1161272293503</v>
      </c>
      <c r="L951" s="304">
        <f t="shared" ca="1" si="406"/>
        <v>880.89498237498742</v>
      </c>
      <c r="M951" s="306">
        <f t="shared" ca="1" si="422"/>
        <v>-1.5354641144911796</v>
      </c>
      <c r="N951" s="304">
        <f t="shared" ca="1" si="423"/>
        <v>-87.975613354136811</v>
      </c>
      <c r="P951" s="310">
        <f t="shared" ca="1" si="424"/>
        <v>23</v>
      </c>
      <c r="Q951" s="304">
        <f t="shared" ca="1" si="425"/>
        <v>0</v>
      </c>
      <c r="R951" s="306">
        <f t="shared" ca="1" si="426"/>
        <v>0</v>
      </c>
      <c r="S951" s="307">
        <f t="shared" ca="1" si="427"/>
        <v>6.4679999999999849</v>
      </c>
      <c r="T951" s="304">
        <f t="shared" ca="1" si="407"/>
        <v>63.451079999999855</v>
      </c>
      <c r="U951" s="311">
        <f t="shared" ca="1" si="408"/>
        <v>0</v>
      </c>
      <c r="V951" s="306">
        <f t="shared" ca="1" si="409"/>
        <v>1.1733026524280668</v>
      </c>
      <c r="W951" s="304">
        <f t="shared" ca="1" si="410"/>
        <v>61.853190190740591</v>
      </c>
      <c r="Y951" s="314" t="str">
        <f t="shared" ca="1" si="428"/>
        <v/>
      </c>
      <c r="Z951" s="315" t="str">
        <f t="shared" ca="1" si="429"/>
        <v/>
      </c>
      <c r="AA951" s="316" t="str">
        <f t="shared" ca="1" si="430"/>
        <v/>
      </c>
      <c r="AC951" s="310" t="e">
        <f t="shared" ca="1" si="431"/>
        <v>#N/A</v>
      </c>
      <c r="AD951" s="323" t="e">
        <f t="shared" ca="1" si="432"/>
        <v>#N/A</v>
      </c>
      <c r="AE951" s="324" t="e">
        <f t="shared" ca="1" si="411"/>
        <v>#N/A</v>
      </c>
      <c r="AG951" s="306">
        <f t="shared" ca="1" si="433"/>
        <v>0.25766490885940385</v>
      </c>
      <c r="AH951" s="304">
        <f t="shared" ca="1" si="434"/>
        <v>-9.5461252571081658</v>
      </c>
    </row>
    <row r="952" spans="1:34" x14ac:dyDescent="0.2">
      <c r="A952" s="347">
        <f t="shared" ca="1" si="412"/>
        <v>0.1</v>
      </c>
      <c r="B952" s="304">
        <f t="shared" ca="1" si="413"/>
        <v>49.800000000000374</v>
      </c>
      <c r="D952" s="306">
        <f t="shared" ca="1" si="414"/>
        <v>-0.33781004600247422</v>
      </c>
      <c r="E952" s="307">
        <f t="shared" ca="1" si="415"/>
        <v>-0.25301383409649958</v>
      </c>
      <c r="F952" s="304">
        <f t="shared" ca="1" si="416"/>
        <v>0.42205642682514</v>
      </c>
      <c r="G952" s="306">
        <f t="shared" ca="1" si="417"/>
        <v>4.8806759127587762</v>
      </c>
      <c r="H952" s="307">
        <f t="shared" ca="1" si="418"/>
        <v>-139.06023337529325</v>
      </c>
      <c r="I952" s="304">
        <f t="shared" ca="1" si="419"/>
        <v>139.1458569406808</v>
      </c>
      <c r="J952" s="306">
        <f t="shared" ca="1" si="420"/>
        <v>768.67909190736088</v>
      </c>
      <c r="K952" s="307">
        <f t="shared" ca="1" si="421"/>
        <v>417.21136896099148</v>
      </c>
      <c r="L952" s="304">
        <f t="shared" ca="1" si="406"/>
        <v>874.60440927646232</v>
      </c>
      <c r="M952" s="306">
        <f t="shared" ca="1" si="422"/>
        <v>-1.5357131602785505</v>
      </c>
      <c r="N952" s="304">
        <f t="shared" ca="1" si="423"/>
        <v>-87.989882626658684</v>
      </c>
      <c r="P952" s="310">
        <f t="shared" ca="1" si="424"/>
        <v>23</v>
      </c>
      <c r="Q952" s="304">
        <f t="shared" ca="1" si="425"/>
        <v>0</v>
      </c>
      <c r="R952" s="306">
        <f t="shared" ca="1" si="426"/>
        <v>0</v>
      </c>
      <c r="S952" s="307">
        <f t="shared" ca="1" si="427"/>
        <v>6.4679999999999849</v>
      </c>
      <c r="T952" s="304">
        <f t="shared" ca="1" si="407"/>
        <v>63.451079999999855</v>
      </c>
      <c r="U952" s="311">
        <f t="shared" ca="1" si="408"/>
        <v>0</v>
      </c>
      <c r="V952" s="306">
        <f t="shared" ca="1" si="409"/>
        <v>1.1749359713977217</v>
      </c>
      <c r="W952" s="304">
        <f t="shared" ca="1" si="410"/>
        <v>61.960752398584454</v>
      </c>
      <c r="Y952" s="314" t="str">
        <f t="shared" ca="1" si="428"/>
        <v/>
      </c>
      <c r="Z952" s="315" t="str">
        <f t="shared" ca="1" si="429"/>
        <v/>
      </c>
      <c r="AA952" s="316" t="str">
        <f t="shared" ca="1" si="430"/>
        <v/>
      </c>
      <c r="AC952" s="310" t="e">
        <f t="shared" ca="1" si="431"/>
        <v>#N/A</v>
      </c>
      <c r="AD952" s="323" t="e">
        <f t="shared" ca="1" si="432"/>
        <v>#N/A</v>
      </c>
      <c r="AE952" s="324" t="e">
        <f t="shared" ca="1" si="411"/>
        <v>#N/A</v>
      </c>
      <c r="AG952" s="306">
        <f t="shared" ca="1" si="433"/>
        <v>0.24092283059659358</v>
      </c>
      <c r="AH952" s="304">
        <f t="shared" ca="1" si="434"/>
        <v>-9.562954574944456</v>
      </c>
    </row>
    <row r="953" spans="1:34" x14ac:dyDescent="0.2">
      <c r="A953" s="347">
        <f t="shared" ca="1" si="412"/>
        <v>0.1</v>
      </c>
      <c r="B953" s="304">
        <f t="shared" ca="1" si="413"/>
        <v>49.900000000000375</v>
      </c>
      <c r="D953" s="306">
        <f t="shared" ca="1" si="414"/>
        <v>-0.33601321836036779</v>
      </c>
      <c r="E953" s="307">
        <f t="shared" ca="1" si="415"/>
        <v>-0.23631033127450962</v>
      </c>
      <c r="F953" s="304">
        <f t="shared" ca="1" si="416"/>
        <v>0.41078882114775311</v>
      </c>
      <c r="G953" s="306">
        <f t="shared" ca="1" si="417"/>
        <v>4.8470745909227393</v>
      </c>
      <c r="H953" s="307">
        <f t="shared" ca="1" si="418"/>
        <v>-139.08386440842071</v>
      </c>
      <c r="I953" s="304">
        <f t="shared" ca="1" si="419"/>
        <v>139.16829908736372</v>
      </c>
      <c r="J953" s="306">
        <f t="shared" ca="1" si="420"/>
        <v>769.165479432545</v>
      </c>
      <c r="K953" s="307">
        <f t="shared" ca="1" si="421"/>
        <v>403.30416407180576</v>
      </c>
      <c r="L953" s="304">
        <f t="shared" ca="1" si="406"/>
        <v>868.48706582674845</v>
      </c>
      <c r="M953" s="306">
        <f t="shared" ca="1" si="422"/>
        <v>-1.535960411464419</v>
      </c>
      <c r="N953" s="304">
        <f t="shared" ca="1" si="423"/>
        <v>-88.004049076088549</v>
      </c>
      <c r="P953" s="310">
        <f t="shared" ca="1" si="424"/>
        <v>23</v>
      </c>
      <c r="Q953" s="304">
        <f t="shared" ca="1" si="425"/>
        <v>0</v>
      </c>
      <c r="R953" s="306">
        <f t="shared" ca="1" si="426"/>
        <v>0</v>
      </c>
      <c r="S953" s="307">
        <f t="shared" ca="1" si="427"/>
        <v>6.4679999999999849</v>
      </c>
      <c r="T953" s="304">
        <f t="shared" ca="1" si="407"/>
        <v>63.451079999999855</v>
      </c>
      <c r="U953" s="311">
        <f t="shared" ca="1" si="408"/>
        <v>0</v>
      </c>
      <c r="V953" s="306">
        <f t="shared" ca="1" si="409"/>
        <v>1.1765718045454685</v>
      </c>
      <c r="W953" s="304">
        <f t="shared" ca="1" si="410"/>
        <v>62.067034888499158</v>
      </c>
      <c r="Y953" s="314" t="str">
        <f t="shared" ca="1" si="428"/>
        <v/>
      </c>
      <c r="Z953" s="315" t="str">
        <f t="shared" ca="1" si="429"/>
        <v/>
      </c>
      <c r="AA953" s="316" t="str">
        <f t="shared" ca="1" si="430"/>
        <v/>
      </c>
      <c r="AC953" s="310" t="e">
        <f t="shared" ca="1" si="431"/>
        <v>#N/A</v>
      </c>
      <c r="AD953" s="323" t="e">
        <f t="shared" ca="1" si="432"/>
        <v>#N/A</v>
      </c>
      <c r="AE953" s="324" t="e">
        <f t="shared" ca="1" si="411"/>
        <v>#N/A</v>
      </c>
      <c r="AG953" s="306">
        <f t="shared" ca="1" si="433"/>
        <v>0.2243789278477486</v>
      </c>
      <c r="AH953" s="304">
        <f t="shared" ca="1" si="434"/>
        <v>-9.5795844772085026</v>
      </c>
    </row>
    <row r="954" spans="1:34" x14ac:dyDescent="0.2">
      <c r="A954" s="347">
        <f t="shared" ca="1" si="412"/>
        <v>0.1</v>
      </c>
      <c r="B954" s="304">
        <f t="shared" ca="1" si="413"/>
        <v>50.000000000000377</v>
      </c>
      <c r="D954" s="306">
        <f t="shared" ca="1" si="414"/>
        <v>-0.33421841167146954</v>
      </c>
      <c r="E954" s="307">
        <f t="shared" ca="1" si="415"/>
        <v>-0.21980546518406108</v>
      </c>
      <c r="F954" s="304">
        <f t="shared" ca="1" si="416"/>
        <v>0.40002048600663115</v>
      </c>
      <c r="G954" s="306">
        <f t="shared" ca="1" si="417"/>
        <v>4.8136527497555921</v>
      </c>
      <c r="H954" s="307">
        <f t="shared" ca="1" si="418"/>
        <v>-139.1058449549391</v>
      </c>
      <c r="I954" s="304">
        <f t="shared" ca="1" si="419"/>
        <v>139.18910644667127</v>
      </c>
      <c r="J954" s="306">
        <f t="shared" ca="1" si="420"/>
        <v>769.64851579957895</v>
      </c>
      <c r="K954" s="307">
        <f t="shared" ca="1" si="421"/>
        <v>389.39467860363777</v>
      </c>
      <c r="L954" s="304">
        <f t="shared" ca="1" si="406"/>
        <v>862.54684139316464</v>
      </c>
      <c r="M954" s="306">
        <f t="shared" ca="1" si="422"/>
        <v>-1.5362058841356809</v>
      </c>
      <c r="N954" s="304">
        <f t="shared" ca="1" si="423"/>
        <v>-88.018113624137669</v>
      </c>
      <c r="P954" s="310">
        <f t="shared" ca="1" si="424"/>
        <v>23</v>
      </c>
      <c r="Q954" s="304">
        <f t="shared" ca="1" si="425"/>
        <v>0</v>
      </c>
      <c r="R954" s="306">
        <f t="shared" ca="1" si="426"/>
        <v>0</v>
      </c>
      <c r="S954" s="307">
        <f t="shared" ca="1" si="427"/>
        <v>6.4679999999999849</v>
      </c>
      <c r="T954" s="304">
        <f t="shared" ca="1" si="407"/>
        <v>63.451079999999855</v>
      </c>
      <c r="U954" s="311">
        <f t="shared" ca="1" si="408"/>
        <v>0</v>
      </c>
      <c r="V954" s="306">
        <f t="shared" ca="1" si="409"/>
        <v>1.1782101380341592</v>
      </c>
      <c r="W954" s="304">
        <f t="shared" ca="1" si="410"/>
        <v>62.172047770871131</v>
      </c>
      <c r="Y954" s="314" t="str">
        <f t="shared" ca="1" si="428"/>
        <v/>
      </c>
      <c r="Z954" s="315" t="str">
        <f t="shared" ca="1" si="429"/>
        <v/>
      </c>
      <c r="AA954" s="316" t="str">
        <f t="shared" ca="1" si="430"/>
        <v/>
      </c>
      <c r="AC954" s="310">
        <f t="shared" ca="1" si="431"/>
        <v>50.000000000000377</v>
      </c>
      <c r="AD954" s="323">
        <f t="shared" ca="1" si="432"/>
        <v>769.64851579957895</v>
      </c>
      <c r="AE954" s="324" t="e">
        <f t="shared" ca="1" si="411"/>
        <v>#N/A</v>
      </c>
      <c r="AG954" s="306">
        <f t="shared" ca="1" si="433"/>
        <v>0.20803165760245612</v>
      </c>
      <c r="AH954" s="304">
        <f t="shared" ca="1" si="434"/>
        <v>-9.5960165257420069</v>
      </c>
    </row>
    <row r="955" spans="1:34" x14ac:dyDescent="0.2">
      <c r="A955" s="347">
        <f t="shared" ca="1" si="412"/>
        <v>0.1</v>
      </c>
      <c r="B955" s="304">
        <f t="shared" ca="1" si="413"/>
        <v>50.100000000000378</v>
      </c>
      <c r="D955" s="306">
        <f t="shared" ca="1" si="414"/>
        <v>-0.33242576102340515</v>
      </c>
      <c r="E955" s="307">
        <f t="shared" ca="1" si="415"/>
        <v>-0.20349766675687064</v>
      </c>
      <c r="F955" s="304">
        <f t="shared" ca="1" si="416"/>
        <v>0.38976683666966899</v>
      </c>
      <c r="G955" s="306">
        <f t="shared" ca="1" si="417"/>
        <v>4.7804101736532516</v>
      </c>
      <c r="H955" s="307">
        <f t="shared" ca="1" si="418"/>
        <v>-139.12619472161478</v>
      </c>
      <c r="I955" s="304">
        <f t="shared" ca="1" si="419"/>
        <v>139.20829852830269</v>
      </c>
      <c r="J955" s="306">
        <f t="shared" ca="1" si="420"/>
        <v>770.12821894574938</v>
      </c>
      <c r="K955" s="307">
        <f t="shared" ca="1" si="421"/>
        <v>375.48307661981005</v>
      </c>
      <c r="L955" s="304">
        <f t="shared" ca="1" si="406"/>
        <v>856.78761338177048</v>
      </c>
      <c r="M955" s="306">
        <f t="shared" ca="1" si="422"/>
        <v>-1.5364495941623444</v>
      </c>
      <c r="N955" s="304">
        <f t="shared" ca="1" si="423"/>
        <v>-88.032077180090496</v>
      </c>
      <c r="P955" s="310">
        <f t="shared" ca="1" si="424"/>
        <v>23</v>
      </c>
      <c r="Q955" s="304">
        <f t="shared" ca="1" si="425"/>
        <v>0</v>
      </c>
      <c r="R955" s="306">
        <f t="shared" ca="1" si="426"/>
        <v>0</v>
      </c>
      <c r="S955" s="307">
        <f t="shared" ca="1" si="427"/>
        <v>6.4679999999999849</v>
      </c>
      <c r="T955" s="304">
        <f t="shared" ca="1" si="407"/>
        <v>63.451079999999855</v>
      </c>
      <c r="U955" s="311">
        <f t="shared" ca="1" si="408"/>
        <v>0</v>
      </c>
      <c r="V955" s="306">
        <f t="shared" ca="1" si="409"/>
        <v>1.1798509581706984</v>
      </c>
      <c r="W955" s="304">
        <f t="shared" ca="1" si="410"/>
        <v>62.275801162138954</v>
      </c>
      <c r="Y955" s="314" t="str">
        <f t="shared" ca="1" si="428"/>
        <v/>
      </c>
      <c r="Z955" s="315" t="str">
        <f t="shared" ca="1" si="429"/>
        <v/>
      </c>
      <c r="AA955" s="316" t="str">
        <f t="shared" ca="1" si="430"/>
        <v/>
      </c>
      <c r="AC955" s="310" t="e">
        <f t="shared" ca="1" si="431"/>
        <v>#N/A</v>
      </c>
      <c r="AD955" s="323" t="e">
        <f t="shared" ca="1" si="432"/>
        <v>#N/A</v>
      </c>
      <c r="AE955" s="324" t="e">
        <f t="shared" ca="1" si="411"/>
        <v>#N/A</v>
      </c>
      <c r="AG955" s="306">
        <f t="shared" ca="1" si="433"/>
        <v>0.19187947522434889</v>
      </c>
      <c r="AH955" s="304">
        <f t="shared" ca="1" si="434"/>
        <v>-9.612252283684489</v>
      </c>
    </row>
    <row r="956" spans="1:34" x14ac:dyDescent="0.2">
      <c r="A956" s="347">
        <f t="shared" ca="1" si="412"/>
        <v>0.1</v>
      </c>
      <c r="B956" s="304">
        <f t="shared" ca="1" si="413"/>
        <v>50.200000000000379</v>
      </c>
      <c r="D956" s="306">
        <f t="shared" ca="1" si="414"/>
        <v>-0.33063539893145977</v>
      </c>
      <c r="E956" s="307">
        <f t="shared" ca="1" si="415"/>
        <v>-0.18738536598352518</v>
      </c>
      <c r="F956" s="304">
        <f t="shared" ca="1" si="416"/>
        <v>0.38004347437016361</v>
      </c>
      <c r="G956" s="306">
        <f t="shared" ca="1" si="417"/>
        <v>4.747346633760106</v>
      </c>
      <c r="H956" s="307">
        <f t="shared" ca="1" si="418"/>
        <v>-139.14493325821314</v>
      </c>
      <c r="I956" s="304">
        <f t="shared" ca="1" si="419"/>
        <v>139.22589468735214</v>
      </c>
      <c r="J956" s="306">
        <f t="shared" ca="1" si="420"/>
        <v>770.60460678612003</v>
      </c>
      <c r="K956" s="307">
        <f t="shared" ca="1" si="421"/>
        <v>361.56952022081867</v>
      </c>
      <c r="L956" s="304">
        <f t="shared" ca="1" si="406"/>
        <v>851.21323882603212</v>
      </c>
      <c r="M956" s="306">
        <f t="shared" ca="1" si="422"/>
        <v>-1.5366915572015349</v>
      </c>
      <c r="N956" s="304">
        <f t="shared" ca="1" si="423"/>
        <v>-88.045940641034278</v>
      </c>
      <c r="P956" s="310">
        <f t="shared" ca="1" si="424"/>
        <v>23</v>
      </c>
      <c r="Q956" s="304">
        <f t="shared" ca="1" si="425"/>
        <v>0</v>
      </c>
      <c r="R956" s="306">
        <f t="shared" ca="1" si="426"/>
        <v>0</v>
      </c>
      <c r="S956" s="307">
        <f t="shared" ca="1" si="427"/>
        <v>6.4679999999999849</v>
      </c>
      <c r="T956" s="304">
        <f t="shared" ca="1" si="407"/>
        <v>63.451079999999855</v>
      </c>
      <c r="U956" s="311">
        <f t="shared" ca="1" si="408"/>
        <v>0</v>
      </c>
      <c r="V956" s="306">
        <f t="shared" ca="1" si="409"/>
        <v>1.181494251405262</v>
      </c>
      <c r="W956" s="304">
        <f t="shared" ca="1" si="410"/>
        <v>62.378305182504711</v>
      </c>
      <c r="Y956" s="314" t="str">
        <f t="shared" ca="1" si="428"/>
        <v/>
      </c>
      <c r="Z956" s="315" t="str">
        <f t="shared" ca="1" si="429"/>
        <v/>
      </c>
      <c r="AA956" s="316" t="str">
        <f t="shared" ca="1" si="430"/>
        <v/>
      </c>
      <c r="AC956" s="310" t="e">
        <f t="shared" ca="1" si="431"/>
        <v>#N/A</v>
      </c>
      <c r="AD956" s="323" t="e">
        <f t="shared" ca="1" si="432"/>
        <v>#N/A</v>
      </c>
      <c r="AE956" s="324" t="e">
        <f t="shared" ca="1" si="411"/>
        <v>#N/A</v>
      </c>
      <c r="AG956" s="306">
        <f t="shared" ca="1" si="433"/>
        <v>0.17592083482009002</v>
      </c>
      <c r="AH956" s="304">
        <f t="shared" ca="1" si="434"/>
        <v>-9.6282933151111774</v>
      </c>
    </row>
    <row r="957" spans="1:34" x14ac:dyDescent="0.2">
      <c r="A957" s="347">
        <f t="shared" ca="1" si="412"/>
        <v>0.1</v>
      </c>
      <c r="B957" s="304">
        <f t="shared" ca="1" si="413"/>
        <v>50.300000000000381</v>
      </c>
      <c r="D957" s="306">
        <f t="shared" ca="1" si="414"/>
        <v>-0.32884745536315146</v>
      </c>
      <c r="E957" s="307">
        <f t="shared" ca="1" si="415"/>
        <v>-0.17146699226868556</v>
      </c>
      <c r="F957" s="304">
        <f t="shared" ca="1" si="416"/>
        <v>0.3708659843346237</v>
      </c>
      <c r="G957" s="306">
        <f t="shared" ca="1" si="417"/>
        <v>4.7144618882237905</v>
      </c>
      <c r="H957" s="307">
        <f t="shared" ca="1" si="418"/>
        <v>-139.16207995744</v>
      </c>
      <c r="I957" s="304">
        <f t="shared" ca="1" si="419"/>
        <v>139.24191412421922</v>
      </c>
      <c r="J957" s="306">
        <f t="shared" ca="1" si="420"/>
        <v>771.07769721221928</v>
      </c>
      <c r="K957" s="307">
        <f t="shared" ca="1" si="421"/>
        <v>347.654169560036</v>
      </c>
      <c r="L957" s="304">
        <f t="shared" ca="1" si="406"/>
        <v>845.82754551420066</v>
      </c>
      <c r="M957" s="306">
        <f t="shared" ca="1" si="422"/>
        <v>-1.5369317887014171</v>
      </c>
      <c r="N957" s="304">
        <f t="shared" ca="1" si="423"/>
        <v>-88.05970489208363</v>
      </c>
      <c r="P957" s="310">
        <f t="shared" ca="1" si="424"/>
        <v>23</v>
      </c>
      <c r="Q957" s="304">
        <f t="shared" ca="1" si="425"/>
        <v>0</v>
      </c>
      <c r="R957" s="306">
        <f t="shared" ca="1" si="426"/>
        <v>0</v>
      </c>
      <c r="S957" s="307">
        <f t="shared" ca="1" si="427"/>
        <v>6.4679999999999849</v>
      </c>
      <c r="T957" s="304">
        <f t="shared" ca="1" si="407"/>
        <v>63.451079999999855</v>
      </c>
      <c r="U957" s="311">
        <f t="shared" ca="1" si="408"/>
        <v>0</v>
      </c>
      <c r="V957" s="306">
        <f t="shared" ca="1" si="409"/>
        <v>1.1831400043305089</v>
      </c>
      <c r="W957" s="304">
        <f t="shared" ca="1" si="410"/>
        <v>62.479569953697634</v>
      </c>
      <c r="Y957" s="314" t="str">
        <f t="shared" ca="1" si="428"/>
        <v/>
      </c>
      <c r="Z957" s="315" t="str">
        <f t="shared" ca="1" si="429"/>
        <v/>
      </c>
      <c r="AA957" s="316" t="str">
        <f t="shared" ca="1" si="430"/>
        <v/>
      </c>
      <c r="AC957" s="310" t="e">
        <f t="shared" ca="1" si="431"/>
        <v>#N/A</v>
      </c>
      <c r="AD957" s="323" t="e">
        <f t="shared" ca="1" si="432"/>
        <v>#N/A</v>
      </c>
      <c r="AE957" s="324" t="e">
        <f t="shared" ca="1" si="411"/>
        <v>#N/A</v>
      </c>
      <c r="AG957" s="306">
        <f t="shared" ca="1" si="433"/>
        <v>0.16015418959990058</v>
      </c>
      <c r="AH957" s="304">
        <f t="shared" ca="1" si="434"/>
        <v>-9.6441411846791674</v>
      </c>
    </row>
    <row r="958" spans="1:34" x14ac:dyDescent="0.2">
      <c r="A958" s="347">
        <f t="shared" ca="1" si="412"/>
        <v>0.1</v>
      </c>
      <c r="B958" s="304">
        <f t="shared" ca="1" si="413"/>
        <v>50.400000000000382</v>
      </c>
      <c r="D958" s="306">
        <f t="shared" ca="1" si="414"/>
        <v>-0.32706205776292363</v>
      </c>
      <c r="E958" s="307">
        <f t="shared" ca="1" si="415"/>
        <v>-0.15574097477817261</v>
      </c>
      <c r="F958" s="304">
        <f t="shared" ca="1" si="416"/>
        <v>0.36224969406884722</v>
      </c>
      <c r="G958" s="306">
        <f t="shared" ca="1" si="417"/>
        <v>4.6817556824474984</v>
      </c>
      <c r="H958" s="307">
        <f t="shared" ca="1" si="418"/>
        <v>-139.17765405491781</v>
      </c>
      <c r="I958" s="304">
        <f t="shared" ca="1" si="419"/>
        <v>139.25637588455513</v>
      </c>
      <c r="J958" s="306">
        <f t="shared" ca="1" si="420"/>
        <v>771.54750809075279</v>
      </c>
      <c r="K958" s="307">
        <f t="shared" ca="1" si="421"/>
        <v>333.73718285941811</v>
      </c>
      <c r="L958" s="304">
        <f t="shared" ca="1" si="406"/>
        <v>840.63432267781627</v>
      </c>
      <c r="M958" s="306">
        <f t="shared" ca="1" si="422"/>
        <v>-1.5371703039050295</v>
      </c>
      <c r="N958" s="304">
        <f t="shared" ca="1" si="423"/>
        <v>-88.073370806600323</v>
      </c>
      <c r="P958" s="310">
        <f t="shared" ca="1" si="424"/>
        <v>23</v>
      </c>
      <c r="Q958" s="304">
        <f t="shared" ca="1" si="425"/>
        <v>0</v>
      </c>
      <c r="R958" s="306">
        <f t="shared" ca="1" si="426"/>
        <v>0</v>
      </c>
      <c r="S958" s="307">
        <f t="shared" ca="1" si="427"/>
        <v>6.4679999999999849</v>
      </c>
      <c r="T958" s="304">
        <f t="shared" ca="1" si="407"/>
        <v>63.451079999999855</v>
      </c>
      <c r="U958" s="311">
        <f t="shared" ca="1" si="408"/>
        <v>0</v>
      </c>
      <c r="V958" s="306">
        <f t="shared" ca="1" si="409"/>
        <v>1.1847882036807857</v>
      </c>
      <c r="W958" s="304">
        <f t="shared" ca="1" si="410"/>
        <v>62.57960559679011</v>
      </c>
      <c r="Y958" s="314" t="str">
        <f t="shared" ca="1" si="428"/>
        <v/>
      </c>
      <c r="Z958" s="315" t="str">
        <f t="shared" ca="1" si="429"/>
        <v/>
      </c>
      <c r="AA958" s="316" t="str">
        <f t="shared" ca="1" si="430"/>
        <v/>
      </c>
      <c r="AC958" s="310" t="e">
        <f t="shared" ca="1" si="431"/>
        <v>#N/A</v>
      </c>
      <c r="AD958" s="323" t="e">
        <f t="shared" ca="1" si="432"/>
        <v>#N/A</v>
      </c>
      <c r="AE958" s="324" t="e">
        <f t="shared" ca="1" si="411"/>
        <v>#N/A</v>
      </c>
      <c r="AG958" s="306">
        <f t="shared" ca="1" si="433"/>
        <v>0.1445779922298609</v>
      </c>
      <c r="AH958" s="304">
        <f t="shared" ca="1" si="434"/>
        <v>-9.6597974572816607</v>
      </c>
    </row>
    <row r="959" spans="1:34" x14ac:dyDescent="0.2">
      <c r="A959" s="347">
        <f t="shared" ca="1" si="412"/>
        <v>0.1</v>
      </c>
      <c r="B959" s="304">
        <f t="shared" ca="1" si="413"/>
        <v>50.500000000000384</v>
      </c>
      <c r="D959" s="306">
        <f t="shared" ca="1" si="414"/>
        <v>-0.32527933107698498</v>
      </c>
      <c r="E959" s="307">
        <f t="shared" ca="1" si="415"/>
        <v>-0.14020574277792797</v>
      </c>
      <c r="F959" s="304">
        <f t="shared" ca="1" si="416"/>
        <v>0.35420939221567982</v>
      </c>
      <c r="G959" s="306">
        <f t="shared" ca="1" si="417"/>
        <v>4.6492277493397998</v>
      </c>
      <c r="H959" s="307">
        <f t="shared" ca="1" si="418"/>
        <v>-139.1916746291956</v>
      </c>
      <c r="I959" s="304">
        <f t="shared" ca="1" si="419"/>
        <v>139.26929885924278</v>
      </c>
      <c r="J959" s="306">
        <f t="shared" ca="1" si="420"/>
        <v>772.01405726234213</v>
      </c>
      <c r="K959" s="307">
        <f t="shared" ca="1" si="421"/>
        <v>319.81871642521241</v>
      </c>
      <c r="L959" s="304">
        <f t="shared" ca="1" si="406"/>
        <v>835.63731126998709</v>
      </c>
      <c r="M959" s="306">
        <f t="shared" ca="1" si="422"/>
        <v>-1.5374071178540383</v>
      </c>
      <c r="N959" s="304">
        <f t="shared" ca="1" si="423"/>
        <v>-88.086939246408349</v>
      </c>
      <c r="P959" s="310">
        <f t="shared" ca="1" si="424"/>
        <v>23</v>
      </c>
      <c r="Q959" s="304">
        <f t="shared" ca="1" si="425"/>
        <v>0</v>
      </c>
      <c r="R959" s="306">
        <f t="shared" ca="1" si="426"/>
        <v>0</v>
      </c>
      <c r="S959" s="307">
        <f t="shared" ca="1" si="427"/>
        <v>6.4679999999999849</v>
      </c>
      <c r="T959" s="304">
        <f t="shared" ca="1" si="407"/>
        <v>63.451079999999855</v>
      </c>
      <c r="U959" s="311">
        <f t="shared" ca="1" si="408"/>
        <v>0</v>
      </c>
      <c r="V959" s="306">
        <f t="shared" ca="1" si="409"/>
        <v>1.1864388363313305</v>
      </c>
      <c r="W959" s="304">
        <f t="shared" ca="1" si="410"/>
        <v>62.678422230065024</v>
      </c>
      <c r="Y959" s="314" t="str">
        <f t="shared" ca="1" si="428"/>
        <v/>
      </c>
      <c r="Z959" s="315" t="str">
        <f t="shared" ca="1" si="429"/>
        <v/>
      </c>
      <c r="AA959" s="316" t="str">
        <f t="shared" ca="1" si="430"/>
        <v/>
      </c>
      <c r="AC959" s="310" t="e">
        <f t="shared" ca="1" si="431"/>
        <v>#N/A</v>
      </c>
      <c r="AD959" s="323" t="e">
        <f t="shared" ca="1" si="432"/>
        <v>#N/A</v>
      </c>
      <c r="AE959" s="324" t="e">
        <f t="shared" ca="1" si="411"/>
        <v>#N/A</v>
      </c>
      <c r="AG959" s="306">
        <f t="shared" ca="1" si="433"/>
        <v>0.12919069517593229</v>
      </c>
      <c r="AH959" s="304">
        <f t="shared" ca="1" si="434"/>
        <v>-9.6752636977103048</v>
      </c>
    </row>
    <row r="960" spans="1:34" x14ac:dyDescent="0.2">
      <c r="A960" s="347">
        <f t="shared" ca="1" si="412"/>
        <v>0.1</v>
      </c>
      <c r="B960" s="304">
        <f t="shared" ca="1" si="413"/>
        <v>50.600000000000385</v>
      </c>
      <c r="D960" s="306">
        <f t="shared" ca="1" si="414"/>
        <v>-0.32349939777825909</v>
      </c>
      <c r="E960" s="307">
        <f t="shared" ca="1" si="415"/>
        <v>-0.12485972596499195</v>
      </c>
      <c r="F960" s="304">
        <f t="shared" ca="1" si="416"/>
        <v>0.34675901074225768</v>
      </c>
      <c r="G960" s="306">
        <f t="shared" ca="1" si="417"/>
        <v>4.6168778095619736</v>
      </c>
      <c r="H960" s="307">
        <f t="shared" ca="1" si="418"/>
        <v>-139.2041606017921</v>
      </c>
      <c r="I960" s="304">
        <f t="shared" ca="1" si="419"/>
        <v>139.28070178441072</v>
      </c>
      <c r="J960" s="306">
        <f t="shared" ca="1" si="420"/>
        <v>772.47736254028723</v>
      </c>
      <c r="K960" s="307">
        <f t="shared" ca="1" si="421"/>
        <v>305.89892466366302</v>
      </c>
      <c r="L960" s="304">
        <f t="shared" ca="1" si="406"/>
        <v>830.84019386858245</v>
      </c>
      <c r="M960" s="306">
        <f t="shared" ca="1" si="422"/>
        <v>-1.5376422453924092</v>
      </c>
      <c r="N960" s="304">
        <f t="shared" ca="1" si="423"/>
        <v>-88.100411062004298</v>
      </c>
      <c r="P960" s="310">
        <f t="shared" ca="1" si="424"/>
        <v>23</v>
      </c>
      <c r="Q960" s="304">
        <f t="shared" ca="1" si="425"/>
        <v>0</v>
      </c>
      <c r="R960" s="306">
        <f t="shared" ca="1" si="426"/>
        <v>0</v>
      </c>
      <c r="S960" s="307">
        <f t="shared" ca="1" si="427"/>
        <v>6.4679999999999849</v>
      </c>
      <c r="T960" s="304">
        <f t="shared" ca="1" si="407"/>
        <v>63.451079999999855</v>
      </c>
      <c r="U960" s="311">
        <f t="shared" ca="1" si="408"/>
        <v>0</v>
      </c>
      <c r="V960" s="306">
        <f t="shared" ca="1" si="409"/>
        <v>1.188091889297465</v>
      </c>
      <c r="W960" s="304">
        <f t="shared" ca="1" si="410"/>
        <v>62.776029966933891</v>
      </c>
      <c r="Y960" s="314" t="str">
        <f t="shared" ca="1" si="428"/>
        <v/>
      </c>
      <c r="Z960" s="315" t="str">
        <f t="shared" ca="1" si="429"/>
        <v/>
      </c>
      <c r="AA960" s="316" t="str">
        <f t="shared" ca="1" si="430"/>
        <v/>
      </c>
      <c r="AC960" s="310" t="e">
        <f t="shared" ca="1" si="431"/>
        <v>#N/A</v>
      </c>
      <c r="AD960" s="323" t="e">
        <f t="shared" ca="1" si="432"/>
        <v>#N/A</v>
      </c>
      <c r="AE960" s="324" t="e">
        <f t="shared" ca="1" si="411"/>
        <v>#N/A</v>
      </c>
      <c r="AG960" s="306">
        <f t="shared" ca="1" si="433"/>
        <v>0.11399075103989276</v>
      </c>
      <c r="AH960" s="304">
        <f t="shared" ca="1" si="434"/>
        <v>-9.6905414703254742</v>
      </c>
    </row>
    <row r="961" spans="1:34" x14ac:dyDescent="0.2">
      <c r="A961" s="347">
        <f t="shared" ca="1" si="412"/>
        <v>0.1</v>
      </c>
      <c r="B961" s="304">
        <f t="shared" ca="1" si="413"/>
        <v>50.700000000000387</v>
      </c>
      <c r="D961" s="306">
        <f t="shared" ca="1" si="414"/>
        <v>-0.32172237789144548</v>
      </c>
      <c r="E961" s="307">
        <f t="shared" ca="1" si="415"/>
        <v>-0.10970135479063359</v>
      </c>
      <c r="F961" s="304">
        <f t="shared" ca="1" si="416"/>
        <v>0.33991127618692868</v>
      </c>
      <c r="G961" s="306">
        <f t="shared" ca="1" si="417"/>
        <v>4.5847055717728287</v>
      </c>
      <c r="H961" s="307">
        <f t="shared" ca="1" si="418"/>
        <v>-139.21513073727115</v>
      </c>
      <c r="I961" s="304">
        <f t="shared" ca="1" si="419"/>
        <v>139.2906032414798</v>
      </c>
      <c r="J961" s="306">
        <f t="shared" ca="1" si="420"/>
        <v>772.93744170935395</v>
      </c>
      <c r="K961" s="307">
        <f t="shared" ca="1" si="421"/>
        <v>291.97796009670986</v>
      </c>
      <c r="L961" s="304">
        <f t="shared" ca="1" si="406"/>
        <v>826.24658424615393</v>
      </c>
      <c r="M961" s="306">
        <f t="shared" ca="1" si="422"/>
        <v>-1.5378757011700015</v>
      </c>
      <c r="N961" s="304">
        <f t="shared" ca="1" si="423"/>
        <v>-88.113787092763289</v>
      </c>
      <c r="P961" s="310">
        <f t="shared" ca="1" si="424"/>
        <v>23</v>
      </c>
      <c r="Q961" s="304">
        <f t="shared" ca="1" si="425"/>
        <v>0</v>
      </c>
      <c r="R961" s="306">
        <f t="shared" ca="1" si="426"/>
        <v>0</v>
      </c>
      <c r="S961" s="307">
        <f t="shared" ca="1" si="427"/>
        <v>6.4679999999999849</v>
      </c>
      <c r="T961" s="304">
        <f t="shared" ca="1" si="407"/>
        <v>63.451079999999855</v>
      </c>
      <c r="U961" s="311">
        <f t="shared" ca="1" si="408"/>
        <v>0</v>
      </c>
      <c r="V961" s="306">
        <f t="shared" ca="1" si="409"/>
        <v>1.1897473497337898</v>
      </c>
      <c r="W961" s="304">
        <f t="shared" ca="1" si="410"/>
        <v>62.872438913905761</v>
      </c>
      <c r="Y961" s="314" t="str">
        <f t="shared" ca="1" si="428"/>
        <v/>
      </c>
      <c r="Z961" s="315" t="str">
        <f t="shared" ca="1" si="429"/>
        <v/>
      </c>
      <c r="AA961" s="316" t="str">
        <f t="shared" ca="1" si="430"/>
        <v/>
      </c>
      <c r="AC961" s="310" t="e">
        <f t="shared" ca="1" si="431"/>
        <v>#N/A</v>
      </c>
      <c r="AD961" s="323" t="e">
        <f t="shared" ca="1" si="432"/>
        <v>#N/A</v>
      </c>
      <c r="AE961" s="324" t="e">
        <f t="shared" ca="1" si="411"/>
        <v>#N/A</v>
      </c>
      <c r="AG961" s="306">
        <f t="shared" ca="1" si="433"/>
        <v>9.8976612887270221E-2</v>
      </c>
      <c r="AH961" s="304">
        <f t="shared" ca="1" si="434"/>
        <v>-9.7056323387343912</v>
      </c>
    </row>
    <row r="962" spans="1:34" x14ac:dyDescent="0.2">
      <c r="A962" s="347">
        <f t="shared" ca="1" si="412"/>
        <v>0.1</v>
      </c>
      <c r="B962" s="304">
        <f t="shared" ca="1" si="413"/>
        <v>50.800000000000388</v>
      </c>
      <c r="D962" s="306">
        <f t="shared" ca="1" si="414"/>
        <v>-0.31994838901817746</v>
      </c>
      <c r="E962" s="307">
        <f t="shared" ca="1" si="415"/>
        <v>-9.4729060775565088E-2</v>
      </c>
      <c r="F962" s="304">
        <f t="shared" ca="1" si="416"/>
        <v>0.33367733904289593</v>
      </c>
      <c r="G962" s="306">
        <f t="shared" ca="1" si="417"/>
        <v>4.5527107328710112</v>
      </c>
      <c r="H962" s="307">
        <f t="shared" ca="1" si="418"/>
        <v>-139.2246036433487</v>
      </c>
      <c r="I962" s="304">
        <f t="shared" ca="1" si="419"/>
        <v>139.29902165724189</v>
      </c>
      <c r="J962" s="306">
        <f t="shared" ca="1" si="420"/>
        <v>773.3943125245861</v>
      </c>
      <c r="K962" s="307">
        <f t="shared" ca="1" si="421"/>
        <v>278.05597337767887</v>
      </c>
      <c r="L962" s="304">
        <f t="shared" ca="1" si="406"/>
        <v>821.86001665513913</v>
      </c>
      <c r="M962" s="306">
        <f t="shared" ca="1" si="422"/>
        <v>-1.5381074996460848</v>
      </c>
      <c r="N962" s="304">
        <f t="shared" ca="1" si="423"/>
        <v>-88.127068167140422</v>
      </c>
      <c r="P962" s="310">
        <f t="shared" ca="1" si="424"/>
        <v>23</v>
      </c>
      <c r="Q962" s="304">
        <f t="shared" ca="1" si="425"/>
        <v>0</v>
      </c>
      <c r="R962" s="306">
        <f t="shared" ca="1" si="426"/>
        <v>0</v>
      </c>
      <c r="S962" s="307">
        <f t="shared" ca="1" si="427"/>
        <v>6.4679999999999849</v>
      </c>
      <c r="T962" s="304">
        <f t="shared" ca="1" si="407"/>
        <v>63.451079999999855</v>
      </c>
      <c r="U962" s="311">
        <f t="shared" ca="1" si="408"/>
        <v>0</v>
      </c>
      <c r="V962" s="306">
        <f t="shared" ca="1" si="409"/>
        <v>1.1914052049333683</v>
      </c>
      <c r="W962" s="304">
        <f t="shared" ca="1" si="410"/>
        <v>62.9676591686056</v>
      </c>
      <c r="Y962" s="314" t="str">
        <f t="shared" ca="1" si="428"/>
        <v/>
      </c>
      <c r="Z962" s="315" t="str">
        <f t="shared" ca="1" si="429"/>
        <v/>
      </c>
      <c r="AA962" s="316" t="str">
        <f t="shared" ca="1" si="430"/>
        <v/>
      </c>
      <c r="AC962" s="310" t="e">
        <f t="shared" ca="1" si="431"/>
        <v>#N/A</v>
      </c>
      <c r="AD962" s="323" t="e">
        <f t="shared" ca="1" si="432"/>
        <v>#N/A</v>
      </c>
      <c r="AE962" s="324" t="e">
        <f t="shared" ca="1" si="411"/>
        <v>#N/A</v>
      </c>
      <c r="AG962" s="306">
        <f t="shared" ca="1" si="433"/>
        <v>8.4146734567285719E-2</v>
      </c>
      <c r="AH962" s="304">
        <f t="shared" ca="1" si="434"/>
        <v>-9.7205378654771035</v>
      </c>
    </row>
    <row r="963" spans="1:34" x14ac:dyDescent="0.2">
      <c r="A963" s="347">
        <f t="shared" ca="1" si="412"/>
        <v>0.1</v>
      </c>
      <c r="B963" s="304">
        <f t="shared" ca="1" si="413"/>
        <v>50.900000000000389</v>
      </c>
      <c r="D963" s="306">
        <f t="shared" ca="1" si="414"/>
        <v>-0.31817754636225498</v>
      </c>
      <c r="E963" s="307">
        <f t="shared" ca="1" si="415"/>
        <v>-7.9941276817498519E-2</v>
      </c>
      <c r="F963" s="304">
        <f t="shared" ca="1" si="416"/>
        <v>0.32806639381124797</v>
      </c>
      <c r="G963" s="306">
        <f t="shared" ca="1" si="417"/>
        <v>4.5208929782347855</v>
      </c>
      <c r="H963" s="307">
        <f t="shared" ca="1" si="418"/>
        <v>-139.23259777103044</v>
      </c>
      <c r="I963" s="304">
        <f t="shared" ca="1" si="419"/>
        <v>139.30597530396966</v>
      </c>
      <c r="J963" s="306">
        <f t="shared" ca="1" si="420"/>
        <v>773.8479927101414</v>
      </c>
      <c r="K963" s="307">
        <f t="shared" ca="1" si="421"/>
        <v>264.1331133069599</v>
      </c>
      <c r="L963" s="304">
        <f t="shared" ca="1" si="406"/>
        <v>817.68393488360914</v>
      </c>
      <c r="M963" s="306">
        <f t="shared" ca="1" si="422"/>
        <v>-1.5383376550927819</v>
      </c>
      <c r="N963" s="304">
        <f t="shared" ca="1" si="423"/>
        <v>-88.14025510286811</v>
      </c>
      <c r="P963" s="310">
        <f t="shared" ca="1" si="424"/>
        <v>23</v>
      </c>
      <c r="Q963" s="304">
        <f t="shared" ca="1" si="425"/>
        <v>0</v>
      </c>
      <c r="R963" s="306">
        <f t="shared" ca="1" si="426"/>
        <v>0</v>
      </c>
      <c r="S963" s="307">
        <f t="shared" ca="1" si="427"/>
        <v>6.4679999999999849</v>
      </c>
      <c r="T963" s="304">
        <f t="shared" ca="1" si="407"/>
        <v>63.451079999999855</v>
      </c>
      <c r="U963" s="311">
        <f t="shared" ca="1" si="408"/>
        <v>0</v>
      </c>
      <c r="V963" s="306">
        <f t="shared" ca="1" si="409"/>
        <v>1.1930654423269109</v>
      </c>
      <c r="W963" s="304">
        <f t="shared" ca="1" si="410"/>
        <v>63.061700817841967</v>
      </c>
      <c r="Y963" s="314" t="str">
        <f t="shared" ca="1" si="428"/>
        <v/>
      </c>
      <c r="Z963" s="315" t="str">
        <f t="shared" ca="1" si="429"/>
        <v/>
      </c>
      <c r="AA963" s="316" t="str">
        <f t="shared" ca="1" si="430"/>
        <v/>
      </c>
      <c r="AC963" s="310" t="e">
        <f t="shared" ca="1" si="431"/>
        <v>#N/A</v>
      </c>
      <c r="AD963" s="323" t="e">
        <f t="shared" ca="1" si="432"/>
        <v>#N/A</v>
      </c>
      <c r="AE963" s="324" t="e">
        <f t="shared" ca="1" si="411"/>
        <v>#N/A</v>
      </c>
      <c r="AG963" s="306">
        <f t="shared" ca="1" si="433"/>
        <v>6.9499571024978835E-2</v>
      </c>
      <c r="AH963" s="304">
        <f t="shared" ca="1" si="434"/>
        <v>-9.7352596117201209</v>
      </c>
    </row>
    <row r="964" spans="1:34" x14ac:dyDescent="0.2">
      <c r="A964" s="347">
        <f t="shared" ca="1" si="412"/>
        <v>0.1</v>
      </c>
      <c r="B964" s="304">
        <f t="shared" ca="1" si="413"/>
        <v>51.000000000000391</v>
      </c>
      <c r="D964" s="306">
        <f t="shared" ca="1" si="414"/>
        <v>-0.31640996275495337</v>
      </c>
      <c r="E964" s="307">
        <f t="shared" ca="1" si="415"/>
        <v>-6.5336437491048116E-2</v>
      </c>
      <c r="F964" s="304">
        <f t="shared" ca="1" si="416"/>
        <v>0.32308530544519137</v>
      </c>
      <c r="G964" s="306">
        <f t="shared" ca="1" si="417"/>
        <v>4.4892519819592902</v>
      </c>
      <c r="H964" s="307">
        <f t="shared" ca="1" si="418"/>
        <v>-139.23913141477954</v>
      </c>
      <c r="I964" s="304">
        <f t="shared" ca="1" si="419"/>
        <v>139.31148229955696</v>
      </c>
      <c r="J964" s="306">
        <f t="shared" ca="1" si="420"/>
        <v>774.29849995815107</v>
      </c>
      <c r="K964" s="307">
        <f t="shared" ca="1" si="421"/>
        <v>250.20952684766939</v>
      </c>
      <c r="L964" s="304">
        <f t="shared" ref="L964:L1004" ca="1" si="435">SQRT(pos_x^2+pos_z^2)</f>
        <v>813.72168114336091</v>
      </c>
      <c r="M964" s="306">
        <f t="shared" ca="1" si="422"/>
        <v>-1.5385661815984371</v>
      </c>
      <c r="N964" s="304">
        <f t="shared" ca="1" si="423"/>
        <v>-88.153348707149021</v>
      </c>
      <c r="P964" s="310">
        <f t="shared" ca="1" si="424"/>
        <v>23</v>
      </c>
      <c r="Q964" s="304">
        <f t="shared" ca="1" si="425"/>
        <v>0</v>
      </c>
      <c r="R964" s="306">
        <f t="shared" ca="1" si="426"/>
        <v>0</v>
      </c>
      <c r="S964" s="307">
        <f t="shared" ca="1" si="427"/>
        <v>6.4679999999999849</v>
      </c>
      <c r="T964" s="304">
        <f t="shared" ref="T964:T1004" ca="1" si="436">m*g</f>
        <v>63.451079999999855</v>
      </c>
      <c r="U964" s="311">
        <f t="shared" ref="U964:U1004" ca="1" si="437">IF(pos_xz&lt;L_rampe,Poids*COS(Beta),0)</f>
        <v>0</v>
      </c>
      <c r="V964" s="306">
        <f t="shared" ref="V964:V1004" ca="1" si="438">Rho_moyen*(20000-Alt_rampe-pos_z)/(20000+Alt_rampe+pos_z)</f>
        <v>1.1947280494819543</v>
      </c>
      <c r="W964" s="304">
        <f t="shared" ref="W964:W1003" ca="1" si="439">1/2*Rho*Sref*Cx*vit_xz^2</f>
        <v>63.154573935723455</v>
      </c>
      <c r="Y964" s="314" t="str">
        <f t="shared" ca="1" si="428"/>
        <v/>
      </c>
      <c r="Z964" s="315" t="str">
        <f t="shared" ca="1" si="429"/>
        <v/>
      </c>
      <c r="AA964" s="316" t="str">
        <f t="shared" ca="1" si="430"/>
        <v/>
      </c>
      <c r="AC964" s="310">
        <f t="shared" ca="1" si="431"/>
        <v>51.000000000000391</v>
      </c>
      <c r="AD964" s="323">
        <f t="shared" ca="1" si="432"/>
        <v>774.29849995815107</v>
      </c>
      <c r="AE964" s="324" t="e">
        <f t="shared" ref="AE964:AE1004" ca="1" si="440">IF(t&lt;T_para, pos_z, NA())</f>
        <v>#N/A</v>
      </c>
      <c r="AG964" s="306">
        <f t="shared" ca="1" si="433"/>
        <v>5.5033578605600653E-2</v>
      </c>
      <c r="AH964" s="304">
        <f t="shared" ca="1" si="434"/>
        <v>-9.7497991369576553</v>
      </c>
    </row>
    <row r="965" spans="1:34" x14ac:dyDescent="0.2">
      <c r="A965" s="347">
        <f t="shared" ref="A965:A1004" ca="1" si="441">IF(B964+0.01&lt;=T_ini+ROUNDUP(Temps_fin_propu,0), 0.01, IF(K964&gt;0, 0.1, 0.0001))</f>
        <v>0.1</v>
      </c>
      <c r="B965" s="304">
        <f t="shared" ref="B965:B1004" ca="1" si="442">B964+pas</f>
        <v>51.100000000000392</v>
      </c>
      <c r="D965" s="306">
        <f t="shared" ref="D965:D1004" ca="1" si="443">IF(AND(L964&lt;L_rampe,Poussee&lt;Poids*SIN(M964)),0,(-W964+Poussee)/m*COS(M964)-U964/m*SIN(M964))</f>
        <v>-0.31464574868039208</v>
      </c>
      <c r="E965" s="307">
        <f t="shared" ref="E965:E1004" ca="1" si="444">IF(AND(L964&lt;L_rampe,Poussee&lt;Poids*SIN(M964)),0,(-W964+Poussee)/m*SIN(M964)+U964/m*COS(M964)-Poids/m)</f>
        <v>-5.091297934007244E-2</v>
      </c>
      <c r="F965" s="304">
        <f t="shared" ref="F965:F1004" ca="1" si="445">SQRT(acc_x^2+acc_z^2)</f>
        <v>0.31873826037664055</v>
      </c>
      <c r="G965" s="306">
        <f t="shared" ref="G965:G1004" ca="1" si="446">G964+acc_x*pas</f>
        <v>4.4577874070912511</v>
      </c>
      <c r="H965" s="307">
        <f t="shared" ref="H965:H1004" ca="1" si="447">H964+acc_z*pas</f>
        <v>-139.24422271271354</v>
      </c>
      <c r="I965" s="304">
        <f t="shared" ref="I965:I1004" ca="1" si="448">SQRT(vit_x^2+vit_z^2)</f>
        <v>139.31556060768872</v>
      </c>
      <c r="J965" s="306">
        <f t="shared" ref="J965:J1004" ca="1" si="449">J964+0.5*(vit_x+G964)*pas*(K964&gt;=0)</f>
        <v>774.74585192760355</v>
      </c>
      <c r="K965" s="307">
        <f t="shared" ref="K965:K1004" ca="1" si="450">K964+0.5*(vit_z+H964)*pas</f>
        <v>236.28535914129475</v>
      </c>
      <c r="L965" s="304">
        <f t="shared" ca="1" si="435"/>
        <v>809.97648485839318</v>
      </c>
      <c r="M965" s="306">
        <f t="shared" ref="M965:M1004" ca="1" si="451">IF(AND(L964&gt;L_rampe,G965&gt;0),ATAN2(G965,H965),$M$4)</f>
        <v>-1.5387930930709142</v>
      </c>
      <c r="N965" s="304">
        <f t="shared" ref="N965:N1004" ca="1" si="452">DEGREES(Beta)</f>
        <v>-88.166349776845067</v>
      </c>
      <c r="P965" s="310">
        <f t="shared" ref="P965:P1004" ca="1" si="453">MATCH(t-pas/2-T_ini,CdP_t)</f>
        <v>23</v>
      </c>
      <c r="Q965" s="304">
        <f t="shared" ref="Q965:Q1004" ca="1" si="454">(INDEX(CdP,2,i_P+1)-INDEX(CdP,2,i_P+0))/(INDEX(CdP,1,i_P+1)-INDEX(CdP,1,i_P+0))*(t-pas/2-T_ini-INDEX(CdP,1,i_P+0))+INDEX(CdP,2,i_P+0)</f>
        <v>0</v>
      </c>
      <c r="R965" s="306">
        <f t="shared" ref="R965:R1004" ca="1" si="455">Poussee/(g*ISP)</f>
        <v>0</v>
      </c>
      <c r="S965" s="307">
        <f t="shared" ref="S965:S1004" ca="1" si="456">S964-Débit*pas</f>
        <v>6.4679999999999849</v>
      </c>
      <c r="T965" s="304">
        <f t="shared" ca="1" si="436"/>
        <v>63.451079999999855</v>
      </c>
      <c r="U965" s="311">
        <f t="shared" ca="1" si="437"/>
        <v>0</v>
      </c>
      <c r="V965" s="306">
        <f t="shared" ca="1" si="438"/>
        <v>1.1963930141020342</v>
      </c>
      <c r="W965" s="304">
        <f t="shared" ca="1" si="439"/>
        <v>63.246288581822881</v>
      </c>
      <c r="Y965" s="314" t="str">
        <f t="shared" ref="Y965:Y1003" ca="1" si="457">IF(AND(pos_z&lt;=0,K964&gt;0),"Impact balistique","") &amp; IF(AND(H966&lt;0,vit_z&gt;=0),"Apogée","") &amp; IF(AND(Poussee=0,Q964&gt;0),"Fin de propulsion","") &amp; IF(AND(L966&gt;L_rampe,pos_xz&lt;=L_rampe),"Sortie de rampe","")</f>
        <v/>
      </c>
      <c r="Z965" s="315" t="str">
        <f t="shared" ref="Z965:Z1004" ca="1" si="458">IF(ABS(t-T_para)&lt;pas/2,"Para","")</f>
        <v/>
      </c>
      <c r="AA965" s="316" t="str">
        <f t="shared" ref="AA965:AA1004" ca="1" si="459">IF(ABS(t-T_satellite)&lt;pas/2,"Satellite","")</f>
        <v/>
      </c>
      <c r="AC965" s="310" t="e">
        <f t="shared" ref="AC965:AC1004" ca="1" si="460">IF(ABS(t-ROUND(t,0))&lt;0.001,t,NA())</f>
        <v>#N/A</v>
      </c>
      <c r="AD965" s="323" t="e">
        <f t="shared" ref="AD965:AD1004" ca="1" si="461">IF(ABS(t-ROUND(t,0))&lt;0.001,pos_x,NA())</f>
        <v>#N/A</v>
      </c>
      <c r="AE965" s="324" t="e">
        <f t="shared" ca="1" si="440"/>
        <v>#N/A</v>
      </c>
      <c r="AG965" s="306">
        <f t="shared" ref="AG965:AG1004" ca="1" si="462">IF(AND(L964&lt;L_rampe,Poussee&lt;Poids*SIN(M964)),0,(-W964+Poussee)/m-Poids*SIN(M964)/m)</f>
        <v>4.074721535132042E-2</v>
      </c>
      <c r="AH965" s="304">
        <f t="shared" ref="AH965:AH1004" ca="1" si="463">IF(AND(L964&lt;L_rampe,Poussee&lt;Poids*SIN(M964)), g*SIN(M964), (-W964+Poussee)/m)</f>
        <v>-9.7641579987204086</v>
      </c>
    </row>
    <row r="966" spans="1:34" x14ac:dyDescent="0.2">
      <c r="A966" s="347">
        <f t="shared" ca="1" si="441"/>
        <v>0.1</v>
      </c>
      <c r="B966" s="304">
        <f t="shared" ca="1" si="442"/>
        <v>51.200000000000394</v>
      </c>
      <c r="D966" s="306">
        <f t="shared" ca="1" si="443"/>
        <v>-0.31288501230095528</v>
      </c>
      <c r="E966" s="307">
        <f t="shared" ca="1" si="444"/>
        <v>-3.6669341162580693E-2</v>
      </c>
      <c r="F966" s="304">
        <f t="shared" ca="1" si="445"/>
        <v>0.31502646159309644</v>
      </c>
      <c r="G966" s="306">
        <f t="shared" ca="1" si="446"/>
        <v>4.4264989058611555</v>
      </c>
      <c r="H966" s="307">
        <f t="shared" ca="1" si="447"/>
        <v>-139.2478896468298</v>
      </c>
      <c r="I966" s="304">
        <f t="shared" ca="1" si="448"/>
        <v>139.31822803803988</v>
      </c>
      <c r="J966" s="306">
        <f t="shared" ca="1" si="449"/>
        <v>775.19006624325118</v>
      </c>
      <c r="K966" s="307">
        <f t="shared" ca="1" si="450"/>
        <v>222.36075352331758</v>
      </c>
      <c r="L966" s="304">
        <f t="shared" ca="1" si="435"/>
        <v>806.45145142759441</v>
      </c>
      <c r="M966" s="306">
        <f t="shared" ca="1" si="451"/>
        <v>-1.5390184032408247</v>
      </c>
      <c r="N966" s="304">
        <f t="shared" ca="1" si="452"/>
        <v>-88.179259098662314</v>
      </c>
      <c r="P966" s="310">
        <f t="shared" ca="1" si="453"/>
        <v>23</v>
      </c>
      <c r="Q966" s="304">
        <f t="shared" ca="1" si="454"/>
        <v>0</v>
      </c>
      <c r="R966" s="306">
        <f t="shared" ca="1" si="455"/>
        <v>0</v>
      </c>
      <c r="S966" s="307">
        <f t="shared" ca="1" si="456"/>
        <v>6.4679999999999849</v>
      </c>
      <c r="T966" s="304">
        <f t="shared" ca="1" si="436"/>
        <v>63.451079999999855</v>
      </c>
      <c r="U966" s="311">
        <f t="shared" ca="1" si="437"/>
        <v>0</v>
      </c>
      <c r="V966" s="306">
        <f t="shared" ca="1" si="438"/>
        <v>1.198060324025858</v>
      </c>
      <c r="W966" s="304">
        <f t="shared" ca="1" si="439"/>
        <v>63.336854799389045</v>
      </c>
      <c r="Y966" s="314" t="str">
        <f t="shared" ca="1" si="457"/>
        <v/>
      </c>
      <c r="Z966" s="315" t="str">
        <f t="shared" ca="1" si="458"/>
        <v/>
      </c>
      <c r="AA966" s="316" t="str">
        <f t="shared" ca="1" si="459"/>
        <v/>
      </c>
      <c r="AC966" s="310" t="e">
        <f t="shared" ca="1" si="460"/>
        <v>#N/A</v>
      </c>
      <c r="AD966" s="323" t="e">
        <f t="shared" ca="1" si="461"/>
        <v>#N/A</v>
      </c>
      <c r="AE966" s="324" t="e">
        <f t="shared" ca="1" si="440"/>
        <v>#N/A</v>
      </c>
      <c r="AG966" s="306">
        <f t="shared" ca="1" si="462"/>
        <v>2.6638941290405782E-2</v>
      </c>
      <c r="AH966" s="304">
        <f t="shared" ca="1" si="463"/>
        <v>-9.7783377522917476</v>
      </c>
    </row>
    <row r="967" spans="1:34" x14ac:dyDescent="0.2">
      <c r="A967" s="347">
        <f t="shared" ca="1" si="441"/>
        <v>0.1</v>
      </c>
      <c r="B967" s="304">
        <f t="shared" ca="1" si="442"/>
        <v>51.300000000000395</v>
      </c>
      <c r="D967" s="306">
        <f t="shared" ca="1" si="443"/>
        <v>-0.31112785948274452</v>
      </c>
      <c r="E967" s="307">
        <f t="shared" ca="1" si="444"/>
        <v>-2.2603964288297362E-2</v>
      </c>
      <c r="F967" s="304">
        <f t="shared" ca="1" si="445"/>
        <v>0.31194788691039571</v>
      </c>
      <c r="G967" s="306">
        <f t="shared" ca="1" si="446"/>
        <v>4.3953861199128808</v>
      </c>
      <c r="H967" s="307">
        <f t="shared" ca="1" si="447"/>
        <v>-139.25015004325863</v>
      </c>
      <c r="I967" s="304">
        <f t="shared" ca="1" si="448"/>
        <v>139.31950224650231</v>
      </c>
      <c r="J967" s="306">
        <f t="shared" ca="1" si="449"/>
        <v>775.63116049453993</v>
      </c>
      <c r="K967" s="307">
        <f t="shared" ca="1" si="450"/>
        <v>208.43585153881315</v>
      </c>
      <c r="L967" s="304">
        <f t="shared" ca="1" si="435"/>
        <v>803.149551040662</v>
      </c>
      <c r="M967" s="306">
        <f t="shared" ca="1" si="451"/>
        <v>-1.5392421256646875</v>
      </c>
      <c r="N967" s="304">
        <f t="shared" ca="1" si="452"/>
        <v>-88.192077449332089</v>
      </c>
      <c r="P967" s="310">
        <f t="shared" ca="1" si="453"/>
        <v>23</v>
      </c>
      <c r="Q967" s="304">
        <f t="shared" ca="1" si="454"/>
        <v>0</v>
      </c>
      <c r="R967" s="306">
        <f t="shared" ca="1" si="455"/>
        <v>0</v>
      </c>
      <c r="S967" s="307">
        <f t="shared" ca="1" si="456"/>
        <v>6.4679999999999849</v>
      </c>
      <c r="T967" s="304">
        <f t="shared" ca="1" si="436"/>
        <v>63.451079999999855</v>
      </c>
      <c r="U967" s="311">
        <f t="shared" ca="1" si="437"/>
        <v>0</v>
      </c>
      <c r="V967" s="306">
        <f t="shared" ca="1" si="438"/>
        <v>1.1997299672264738</v>
      </c>
      <c r="W967" s="304">
        <f t="shared" ca="1" si="439"/>
        <v>63.426282613605458</v>
      </c>
      <c r="Y967" s="314" t="str">
        <f t="shared" ca="1" si="457"/>
        <v/>
      </c>
      <c r="Z967" s="315" t="str">
        <f t="shared" ca="1" si="458"/>
        <v/>
      </c>
      <c r="AA967" s="316" t="str">
        <f t="shared" ca="1" si="459"/>
        <v/>
      </c>
      <c r="AC967" s="310" t="e">
        <f t="shared" ca="1" si="460"/>
        <v>#N/A</v>
      </c>
      <c r="AD967" s="323" t="e">
        <f t="shared" ca="1" si="461"/>
        <v>#N/A</v>
      </c>
      <c r="AE967" s="324" t="e">
        <f t="shared" ca="1" si="440"/>
        <v>#N/A</v>
      </c>
      <c r="AG967" s="306">
        <f t="shared" ca="1" si="462"/>
        <v>1.2707218718938762E-2</v>
      </c>
      <c r="AH967" s="304">
        <f t="shared" ca="1" si="463"/>
        <v>-9.792339950431229</v>
      </c>
    </row>
    <row r="968" spans="1:34" x14ac:dyDescent="0.2">
      <c r="A968" s="347">
        <f t="shared" ca="1" si="441"/>
        <v>0.1</v>
      </c>
      <c r="B968" s="304">
        <f t="shared" ca="1" si="442"/>
        <v>51.400000000000396</v>
      </c>
      <c r="D968" s="306">
        <f t="shared" ca="1" si="443"/>
        <v>-0.30937439382107029</v>
      </c>
      <c r="E968" s="307">
        <f t="shared" ca="1" si="444"/>
        <v>-8.7152928488958281E-3</v>
      </c>
      <c r="F968" s="304">
        <f t="shared" ca="1" si="445"/>
        <v>0.30949712742058966</v>
      </c>
      <c r="G968" s="306">
        <f t="shared" ca="1" si="446"/>
        <v>4.3644486805307734</v>
      </c>
      <c r="H968" s="307">
        <f t="shared" ca="1" si="447"/>
        <v>-139.25102157254352</v>
      </c>
      <c r="I968" s="304">
        <f t="shared" ca="1" si="448"/>
        <v>139.31940073543947</v>
      </c>
      <c r="J968" s="306">
        <f t="shared" ca="1" si="449"/>
        <v>776.06915223456213</v>
      </c>
      <c r="K968" s="307">
        <f t="shared" ca="1" si="450"/>
        <v>194.51079295802305</v>
      </c>
      <c r="L968" s="304">
        <f t="shared" ca="1" si="435"/>
        <v>800.07360763071722</v>
      </c>
      <c r="M968" s="306">
        <f t="shared" ca="1" si="451"/>
        <v>-1.5394642737280229</v>
      </c>
      <c r="N968" s="304">
        <f t="shared" ca="1" si="452"/>
        <v>-88.204805595788216</v>
      </c>
      <c r="P968" s="310">
        <f t="shared" ca="1" si="453"/>
        <v>23</v>
      </c>
      <c r="Q968" s="304">
        <f t="shared" ca="1" si="454"/>
        <v>0</v>
      </c>
      <c r="R968" s="306">
        <f t="shared" ca="1" si="455"/>
        <v>0</v>
      </c>
      <c r="S968" s="307">
        <f t="shared" ca="1" si="456"/>
        <v>6.4679999999999849</v>
      </c>
      <c r="T968" s="304">
        <f t="shared" ca="1" si="436"/>
        <v>63.451079999999855</v>
      </c>
      <c r="U968" s="311">
        <f t="shared" ca="1" si="437"/>
        <v>0</v>
      </c>
      <c r="V968" s="306">
        <f t="shared" ca="1" si="438"/>
        <v>1.2014019318104339</v>
      </c>
      <c r="W968" s="304">
        <f t="shared" ca="1" si="439"/>
        <v>63.514582029895088</v>
      </c>
      <c r="Y968" s="314" t="str">
        <f t="shared" ca="1" si="457"/>
        <v/>
      </c>
      <c r="Z968" s="315" t="str">
        <f t="shared" ca="1" si="458"/>
        <v/>
      </c>
      <c r="AA968" s="316" t="str">
        <f t="shared" ca="1" si="459"/>
        <v/>
      </c>
      <c r="AC968" s="310" t="e">
        <f t="shared" ca="1" si="460"/>
        <v>#N/A</v>
      </c>
      <c r="AD968" s="323" t="e">
        <f t="shared" ca="1" si="461"/>
        <v>#N/A</v>
      </c>
      <c r="AE968" s="324" t="e">
        <f t="shared" ca="1" si="440"/>
        <v>#N/A</v>
      </c>
      <c r="AG968" s="306">
        <f t="shared" ca="1" si="462"/>
        <v>-1.0494875248632241E-3</v>
      </c>
      <c r="AH968" s="304">
        <f t="shared" ca="1" si="463"/>
        <v>-9.806166143105381</v>
      </c>
    </row>
    <row r="969" spans="1:34" x14ac:dyDescent="0.2">
      <c r="A969" s="347">
        <f t="shared" ca="1" si="441"/>
        <v>0.1</v>
      </c>
      <c r="B969" s="304">
        <f t="shared" ca="1" si="442"/>
        <v>51.500000000000398</v>
      </c>
      <c r="D969" s="306">
        <f t="shared" ca="1" si="443"/>
        <v>-0.30762471666595154</v>
      </c>
      <c r="E969" s="307">
        <f t="shared" ca="1" si="444"/>
        <v>4.9982259588734479E-3</v>
      </c>
      <c r="F969" s="304">
        <f t="shared" ca="1" si="445"/>
        <v>0.30766531908316042</v>
      </c>
      <c r="G969" s="306">
        <f t="shared" ca="1" si="446"/>
        <v>4.3336862088641785</v>
      </c>
      <c r="H969" s="307">
        <f t="shared" ca="1" si="447"/>
        <v>-139.25052174994764</v>
      </c>
      <c r="I969" s="304">
        <f t="shared" ca="1" si="448"/>
        <v>139.31794085396734</v>
      </c>
      <c r="J969" s="306">
        <f t="shared" ca="1" si="449"/>
        <v>776.50405897903192</v>
      </c>
      <c r="K969" s="307">
        <f t="shared" ca="1" si="450"/>
        <v>180.58571579189848</v>
      </c>
      <c r="L969" s="304">
        <f t="shared" ca="1" si="435"/>
        <v>797.22628805062891</v>
      </c>
      <c r="M969" s="306">
        <f t="shared" ca="1" si="451"/>
        <v>-1.5396848606483811</v>
      </c>
      <c r="N969" s="304">
        <f t="shared" ca="1" si="452"/>
        <v>-88.217444295340528</v>
      </c>
      <c r="P969" s="310">
        <f t="shared" ca="1" si="453"/>
        <v>23</v>
      </c>
      <c r="Q969" s="304">
        <f t="shared" ca="1" si="454"/>
        <v>0</v>
      </c>
      <c r="R969" s="306">
        <f t="shared" ca="1" si="455"/>
        <v>0</v>
      </c>
      <c r="S969" s="307">
        <f t="shared" ca="1" si="456"/>
        <v>6.4679999999999849</v>
      </c>
      <c r="T969" s="304">
        <f t="shared" ca="1" si="436"/>
        <v>63.451079999999855</v>
      </c>
      <c r="U969" s="311">
        <f t="shared" ca="1" si="437"/>
        <v>0</v>
      </c>
      <c r="V969" s="306">
        <f t="shared" ca="1" si="438"/>
        <v>1.2030762060169577</v>
      </c>
      <c r="W969" s="304">
        <f t="shared" ca="1" si="439"/>
        <v>63.601763032270647</v>
      </c>
      <c r="Y969" s="314" t="str">
        <f t="shared" ca="1" si="457"/>
        <v/>
      </c>
      <c r="Z969" s="315" t="str">
        <f t="shared" ca="1" si="458"/>
        <v/>
      </c>
      <c r="AA969" s="316" t="str">
        <f t="shared" ca="1" si="459"/>
        <v/>
      </c>
      <c r="AC969" s="310" t="e">
        <f t="shared" ca="1" si="460"/>
        <v>#N/A</v>
      </c>
      <c r="AD969" s="323" t="e">
        <f t="shared" ca="1" si="461"/>
        <v>#N/A</v>
      </c>
      <c r="AE969" s="324" t="e">
        <f t="shared" ca="1" si="440"/>
        <v>#N/A</v>
      </c>
      <c r="AG969" s="306">
        <f t="shared" ca="1" si="462"/>
        <v>-1.4632709793563237E-2</v>
      </c>
      <c r="AH969" s="304">
        <f t="shared" ca="1" si="463"/>
        <v>-9.8198178772256082</v>
      </c>
    </row>
    <row r="970" spans="1:34" x14ac:dyDescent="0.2">
      <c r="A970" s="347">
        <f t="shared" ca="1" si="441"/>
        <v>0.1</v>
      </c>
      <c r="B970" s="304">
        <f t="shared" ca="1" si="442"/>
        <v>51.600000000000399</v>
      </c>
      <c r="D970" s="306">
        <f t="shared" ca="1" si="443"/>
        <v>-0.3058789271476301</v>
      </c>
      <c r="E970" s="307">
        <f t="shared" ca="1" si="444"/>
        <v>1.8538141617151283E-2</v>
      </c>
      <c r="F970" s="304">
        <f t="shared" ca="1" si="445"/>
        <v>0.30644017485898084</v>
      </c>
      <c r="G970" s="306">
        <f t="shared" ca="1" si="446"/>
        <v>4.3030983161494154</v>
      </c>
      <c r="H970" s="307">
        <f t="shared" ca="1" si="447"/>
        <v>-139.24866793578593</v>
      </c>
      <c r="I970" s="304">
        <f t="shared" ca="1" si="448"/>
        <v>139.31513979826178</v>
      </c>
      <c r="J970" s="306">
        <f t="shared" ca="1" si="449"/>
        <v>776.93589820528257</v>
      </c>
      <c r="K970" s="307">
        <f t="shared" ca="1" si="450"/>
        <v>166.66075630761179</v>
      </c>
      <c r="L970" s="304">
        <f t="shared" ca="1" si="435"/>
        <v>794.6100915625691</v>
      </c>
      <c r="M970" s="306">
        <f t="shared" ca="1" si="451"/>
        <v>-1.5399038994783079</v>
      </c>
      <c r="N970" s="304">
        <f t="shared" ca="1" si="452"/>
        <v>-88.229994295844818</v>
      </c>
      <c r="P970" s="310">
        <f t="shared" ca="1" si="453"/>
        <v>23</v>
      </c>
      <c r="Q970" s="304">
        <f t="shared" ca="1" si="454"/>
        <v>0</v>
      </c>
      <c r="R970" s="306">
        <f t="shared" ca="1" si="455"/>
        <v>0</v>
      </c>
      <c r="S970" s="307">
        <f t="shared" ca="1" si="456"/>
        <v>6.4679999999999849</v>
      </c>
      <c r="T970" s="304">
        <f t="shared" ca="1" si="436"/>
        <v>63.451079999999855</v>
      </c>
      <c r="U970" s="311">
        <f t="shared" ca="1" si="437"/>
        <v>0</v>
      </c>
      <c r="V970" s="306">
        <f t="shared" ca="1" si="438"/>
        <v>1.2047527782170913</v>
      </c>
      <c r="W970" s="304">
        <f t="shared" ca="1" si="439"/>
        <v>63.687835581730162</v>
      </c>
      <c r="Y970" s="314" t="str">
        <f t="shared" ca="1" si="457"/>
        <v/>
      </c>
      <c r="Z970" s="315" t="str">
        <f t="shared" ca="1" si="458"/>
        <v/>
      </c>
      <c r="AA970" s="316" t="str">
        <f t="shared" ca="1" si="459"/>
        <v/>
      </c>
      <c r="AC970" s="310" t="e">
        <f t="shared" ca="1" si="460"/>
        <v>#N/A</v>
      </c>
      <c r="AD970" s="323" t="e">
        <f t="shared" ca="1" si="461"/>
        <v>#N/A</v>
      </c>
      <c r="AE970" s="324" t="e">
        <f t="shared" ca="1" si="440"/>
        <v>#N/A</v>
      </c>
      <c r="AG970" s="306">
        <f t="shared" ca="1" si="462"/>
        <v>-2.8043977370581175E-2</v>
      </c>
      <c r="AH970" s="304">
        <f t="shared" ca="1" si="463"/>
        <v>-9.8332966963931341</v>
      </c>
    </row>
    <row r="971" spans="1:34" x14ac:dyDescent="0.2">
      <c r="A971" s="347">
        <f t="shared" ca="1" si="441"/>
        <v>0.1</v>
      </c>
      <c r="B971" s="304">
        <f t="shared" ca="1" si="442"/>
        <v>51.700000000000401</v>
      </c>
      <c r="D971" s="306">
        <f t="shared" ca="1" si="443"/>
        <v>-0.30413712220208861</v>
      </c>
      <c r="E971" s="307">
        <f t="shared" ca="1" si="444"/>
        <v>3.1906000037947635E-2</v>
      </c>
      <c r="F971" s="304">
        <f t="shared" ca="1" si="445"/>
        <v>0.30580611821837328</v>
      </c>
      <c r="G971" s="306">
        <f t="shared" ca="1" si="446"/>
        <v>4.2726846039292061</v>
      </c>
      <c r="H971" s="307">
        <f t="shared" ca="1" si="447"/>
        <v>-139.24547733578214</v>
      </c>
      <c r="I971" s="304">
        <f t="shared" ca="1" si="448"/>
        <v>139.31101461189087</v>
      </c>
      <c r="J971" s="306">
        <f t="shared" ca="1" si="449"/>
        <v>777.36468735128653</v>
      </c>
      <c r="K971" s="307">
        <f t="shared" ca="1" si="450"/>
        <v>152.73604904403339</v>
      </c>
      <c r="L971" s="304">
        <f t="shared" ca="1" si="435"/>
        <v>792.22733973168636</v>
      </c>
      <c r="M971" s="306">
        <f t="shared" ca="1" si="451"/>
        <v>-1.5401214031082486</v>
      </c>
      <c r="N971" s="304">
        <f t="shared" ca="1" si="452"/>
        <v>-88.242456335869193</v>
      </c>
      <c r="P971" s="310">
        <f t="shared" ca="1" si="453"/>
        <v>23</v>
      </c>
      <c r="Q971" s="304">
        <f t="shared" ca="1" si="454"/>
        <v>0</v>
      </c>
      <c r="R971" s="306">
        <f t="shared" ca="1" si="455"/>
        <v>0</v>
      </c>
      <c r="S971" s="307">
        <f t="shared" ca="1" si="456"/>
        <v>6.4679999999999849</v>
      </c>
      <c r="T971" s="304">
        <f t="shared" ca="1" si="436"/>
        <v>63.451079999999855</v>
      </c>
      <c r="U971" s="311">
        <f t="shared" ca="1" si="437"/>
        <v>0</v>
      </c>
      <c r="V971" s="306">
        <f t="shared" ca="1" si="438"/>
        <v>1.2064316369128631</v>
      </c>
      <c r="W971" s="304">
        <f t="shared" ca="1" si="439"/>
        <v>63.772809614696669</v>
      </c>
      <c r="Y971" s="314" t="str">
        <f t="shared" ca="1" si="457"/>
        <v/>
      </c>
      <c r="Z971" s="315" t="str">
        <f t="shared" ca="1" si="458"/>
        <v/>
      </c>
      <c r="AA971" s="316" t="str">
        <f t="shared" ca="1" si="459"/>
        <v/>
      </c>
      <c r="AC971" s="310" t="e">
        <f t="shared" ca="1" si="460"/>
        <v>#N/A</v>
      </c>
      <c r="AD971" s="323" t="e">
        <f t="shared" ca="1" si="461"/>
        <v>#N/A</v>
      </c>
      <c r="AE971" s="324" t="e">
        <f t="shared" ca="1" si="440"/>
        <v>#N/A</v>
      </c>
      <c r="AG971" s="306">
        <f t="shared" ca="1" si="462"/>
        <v>-4.128481621737734E-2</v>
      </c>
      <c r="AH971" s="304">
        <f t="shared" ca="1" si="463"/>
        <v>-9.8466041406509444</v>
      </c>
    </row>
    <row r="972" spans="1:34" x14ac:dyDescent="0.2">
      <c r="A972" s="347">
        <f t="shared" ca="1" si="441"/>
        <v>0.1</v>
      </c>
      <c r="B972" s="304">
        <f t="shared" ca="1" si="442"/>
        <v>51.800000000000402</v>
      </c>
      <c r="D972" s="306">
        <f t="shared" ca="1" si="443"/>
        <v>-0.30239939659654846</v>
      </c>
      <c r="E972" s="307">
        <f t="shared" ca="1" si="444"/>
        <v>4.5103343320967326E-2</v>
      </c>
      <c r="F972" s="304">
        <f t="shared" ca="1" si="445"/>
        <v>0.30574451203690584</v>
      </c>
      <c r="G972" s="306">
        <f t="shared" ca="1" si="446"/>
        <v>4.2424446642695512</v>
      </c>
      <c r="H972" s="307">
        <f t="shared" ca="1" si="447"/>
        <v>-139.24096700145003</v>
      </c>
      <c r="I972" s="304">
        <f t="shared" ca="1" si="448"/>
        <v>139.30558218617188</v>
      </c>
      <c r="J972" s="306">
        <f t="shared" ca="1" si="449"/>
        <v>777.79044381469646</v>
      </c>
      <c r="K972" s="307">
        <f t="shared" ca="1" si="450"/>
        <v>138.81172682717178</v>
      </c>
      <c r="L972" s="304">
        <f t="shared" ca="1" si="435"/>
        <v>790.08016681486436</v>
      </c>
      <c r="M972" s="306">
        <f t="shared" ca="1" si="451"/>
        <v>-1.5403373842693913</v>
      </c>
      <c r="N972" s="304">
        <f t="shared" ca="1" si="452"/>
        <v>-88.254831144857008</v>
      </c>
      <c r="P972" s="310">
        <f t="shared" ca="1" si="453"/>
        <v>23</v>
      </c>
      <c r="Q972" s="304">
        <f t="shared" ca="1" si="454"/>
        <v>0</v>
      </c>
      <c r="R972" s="306">
        <f t="shared" ca="1" si="455"/>
        <v>0</v>
      </c>
      <c r="S972" s="307">
        <f t="shared" ca="1" si="456"/>
        <v>6.4679999999999849</v>
      </c>
      <c r="T972" s="304">
        <f t="shared" ca="1" si="436"/>
        <v>63.451079999999855</v>
      </c>
      <c r="U972" s="311">
        <f t="shared" ca="1" si="437"/>
        <v>0</v>
      </c>
      <c r="V972" s="306">
        <f t="shared" ca="1" si="438"/>
        <v>1.2081127707364416</v>
      </c>
      <c r="W972" s="304">
        <f t="shared" ca="1" si="439"/>
        <v>63.856695041501709</v>
      </c>
      <c r="Y972" s="314" t="str">
        <f t="shared" ca="1" si="457"/>
        <v/>
      </c>
      <c r="Z972" s="315" t="str">
        <f t="shared" ca="1" si="458"/>
        <v/>
      </c>
      <c r="AA972" s="316" t="str">
        <f t="shared" ca="1" si="459"/>
        <v/>
      </c>
      <c r="AC972" s="310" t="e">
        <f t="shared" ca="1" si="460"/>
        <v>#N/A</v>
      </c>
      <c r="AD972" s="323" t="e">
        <f t="shared" ca="1" si="461"/>
        <v>#N/A</v>
      </c>
      <c r="AE972" s="324" t="e">
        <f t="shared" ca="1" si="440"/>
        <v>#N/A</v>
      </c>
      <c r="AG972" s="306">
        <f t="shared" ca="1" si="462"/>
        <v>-5.4356748727585114E-2</v>
      </c>
      <c r="AH972" s="304">
        <f t="shared" ca="1" si="463"/>
        <v>-9.8597417462425501</v>
      </c>
    </row>
    <row r="973" spans="1:34" x14ac:dyDescent="0.2">
      <c r="A973" s="347">
        <f t="shared" ca="1" si="441"/>
        <v>0.1</v>
      </c>
      <c r="B973" s="304">
        <f t="shared" ca="1" si="442"/>
        <v>51.900000000000404</v>
      </c>
      <c r="D973" s="306">
        <f t="shared" ca="1" si="443"/>
        <v>-0.30066584295496113</v>
      </c>
      <c r="E973" s="307">
        <f t="shared" ca="1" si="444"/>
        <v>5.8131709518253416E-2</v>
      </c>
      <c r="F973" s="304">
        <f t="shared" ca="1" si="445"/>
        <v>0.30623397063574109</v>
      </c>
      <c r="G973" s="306">
        <f t="shared" ca="1" si="446"/>
        <v>4.2123780799740551</v>
      </c>
      <c r="H973" s="307">
        <f t="shared" ca="1" si="447"/>
        <v>-139.23515383049821</v>
      </c>
      <c r="I973" s="304">
        <f t="shared" ca="1" si="448"/>
        <v>139.29885926055226</v>
      </c>
      <c r="J973" s="306">
        <f t="shared" ca="1" si="449"/>
        <v>778.2131849519086</v>
      </c>
      <c r="K973" s="307">
        <f t="shared" ca="1" si="450"/>
        <v>124.88792078557437</v>
      </c>
      <c r="L973" s="304">
        <f t="shared" ca="1" si="435"/>
        <v>788.17051073428104</v>
      </c>
      <c r="M973" s="306">
        <f t="shared" ca="1" si="451"/>
        <v>-1.5405518555364504</v>
      </c>
      <c r="N973" s="304">
        <f t="shared" ca="1" si="452"/>
        <v>-88.267119443286305</v>
      </c>
      <c r="P973" s="310">
        <f t="shared" ca="1" si="453"/>
        <v>23</v>
      </c>
      <c r="Q973" s="304">
        <f t="shared" ca="1" si="454"/>
        <v>0</v>
      </c>
      <c r="R973" s="306">
        <f t="shared" ca="1" si="455"/>
        <v>0</v>
      </c>
      <c r="S973" s="307">
        <f t="shared" ca="1" si="456"/>
        <v>6.4679999999999849</v>
      </c>
      <c r="T973" s="304">
        <f t="shared" ca="1" si="436"/>
        <v>63.451079999999855</v>
      </c>
      <c r="U973" s="311">
        <f t="shared" ca="1" si="437"/>
        <v>0</v>
      </c>
      <c r="V973" s="306">
        <f t="shared" ca="1" si="438"/>
        <v>1.2097961684492844</v>
      </c>
      <c r="W973" s="304">
        <f t="shared" ca="1" si="439"/>
        <v>63.939501744912043</v>
      </c>
      <c r="Y973" s="314" t="str">
        <f t="shared" ca="1" si="457"/>
        <v/>
      </c>
      <c r="Z973" s="315" t="str">
        <f t="shared" ca="1" si="458"/>
        <v/>
      </c>
      <c r="AA973" s="316" t="str">
        <f t="shared" ca="1" si="459"/>
        <v/>
      </c>
      <c r="AC973" s="310" t="e">
        <f t="shared" ca="1" si="460"/>
        <v>#N/A</v>
      </c>
      <c r="AD973" s="323" t="e">
        <f t="shared" ca="1" si="461"/>
        <v>#N/A</v>
      </c>
      <c r="AE973" s="324" t="e">
        <f t="shared" ca="1" si="440"/>
        <v>#N/A</v>
      </c>
      <c r="AG973" s="306">
        <f t="shared" ca="1" si="462"/>
        <v>-6.7261293488003915E-2</v>
      </c>
      <c r="AH973" s="304">
        <f t="shared" ca="1" si="463"/>
        <v>-9.87271104537753</v>
      </c>
    </row>
    <row r="974" spans="1:34" x14ac:dyDescent="0.2">
      <c r="A974" s="347">
        <f t="shared" ca="1" si="441"/>
        <v>0.1</v>
      </c>
      <c r="B974" s="304">
        <f t="shared" ca="1" si="442"/>
        <v>52.000000000000405</v>
      </c>
      <c r="D974" s="306">
        <f t="shared" ca="1" si="443"/>
        <v>-0.29893655178346945</v>
      </c>
      <c r="E974" s="307">
        <f t="shared" ca="1" si="444"/>
        <v>7.09926324055008E-2</v>
      </c>
      <c r="F974" s="304">
        <f t="shared" ca="1" si="445"/>
        <v>0.30725073775021838</v>
      </c>
      <c r="G974" s="306">
        <f t="shared" ca="1" si="446"/>
        <v>4.1824844247957085</v>
      </c>
      <c r="H974" s="307">
        <f t="shared" ca="1" si="447"/>
        <v>-139.22805456725766</v>
      </c>
      <c r="I974" s="304">
        <f t="shared" ca="1" si="448"/>
        <v>139.29086242301372</v>
      </c>
      <c r="J974" s="306">
        <f t="shared" ca="1" si="449"/>
        <v>778.63292807714708</v>
      </c>
      <c r="K974" s="307">
        <f t="shared" ca="1" si="450"/>
        <v>110.96476036568657</v>
      </c>
      <c r="L974" s="304">
        <f t="shared" ca="1" si="435"/>
        <v>786.50010472281951</v>
      </c>
      <c r="M974" s="306">
        <f t="shared" ca="1" si="451"/>
        <v>-1.5407648293303946</v>
      </c>
      <c r="N974" s="304">
        <f t="shared" ca="1" si="452"/>
        <v>-88.279321942826201</v>
      </c>
      <c r="P974" s="310">
        <f t="shared" ca="1" si="453"/>
        <v>23</v>
      </c>
      <c r="Q974" s="304">
        <f t="shared" ca="1" si="454"/>
        <v>0</v>
      </c>
      <c r="R974" s="306">
        <f t="shared" ca="1" si="455"/>
        <v>0</v>
      </c>
      <c r="S974" s="307">
        <f t="shared" ca="1" si="456"/>
        <v>6.4679999999999849</v>
      </c>
      <c r="T974" s="304">
        <f t="shared" ca="1" si="436"/>
        <v>63.451079999999855</v>
      </c>
      <c r="U974" s="311">
        <f t="shared" ca="1" si="437"/>
        <v>0</v>
      </c>
      <c r="V974" s="306">
        <f t="shared" ca="1" si="438"/>
        <v>1.2114818189412917</v>
      </c>
      <c r="W974" s="304">
        <f t="shared" ca="1" si="439"/>
        <v>64.021239578698811</v>
      </c>
      <c r="Y974" s="314" t="str">
        <f t="shared" ca="1" si="457"/>
        <v/>
      </c>
      <c r="Z974" s="315" t="str">
        <f t="shared" ca="1" si="458"/>
        <v/>
      </c>
      <c r="AA974" s="316" t="str">
        <f t="shared" ca="1" si="459"/>
        <v/>
      </c>
      <c r="AC974" s="310">
        <f t="shared" ca="1" si="460"/>
        <v>52.000000000000405</v>
      </c>
      <c r="AD974" s="323">
        <f t="shared" ca="1" si="461"/>
        <v>778.63292807714708</v>
      </c>
      <c r="AE974" s="324" t="e">
        <f t="shared" ca="1" si="440"/>
        <v>#N/A</v>
      </c>
      <c r="AG974" s="306">
        <f t="shared" ca="1" si="462"/>
        <v>-7.9999965046400945E-2</v>
      </c>
      <c r="AH974" s="304">
        <f t="shared" ca="1" si="463"/>
        <v>-9.8855135660037412</v>
      </c>
    </row>
    <row r="975" spans="1:34" x14ac:dyDescent="0.2">
      <c r="A975" s="347">
        <f t="shared" ca="1" si="441"/>
        <v>0.1</v>
      </c>
      <c r="B975" s="304">
        <f t="shared" ca="1" si="442"/>
        <v>52.100000000000406</v>
      </c>
      <c r="D975" s="306">
        <f t="shared" ca="1" si="443"/>
        <v>-0.29721161149582725</v>
      </c>
      <c r="E975" s="307">
        <f t="shared" ca="1" si="444"/>
        <v>8.3687641259999168E-2</v>
      </c>
      <c r="F975" s="304">
        <f t="shared" ca="1" si="445"/>
        <v>0.30876911002820356</v>
      </c>
      <c r="G975" s="306">
        <f t="shared" ca="1" si="446"/>
        <v>4.1527632636461256</v>
      </c>
      <c r="H975" s="307">
        <f t="shared" ca="1" si="447"/>
        <v>-139.21968580313165</v>
      </c>
      <c r="I975" s="304">
        <f t="shared" ca="1" si="448"/>
        <v>139.28160811049887</v>
      </c>
      <c r="J975" s="306">
        <f t="shared" ca="1" si="449"/>
        <v>779.04969046156918</v>
      </c>
      <c r="K975" s="307">
        <f t="shared" ca="1" si="450"/>
        <v>97.042373347167114</v>
      </c>
      <c r="L975" s="304">
        <f t="shared" ca="1" si="435"/>
        <v>785.07046972429021</v>
      </c>
      <c r="M975" s="306">
        <f t="shared" ca="1" si="451"/>
        <v>-1.5409763179211167</v>
      </c>
      <c r="N975" s="304">
        <f t="shared" ca="1" si="452"/>
        <v>-88.291439346489753</v>
      </c>
      <c r="P975" s="310">
        <f t="shared" ca="1" si="453"/>
        <v>23</v>
      </c>
      <c r="Q975" s="304">
        <f t="shared" ca="1" si="454"/>
        <v>0</v>
      </c>
      <c r="R975" s="306">
        <f t="shared" ca="1" si="455"/>
        <v>0</v>
      </c>
      <c r="S975" s="307">
        <f t="shared" ca="1" si="456"/>
        <v>6.4679999999999849</v>
      </c>
      <c r="T975" s="304">
        <f t="shared" ca="1" si="436"/>
        <v>63.451079999999855</v>
      </c>
      <c r="U975" s="311">
        <f t="shared" ca="1" si="437"/>
        <v>0</v>
      </c>
      <c r="V975" s="306">
        <f t="shared" ca="1" si="438"/>
        <v>1.2131697112299533</v>
      </c>
      <c r="W975" s="304">
        <f t="shared" ca="1" si="439"/>
        <v>64.101918366248455</v>
      </c>
      <c r="Y975" s="314" t="str">
        <f t="shared" ca="1" si="457"/>
        <v/>
      </c>
      <c r="Z975" s="315" t="str">
        <f t="shared" ca="1" si="458"/>
        <v/>
      </c>
      <c r="AA975" s="316" t="str">
        <f t="shared" ca="1" si="459"/>
        <v/>
      </c>
      <c r="AC975" s="310" t="e">
        <f t="shared" ca="1" si="460"/>
        <v>#N/A</v>
      </c>
      <c r="AD975" s="323" t="e">
        <f t="shared" ca="1" si="461"/>
        <v>#N/A</v>
      </c>
      <c r="AE975" s="324" t="e">
        <f t="shared" ca="1" si="440"/>
        <v>#N/A</v>
      </c>
      <c r="AG975" s="306">
        <f t="shared" ca="1" si="462"/>
        <v>-9.2574273685963604E-2</v>
      </c>
      <c r="AH975" s="304">
        <f t="shared" ca="1" si="463"/>
        <v>-9.8981508315861095</v>
      </c>
    </row>
    <row r="976" spans="1:34" x14ac:dyDescent="0.2">
      <c r="A976" s="347">
        <f t="shared" ca="1" si="441"/>
        <v>0.1</v>
      </c>
      <c r="B976" s="304">
        <f t="shared" ca="1" si="442"/>
        <v>52.200000000000408</v>
      </c>
      <c r="D976" s="306">
        <f t="shared" ca="1" si="443"/>
        <v>-0.29549110843878673</v>
      </c>
      <c r="E976" s="307">
        <f t="shared" ca="1" si="444"/>
        <v>9.6218260645024145E-2</v>
      </c>
      <c r="F976" s="304">
        <f t="shared" ca="1" si="445"/>
        <v>0.31076188448382247</v>
      </c>
      <c r="G976" s="306">
        <f t="shared" ca="1" si="446"/>
        <v>4.1232141528022472</v>
      </c>
      <c r="H976" s="307">
        <f t="shared" ca="1" si="447"/>
        <v>-139.21006397706716</v>
      </c>
      <c r="I976" s="304">
        <f t="shared" ca="1" si="448"/>
        <v>139.27111260935988</v>
      </c>
      <c r="J976" s="306">
        <f t="shared" ca="1" si="449"/>
        <v>779.46348933239165</v>
      </c>
      <c r="K976" s="307">
        <f t="shared" ca="1" si="450"/>
        <v>83.12088585815718</v>
      </c>
      <c r="L976" s="304">
        <f t="shared" ca="1" si="435"/>
        <v>783.88290762592351</v>
      </c>
      <c r="M976" s="306">
        <f t="shared" ca="1" si="451"/>
        <v>-1.5411863334300493</v>
      </c>
      <c r="N976" s="304">
        <f t="shared" ca="1" si="452"/>
        <v>-88.303472348783885</v>
      </c>
      <c r="P976" s="310">
        <f t="shared" ca="1" si="453"/>
        <v>23</v>
      </c>
      <c r="Q976" s="304">
        <f t="shared" ca="1" si="454"/>
        <v>0</v>
      </c>
      <c r="R976" s="306">
        <f t="shared" ca="1" si="455"/>
        <v>0</v>
      </c>
      <c r="S976" s="307">
        <f t="shared" ca="1" si="456"/>
        <v>6.4679999999999849</v>
      </c>
      <c r="T976" s="304">
        <f t="shared" ca="1" si="436"/>
        <v>63.451079999999855</v>
      </c>
      <c r="U976" s="311">
        <f t="shared" ca="1" si="437"/>
        <v>0</v>
      </c>
      <c r="V976" s="306">
        <f t="shared" ca="1" si="438"/>
        <v>1.2148598344594999</v>
      </c>
      <c r="W976" s="304">
        <f t="shared" ca="1" si="439"/>
        <v>64.181547899215488</v>
      </c>
      <c r="Y976" s="314" t="str">
        <f t="shared" ca="1" si="457"/>
        <v/>
      </c>
      <c r="Z976" s="315" t="str">
        <f t="shared" ca="1" si="458"/>
        <v/>
      </c>
      <c r="AA976" s="316" t="str">
        <f t="shared" ca="1" si="459"/>
        <v/>
      </c>
      <c r="AC976" s="310" t="e">
        <f t="shared" ca="1" si="460"/>
        <v>#N/A</v>
      </c>
      <c r="AD976" s="323" t="e">
        <f t="shared" ca="1" si="461"/>
        <v>#N/A</v>
      </c>
      <c r="AE976" s="324" t="e">
        <f t="shared" ca="1" si="440"/>
        <v>#N/A</v>
      </c>
      <c r="AG976" s="306">
        <f t="shared" ca="1" si="462"/>
        <v>-0.10498572520631733</v>
      </c>
      <c r="AH976" s="304">
        <f t="shared" ca="1" si="463"/>
        <v>-9.9106243608918678</v>
      </c>
    </row>
    <row r="977" spans="1:34" x14ac:dyDescent="0.2">
      <c r="A977" s="347">
        <f t="shared" ca="1" si="441"/>
        <v>0.1</v>
      </c>
      <c r="B977" s="304">
        <f t="shared" ca="1" si="442"/>
        <v>52.300000000000409</v>
      </c>
      <c r="D977" s="306">
        <f t="shared" ca="1" si="443"/>
        <v>-0.29377512691742674</v>
      </c>
      <c r="E977" s="307">
        <f t="shared" ca="1" si="444"/>
        <v>0.10858601020074587</v>
      </c>
      <c r="F977" s="304">
        <f t="shared" ca="1" si="445"/>
        <v>0.3132008090772862</v>
      </c>
      <c r="G977" s="306">
        <f t="shared" ca="1" si="446"/>
        <v>4.0938366401105046</v>
      </c>
      <c r="H977" s="307">
        <f t="shared" ca="1" si="447"/>
        <v>-139.1992053760471</v>
      </c>
      <c r="I977" s="304">
        <f t="shared" ca="1" si="448"/>
        <v>139.25939205582816</v>
      </c>
      <c r="J977" s="306">
        <f t="shared" ca="1" si="449"/>
        <v>779.87434187203723</v>
      </c>
      <c r="K977" s="307">
        <f t="shared" ca="1" si="450"/>
        <v>69.200422390501473</v>
      </c>
      <c r="L977" s="304">
        <f t="shared" ca="1" si="435"/>
        <v>782.93849539371035</v>
      </c>
      <c r="M977" s="306">
        <f t="shared" ca="1" si="451"/>
        <v>-1.5413948878327266</v>
      </c>
      <c r="N977" s="304">
        <f t="shared" ca="1" si="452"/>
        <v>-88.315421635856168</v>
      </c>
      <c r="P977" s="310">
        <f t="shared" ca="1" si="453"/>
        <v>23</v>
      </c>
      <c r="Q977" s="304">
        <f t="shared" ca="1" si="454"/>
        <v>0</v>
      </c>
      <c r="R977" s="306">
        <f t="shared" ca="1" si="455"/>
        <v>0</v>
      </c>
      <c r="S977" s="307">
        <f t="shared" ca="1" si="456"/>
        <v>6.4679999999999849</v>
      </c>
      <c r="T977" s="304">
        <f t="shared" ca="1" si="436"/>
        <v>63.451079999999855</v>
      </c>
      <c r="U977" s="311">
        <f t="shared" ca="1" si="437"/>
        <v>0</v>
      </c>
      <c r="V977" s="306">
        <f t="shared" ca="1" si="438"/>
        <v>1.2165521779000434</v>
      </c>
      <c r="W977" s="304">
        <f t="shared" ca="1" si="439"/>
        <v>64.260137936214861</v>
      </c>
      <c r="Y977" s="314" t="str">
        <f t="shared" ca="1" si="457"/>
        <v/>
      </c>
      <c r="Z977" s="315" t="str">
        <f t="shared" ca="1" si="458"/>
        <v/>
      </c>
      <c r="AA977" s="316" t="str">
        <f t="shared" ca="1" si="459"/>
        <v/>
      </c>
      <c r="AC977" s="310" t="e">
        <f t="shared" ca="1" si="460"/>
        <v>#N/A</v>
      </c>
      <c r="AD977" s="323" t="e">
        <f t="shared" ca="1" si="461"/>
        <v>#N/A</v>
      </c>
      <c r="AE977" s="324" t="e">
        <f t="shared" ca="1" si="440"/>
        <v>#N/A</v>
      </c>
      <c r="AG977" s="306">
        <f t="shared" ca="1" si="462"/>
        <v>-0.11723582071110883</v>
      </c>
      <c r="AH977" s="304">
        <f t="shared" ca="1" si="463"/>
        <v>-9.9229356677822569</v>
      </c>
    </row>
    <row r="978" spans="1:34" x14ac:dyDescent="0.2">
      <c r="A978" s="347">
        <f t="shared" ca="1" si="441"/>
        <v>0.1</v>
      </c>
      <c r="B978" s="304">
        <f t="shared" ca="1" si="442"/>
        <v>52.400000000000411</v>
      </c>
      <c r="D978" s="306">
        <f t="shared" ca="1" si="443"/>
        <v>-0.2920637492204286</v>
      </c>
      <c r="E978" s="307">
        <f t="shared" ca="1" si="444"/>
        <v>0.12079240444125361</v>
      </c>
      <c r="F978" s="304">
        <f t="shared" ca="1" si="445"/>
        <v>0.31605701792460295</v>
      </c>
      <c r="G978" s="306">
        <f t="shared" ca="1" si="446"/>
        <v>4.0646302651884616</v>
      </c>
      <c r="H978" s="307">
        <f t="shared" ca="1" si="447"/>
        <v>-139.18712613560297</v>
      </c>
      <c r="I978" s="304">
        <f t="shared" ca="1" si="448"/>
        <v>139.2464624365048</v>
      </c>
      <c r="J978" s="306">
        <f t="shared" ca="1" si="449"/>
        <v>780.28226521730221</v>
      </c>
      <c r="K978" s="307">
        <f t="shared" ca="1" si="450"/>
        <v>55.281105814918973</v>
      </c>
      <c r="L978" s="304">
        <f t="shared" ca="1" si="435"/>
        <v>782.23808017301519</v>
      </c>
      <c r="M978" s="306">
        <f t="shared" ca="1" si="451"/>
        <v>-1.5416019929612941</v>
      </c>
      <c r="N978" s="304">
        <f t="shared" ca="1" si="452"/>
        <v>-88.327287885638597</v>
      </c>
      <c r="P978" s="310">
        <f t="shared" ca="1" si="453"/>
        <v>23</v>
      </c>
      <c r="Q978" s="304">
        <f t="shared" ca="1" si="454"/>
        <v>0</v>
      </c>
      <c r="R978" s="306">
        <f t="shared" ca="1" si="455"/>
        <v>0</v>
      </c>
      <c r="S978" s="307">
        <f t="shared" ca="1" si="456"/>
        <v>6.4679999999999849</v>
      </c>
      <c r="T978" s="304">
        <f t="shared" ca="1" si="436"/>
        <v>63.451079999999855</v>
      </c>
      <c r="U978" s="311">
        <f t="shared" ca="1" si="437"/>
        <v>0</v>
      </c>
      <c r="V978" s="306">
        <f t="shared" ca="1" si="438"/>
        <v>1.2182467309467291</v>
      </c>
      <c r="W978" s="304">
        <f t="shared" ca="1" si="439"/>
        <v>64.337698201555497</v>
      </c>
      <c r="Y978" s="314" t="str">
        <f t="shared" ca="1" si="457"/>
        <v/>
      </c>
      <c r="Z978" s="315" t="str">
        <f t="shared" ca="1" si="458"/>
        <v/>
      </c>
      <c r="AA978" s="316" t="str">
        <f t="shared" ca="1" si="459"/>
        <v/>
      </c>
      <c r="AC978" s="310" t="e">
        <f t="shared" ca="1" si="460"/>
        <v>#N/A</v>
      </c>
      <c r="AD978" s="323" t="e">
        <f t="shared" ca="1" si="461"/>
        <v>#N/A</v>
      </c>
      <c r="AE978" s="324" t="e">
        <f t="shared" ca="1" si="440"/>
        <v>#N/A</v>
      </c>
      <c r="AG978" s="306">
        <f t="shared" ca="1" si="462"/>
        <v>-0.1293260564017924</v>
      </c>
      <c r="AH978" s="304">
        <f t="shared" ca="1" si="463"/>
        <v>-9.9350862610103601</v>
      </c>
    </row>
    <row r="979" spans="1:34" x14ac:dyDescent="0.2">
      <c r="A979" s="347">
        <f t="shared" ca="1" si="441"/>
        <v>0.1</v>
      </c>
      <c r="B979" s="304">
        <f t="shared" ca="1" si="442"/>
        <v>52.500000000000412</v>
      </c>
      <c r="D979" s="306">
        <f t="shared" ca="1" si="443"/>
        <v>-0.29035705564528075</v>
      </c>
      <c r="E979" s="307">
        <f t="shared" ca="1" si="444"/>
        <v>0.13283895255801248</v>
      </c>
      <c r="F979" s="304">
        <f t="shared" ca="1" si="445"/>
        <v>0.3193014360752337</v>
      </c>
      <c r="G979" s="306">
        <f t="shared" ca="1" si="446"/>
        <v>4.0355945596239335</v>
      </c>
      <c r="H979" s="307">
        <f t="shared" ca="1" si="447"/>
        <v>-139.17384224034717</v>
      </c>
      <c r="I979" s="304">
        <f t="shared" ca="1" si="448"/>
        <v>139.23233958887104</v>
      </c>
      <c r="J979" s="306">
        <f t="shared" ca="1" si="449"/>
        <v>780.68727645854278</v>
      </c>
      <c r="K979" s="307">
        <f t="shared" ca="1" si="450"/>
        <v>41.363057396121462</v>
      </c>
      <c r="L979" s="304">
        <f t="shared" ca="1" si="435"/>
        <v>781.78227540755358</v>
      </c>
      <c r="M979" s="306">
        <f t="shared" ca="1" si="451"/>
        <v>-1.5418076605069657</v>
      </c>
      <c r="N979" s="304">
        <f t="shared" ca="1" si="452"/>
        <v>-88.339071767988386</v>
      </c>
      <c r="P979" s="310">
        <f t="shared" ca="1" si="453"/>
        <v>23</v>
      </c>
      <c r="Q979" s="304">
        <f t="shared" ca="1" si="454"/>
        <v>0</v>
      </c>
      <c r="R979" s="306">
        <f t="shared" ca="1" si="455"/>
        <v>0</v>
      </c>
      <c r="S979" s="307">
        <f t="shared" ca="1" si="456"/>
        <v>6.4679999999999849</v>
      </c>
      <c r="T979" s="304">
        <f t="shared" ca="1" si="436"/>
        <v>63.451079999999855</v>
      </c>
      <c r="U979" s="311">
        <f t="shared" ca="1" si="437"/>
        <v>0</v>
      </c>
      <c r="V979" s="306">
        <f t="shared" ca="1" si="438"/>
        <v>1.2199434831188742</v>
      </c>
      <c r="W979" s="304">
        <f t="shared" ca="1" si="439"/>
        <v>64.414238384012421</v>
      </c>
      <c r="Y979" s="314" t="str">
        <f t="shared" ca="1" si="457"/>
        <v/>
      </c>
      <c r="Z979" s="315" t="str">
        <f t="shared" ca="1" si="458"/>
        <v/>
      </c>
      <c r="AA979" s="316" t="str">
        <f t="shared" ca="1" si="459"/>
        <v/>
      </c>
      <c r="AC979" s="310" t="e">
        <f t="shared" ca="1" si="460"/>
        <v>#N/A</v>
      </c>
      <c r="AD979" s="323" t="e">
        <f t="shared" ca="1" si="461"/>
        <v>#N/A</v>
      </c>
      <c r="AE979" s="324" t="e">
        <f t="shared" ca="1" si="440"/>
        <v>#N/A</v>
      </c>
      <c r="AG979" s="306">
        <f t="shared" ca="1" si="462"/>
        <v>-0.14125792337790699</v>
      </c>
      <c r="AH979" s="304">
        <f t="shared" ca="1" si="463"/>
        <v>-9.9470776440253008</v>
      </c>
    </row>
    <row r="980" spans="1:34" x14ac:dyDescent="0.2">
      <c r="A980" s="347">
        <f t="shared" ca="1" si="441"/>
        <v>0.1</v>
      </c>
      <c r="B980" s="304">
        <f t="shared" ca="1" si="442"/>
        <v>52.600000000000414</v>
      </c>
      <c r="D980" s="306">
        <f t="shared" ca="1" si="443"/>
        <v>-0.28865512452342273</v>
      </c>
      <c r="E980" s="307">
        <f t="shared" ca="1" si="444"/>
        <v>0.14472715822926574</v>
      </c>
      <c r="F980" s="304">
        <f t="shared" ca="1" si="445"/>
        <v>0.32290514279390409</v>
      </c>
      <c r="G980" s="306">
        <f t="shared" ca="1" si="446"/>
        <v>4.0067290471715911</v>
      </c>
      <c r="H980" s="307">
        <f t="shared" ca="1" si="447"/>
        <v>-139.15936952452424</v>
      </c>
      <c r="I980" s="304">
        <f t="shared" ca="1" si="448"/>
        <v>139.21703920181801</v>
      </c>
      <c r="J980" s="306">
        <f t="shared" ca="1" si="449"/>
        <v>781.0893926388826</v>
      </c>
      <c r="K980" s="307">
        <f t="shared" ca="1" si="450"/>
        <v>27.446396807877889</v>
      </c>
      <c r="L980" s="304">
        <f t="shared" ca="1" si="435"/>
        <v>781.57145801949173</v>
      </c>
      <c r="M980" s="306">
        <f t="shared" ca="1" si="451"/>
        <v>-1.542011902022433</v>
      </c>
      <c r="N980" s="304">
        <f t="shared" ca="1" si="452"/>
        <v>-88.350773944826017</v>
      </c>
      <c r="P980" s="310">
        <f t="shared" ca="1" si="453"/>
        <v>23</v>
      </c>
      <c r="Q980" s="304">
        <f t="shared" ca="1" si="454"/>
        <v>0</v>
      </c>
      <c r="R980" s="306">
        <f t="shared" ca="1" si="455"/>
        <v>0</v>
      </c>
      <c r="S980" s="307">
        <f t="shared" ca="1" si="456"/>
        <v>6.4679999999999849</v>
      </c>
      <c r="T980" s="304">
        <f t="shared" ca="1" si="436"/>
        <v>63.451079999999855</v>
      </c>
      <c r="U980" s="311">
        <f t="shared" ca="1" si="437"/>
        <v>0</v>
      </c>
      <c r="V980" s="306">
        <f t="shared" ca="1" si="438"/>
        <v>1.2216424240591144</v>
      </c>
      <c r="W980" s="304">
        <f t="shared" ca="1" si="439"/>
        <v>64.489768135638187</v>
      </c>
      <c r="Y980" s="314" t="str">
        <f t="shared" ca="1" si="457"/>
        <v/>
      </c>
      <c r="Z980" s="315" t="str">
        <f t="shared" ca="1" si="458"/>
        <v/>
      </c>
      <c r="AA980" s="316" t="str">
        <f t="shared" ca="1" si="459"/>
        <v/>
      </c>
      <c r="AC980" s="310" t="e">
        <f t="shared" ca="1" si="460"/>
        <v>#N/A</v>
      </c>
      <c r="AD980" s="323" t="e">
        <f t="shared" ca="1" si="461"/>
        <v>#N/A</v>
      </c>
      <c r="AE980" s="324" t="e">
        <f t="shared" ca="1" si="440"/>
        <v>#N/A</v>
      </c>
      <c r="AG980" s="306">
        <f t="shared" ca="1" si="462"/>
        <v>-0.15303290744337161</v>
      </c>
      <c r="AH980" s="304">
        <f t="shared" ca="1" si="463"/>
        <v>-9.9589113147824015</v>
      </c>
    </row>
    <row r="981" spans="1:34" x14ac:dyDescent="0.2">
      <c r="A981" s="347">
        <f t="shared" ca="1" si="441"/>
        <v>0.1</v>
      </c>
      <c r="B981" s="304">
        <f t="shared" ca="1" si="442"/>
        <v>52.700000000000415</v>
      </c>
      <c r="D981" s="306">
        <f t="shared" ca="1" si="443"/>
        <v>-0.28695803224529348</v>
      </c>
      <c r="E981" s="307">
        <f t="shared" ca="1" si="444"/>
        <v>0.15645851943556011</v>
      </c>
      <c r="F981" s="304">
        <f t="shared" ca="1" si="445"/>
        <v>0.3268396863510587</v>
      </c>
      <c r="G981" s="306">
        <f t="shared" ca="1" si="446"/>
        <v>3.9780332439470616</v>
      </c>
      <c r="H981" s="307">
        <f t="shared" ca="1" si="447"/>
        <v>-139.14372367258068</v>
      </c>
      <c r="I981" s="304">
        <f t="shared" ca="1" si="448"/>
        <v>139.20057681619511</v>
      </c>
      <c r="J981" s="306">
        <f t="shared" ca="1" si="449"/>
        <v>781.48863075343854</v>
      </c>
      <c r="K981" s="307">
        <f t="shared" ca="1" si="450"/>
        <v>13.531242148022644</v>
      </c>
      <c r="L981" s="304">
        <f t="shared" ca="1" si="435"/>
        <v>781.60576668225315</v>
      </c>
      <c r="M981" s="306">
        <f t="shared" ca="1" si="451"/>
        <v>-1.5422147289242232</v>
      </c>
      <c r="N981" s="304">
        <f t="shared" ca="1" si="452"/>
        <v>-88.36239507027031</v>
      </c>
      <c r="P981" s="310">
        <f t="shared" ca="1" si="453"/>
        <v>23</v>
      </c>
      <c r="Q981" s="304">
        <f t="shared" ca="1" si="454"/>
        <v>0</v>
      </c>
      <c r="R981" s="306">
        <f t="shared" ca="1" si="455"/>
        <v>0</v>
      </c>
      <c r="S981" s="307">
        <f t="shared" ca="1" si="456"/>
        <v>6.4679999999999849</v>
      </c>
      <c r="T981" s="304">
        <f t="shared" ca="1" si="436"/>
        <v>63.451079999999855</v>
      </c>
      <c r="U981" s="311">
        <f t="shared" ca="1" si="437"/>
        <v>0</v>
      </c>
      <c r="V981" s="306">
        <f t="shared" ca="1" si="438"/>
        <v>1.2233435435325457</v>
      </c>
      <c r="W981" s="304">
        <f t="shared" ca="1" si="439"/>
        <v>64.564297070612042</v>
      </c>
      <c r="Y981" s="314" t="str">
        <f t="shared" ca="1" si="457"/>
        <v/>
      </c>
      <c r="Z981" s="315" t="str">
        <f t="shared" ca="1" si="458"/>
        <v/>
      </c>
      <c r="AA981" s="316" t="str">
        <f t="shared" ca="1" si="459"/>
        <v/>
      </c>
      <c r="AC981" s="310" t="e">
        <f t="shared" ca="1" si="460"/>
        <v>#N/A</v>
      </c>
      <c r="AD981" s="323" t="e">
        <f t="shared" ca="1" si="461"/>
        <v>#N/A</v>
      </c>
      <c r="AE981" s="324" t="e">
        <f t="shared" ca="1" si="440"/>
        <v>#N/A</v>
      </c>
      <c r="AG981" s="306">
        <f t="shared" ca="1" si="462"/>
        <v>-0.16465248891897133</v>
      </c>
      <c r="AH981" s="304">
        <f t="shared" ca="1" si="463"/>
        <v>-9.9705887655594214</v>
      </c>
    </row>
    <row r="982" spans="1:34" x14ac:dyDescent="0.2">
      <c r="A982" s="347">
        <f t="shared" ca="1" si="441"/>
        <v>0.1</v>
      </c>
      <c r="B982" s="304">
        <f t="shared" ca="1" si="442"/>
        <v>52.800000000000416</v>
      </c>
      <c r="D982" s="306">
        <f t="shared" ca="1" si="443"/>
        <v>-0.2852658532853084</v>
      </c>
      <c r="E982" s="307">
        <f t="shared" ca="1" si="444"/>
        <v>0.16803452828112952</v>
      </c>
      <c r="F982" s="304">
        <f t="shared" ca="1" si="445"/>
        <v>0.33107734707354536</v>
      </c>
      <c r="G982" s="306">
        <f t="shared" ca="1" si="446"/>
        <v>3.9495066586185308</v>
      </c>
      <c r="H982" s="307">
        <f t="shared" ca="1" si="447"/>
        <v>-139.12692021975258</v>
      </c>
      <c r="I982" s="304">
        <f t="shared" ca="1" si="448"/>
        <v>139.18296782537681</v>
      </c>
      <c r="J982" s="306">
        <f t="shared" ca="1" si="449"/>
        <v>781.88500774856686</v>
      </c>
      <c r="K982" s="307">
        <f t="shared" ca="1" si="450"/>
        <v>-0.38229004659402044</v>
      </c>
      <c r="L982" s="304">
        <f t="shared" ca="1" si="435"/>
        <v>781.88510120583328</v>
      </c>
      <c r="M982" s="306">
        <f t="shared" ca="1" si="451"/>
        <v>-1.5424161524950109</v>
      </c>
      <c r="N982" s="304">
        <f t="shared" ca="1" si="452"/>
        <v>-88.373935790770901</v>
      </c>
      <c r="P982" s="310">
        <f t="shared" ca="1" si="453"/>
        <v>23</v>
      </c>
      <c r="Q982" s="304">
        <f t="shared" ca="1" si="454"/>
        <v>0</v>
      </c>
      <c r="R982" s="306">
        <f t="shared" ca="1" si="455"/>
        <v>0</v>
      </c>
      <c r="S982" s="307">
        <f t="shared" ca="1" si="456"/>
        <v>6.4679999999999849</v>
      </c>
      <c r="T982" s="304">
        <f t="shared" ca="1" si="436"/>
        <v>63.451079999999855</v>
      </c>
      <c r="U982" s="311">
        <f t="shared" ca="1" si="437"/>
        <v>0</v>
      </c>
      <c r="V982" s="306">
        <f t="shared" ca="1" si="438"/>
        <v>1.2250468314258671</v>
      </c>
      <c r="W982" s="304">
        <f t="shared" ca="1" si="439"/>
        <v>64.637834764127007</v>
      </c>
      <c r="Y982" s="314" t="str">
        <f t="shared" ca="1" si="457"/>
        <v>Impact balistique</v>
      </c>
      <c r="Z982" s="315" t="str">
        <f t="shared" ca="1" si="458"/>
        <v/>
      </c>
      <c r="AA982" s="316" t="str">
        <f t="shared" ca="1" si="459"/>
        <v/>
      </c>
      <c r="AC982" s="310" t="e">
        <f t="shared" ca="1" si="460"/>
        <v>#N/A</v>
      </c>
      <c r="AD982" s="323" t="e">
        <f t="shared" ca="1" si="461"/>
        <v>#N/A</v>
      </c>
      <c r="AE982" s="324" t="e">
        <f t="shared" ca="1" si="440"/>
        <v>#N/A</v>
      </c>
      <c r="AG982" s="306">
        <f t="shared" ca="1" si="462"/>
        <v>-0.17611814246075497</v>
      </c>
      <c r="AH982" s="304">
        <f t="shared" ca="1" si="463"/>
        <v>-9.9821114827786328</v>
      </c>
    </row>
    <row r="983" spans="1:34" x14ac:dyDescent="0.2">
      <c r="A983" s="347">
        <f t="shared" ca="1" si="441"/>
        <v>1E-4</v>
      </c>
      <c r="B983" s="304">
        <f t="shared" ca="1" si="442"/>
        <v>52.80010000000042</v>
      </c>
      <c r="D983" s="306">
        <f t="shared" ca="1" si="443"/>
        <v>-0.28357866022673628</v>
      </c>
      <c r="E983" s="307">
        <f t="shared" ca="1" si="444"/>
        <v>0.17945667082114802</v>
      </c>
      <c r="F983" s="304">
        <f t="shared" ca="1" si="445"/>
        <v>0.33559134857472211</v>
      </c>
      <c r="G983" s="306">
        <f t="shared" ca="1" si="446"/>
        <v>3.9494783007525083</v>
      </c>
      <c r="H983" s="307">
        <f t="shared" ca="1" si="447"/>
        <v>-139.1269022740855</v>
      </c>
      <c r="I983" s="304">
        <f t="shared" ca="1" si="448"/>
        <v>139.18294908224587</v>
      </c>
      <c r="J983" s="306">
        <f t="shared" ca="1" si="449"/>
        <v>781.88500774856686</v>
      </c>
      <c r="K983" s="307">
        <f t="shared" ca="1" si="450"/>
        <v>-0.39620273771871234</v>
      </c>
      <c r="L983" s="304">
        <f t="shared" ca="1" si="435"/>
        <v>781.88510813199775</v>
      </c>
      <c r="M983" s="306">
        <f t="shared" ca="1" si="451"/>
        <v>-1.542416352499494</v>
      </c>
      <c r="N983" s="304">
        <f t="shared" ca="1" si="452"/>
        <v>-88.373947250183676</v>
      </c>
      <c r="P983" s="310">
        <f t="shared" ca="1" si="453"/>
        <v>23</v>
      </c>
      <c r="Q983" s="304">
        <f t="shared" ca="1" si="454"/>
        <v>0</v>
      </c>
      <c r="R983" s="306">
        <f t="shared" ca="1" si="455"/>
        <v>0</v>
      </c>
      <c r="S983" s="307">
        <f t="shared" ca="1" si="456"/>
        <v>6.4679999999999849</v>
      </c>
      <c r="T983" s="304">
        <f t="shared" ca="1" si="436"/>
        <v>63.451079999999855</v>
      </c>
      <c r="U983" s="311">
        <f t="shared" ca="1" si="437"/>
        <v>0</v>
      </c>
      <c r="V983" s="306">
        <f t="shared" ca="1" si="438"/>
        <v>1.2250485357968715</v>
      </c>
      <c r="W983" s="304">
        <f t="shared" ca="1" si="439"/>
        <v>64.63790728382898</v>
      </c>
      <c r="Y983" s="314" t="str">
        <f t="shared" ca="1" si="457"/>
        <v/>
      </c>
      <c r="Z983" s="315" t="str">
        <f t="shared" ca="1" si="458"/>
        <v/>
      </c>
      <c r="AA983" s="316" t="str">
        <f t="shared" ca="1" si="459"/>
        <v/>
      </c>
      <c r="AC983" s="310" t="e">
        <f t="shared" ca="1" si="460"/>
        <v>#N/A</v>
      </c>
      <c r="AD983" s="323" t="e">
        <f t="shared" ca="1" si="461"/>
        <v>#N/A</v>
      </c>
      <c r="AE983" s="324" t="e">
        <f t="shared" ca="1" si="440"/>
        <v>#N/A</v>
      </c>
      <c r="AG983" s="306">
        <f t="shared" ca="1" si="462"/>
        <v>-0.18743133688436586</v>
      </c>
      <c r="AH983" s="304">
        <f t="shared" ca="1" si="463"/>
        <v>-9.9934809468347492</v>
      </c>
    </row>
    <row r="984" spans="1:34" x14ac:dyDescent="0.2">
      <c r="A984" s="347">
        <f t="shared" ca="1" si="441"/>
        <v>1E-4</v>
      </c>
      <c r="B984" s="304">
        <f t="shared" ca="1" si="442"/>
        <v>52.800200000000423</v>
      </c>
      <c r="D984" s="306">
        <f t="shared" ca="1" si="443"/>
        <v>-0.28357698044630353</v>
      </c>
      <c r="E984" s="307">
        <f t="shared" ca="1" si="444"/>
        <v>0.17946793509815961</v>
      </c>
      <c r="F984" s="304">
        <f t="shared" ca="1" si="445"/>
        <v>0.33559595284723032</v>
      </c>
      <c r="G984" s="306">
        <f t="shared" ca="1" si="446"/>
        <v>3.9494499430544638</v>
      </c>
      <c r="H984" s="307">
        <f t="shared" ca="1" si="447"/>
        <v>-139.12688432729198</v>
      </c>
      <c r="I984" s="304">
        <f t="shared" ca="1" si="448"/>
        <v>139.18293033799932</v>
      </c>
      <c r="J984" s="306">
        <f t="shared" ca="1" si="449"/>
        <v>781.88500774856686</v>
      </c>
      <c r="K984" s="307">
        <f t="shared" ca="1" si="450"/>
        <v>-0.41011542704878123</v>
      </c>
      <c r="L984" s="304">
        <f t="shared" ca="1" si="435"/>
        <v>781.88511530572055</v>
      </c>
      <c r="M984" s="306">
        <f t="shared" ca="1" si="451"/>
        <v>-1.542416552502595</v>
      </c>
      <c r="N984" s="304">
        <f t="shared" ca="1" si="452"/>
        <v>-88.373958709517254</v>
      </c>
      <c r="P984" s="310">
        <f t="shared" ca="1" si="453"/>
        <v>23</v>
      </c>
      <c r="Q984" s="304">
        <f t="shared" ca="1" si="454"/>
        <v>0</v>
      </c>
      <c r="R984" s="306">
        <f t="shared" ca="1" si="455"/>
        <v>0</v>
      </c>
      <c r="S984" s="307">
        <f t="shared" ca="1" si="456"/>
        <v>6.4679999999999849</v>
      </c>
      <c r="T984" s="304">
        <f t="shared" ca="1" si="436"/>
        <v>63.451079999999855</v>
      </c>
      <c r="U984" s="311">
        <f t="shared" ca="1" si="437"/>
        <v>0</v>
      </c>
      <c r="V984" s="306">
        <f t="shared" ca="1" si="438"/>
        <v>1.2250502401700272</v>
      </c>
      <c r="W984" s="304">
        <f t="shared" ca="1" si="439"/>
        <v>64.637979802562171</v>
      </c>
      <c r="Y984" s="314" t="str">
        <f t="shared" ca="1" si="457"/>
        <v/>
      </c>
      <c r="Z984" s="315" t="str">
        <f t="shared" ca="1" si="458"/>
        <v/>
      </c>
      <c r="AA984" s="316" t="str">
        <f t="shared" ca="1" si="459"/>
        <v/>
      </c>
      <c r="AC984" s="310" t="e">
        <f t="shared" ca="1" si="460"/>
        <v>#N/A</v>
      </c>
      <c r="AD984" s="323" t="e">
        <f t="shared" ca="1" si="461"/>
        <v>#N/A</v>
      </c>
      <c r="AE984" s="324" t="e">
        <f t="shared" ca="1" si="440"/>
        <v>#N/A</v>
      </c>
      <c r="AG984" s="306">
        <f t="shared" ca="1" si="462"/>
        <v>-0.1874424932840224</v>
      </c>
      <c r="AH984" s="304">
        <f t="shared" ca="1" si="463"/>
        <v>-9.9934921589098842</v>
      </c>
    </row>
    <row r="985" spans="1:34" x14ac:dyDescent="0.2">
      <c r="A985" s="347">
        <f t="shared" ca="1" si="441"/>
        <v>1E-4</v>
      </c>
      <c r="B985" s="304">
        <f t="shared" ca="1" si="442"/>
        <v>52.800300000000426</v>
      </c>
      <c r="D985" s="306">
        <f t="shared" ca="1" si="443"/>
        <v>-0.28357530067093389</v>
      </c>
      <c r="E985" s="307">
        <f t="shared" ca="1" si="444"/>
        <v>0.17947919922478484</v>
      </c>
      <c r="F985" s="304">
        <f t="shared" ca="1" si="445"/>
        <v>0.33560055736690991</v>
      </c>
      <c r="G985" s="306">
        <f t="shared" ca="1" si="446"/>
        <v>3.9494215855243966</v>
      </c>
      <c r="H985" s="307">
        <f t="shared" ca="1" si="447"/>
        <v>-139.12686637937205</v>
      </c>
      <c r="I985" s="304">
        <f t="shared" ca="1" si="448"/>
        <v>139.18291159263717</v>
      </c>
      <c r="J985" s="306">
        <f t="shared" ca="1" si="449"/>
        <v>781.88500774856686</v>
      </c>
      <c r="K985" s="307">
        <f t="shared" ca="1" si="450"/>
        <v>-0.42402811458411444</v>
      </c>
      <c r="L985" s="304">
        <f t="shared" ca="1" si="435"/>
        <v>781.88512272700166</v>
      </c>
      <c r="M985" s="306">
        <f t="shared" ca="1" si="451"/>
        <v>-1.5424167525043138</v>
      </c>
      <c r="N985" s="304">
        <f t="shared" ca="1" si="452"/>
        <v>-88.373970168771635</v>
      </c>
      <c r="P985" s="310">
        <f t="shared" ca="1" si="453"/>
        <v>23</v>
      </c>
      <c r="Q985" s="304">
        <f t="shared" ca="1" si="454"/>
        <v>0</v>
      </c>
      <c r="R985" s="306">
        <f t="shared" ca="1" si="455"/>
        <v>0</v>
      </c>
      <c r="S985" s="307">
        <f t="shared" ca="1" si="456"/>
        <v>6.4679999999999849</v>
      </c>
      <c r="T985" s="304">
        <f t="shared" ca="1" si="436"/>
        <v>63.451079999999855</v>
      </c>
      <c r="U985" s="311">
        <f t="shared" ca="1" si="437"/>
        <v>0</v>
      </c>
      <c r="V985" s="306">
        <f t="shared" ca="1" si="438"/>
        <v>1.2250519445453338</v>
      </c>
      <c r="W985" s="304">
        <f t="shared" ca="1" si="439"/>
        <v>64.638052320326551</v>
      </c>
      <c r="Y985" s="314" t="str">
        <f t="shared" ca="1" si="457"/>
        <v/>
      </c>
      <c r="Z985" s="315" t="str">
        <f t="shared" ca="1" si="458"/>
        <v/>
      </c>
      <c r="AA985" s="316" t="str">
        <f t="shared" ca="1" si="459"/>
        <v/>
      </c>
      <c r="AC985" s="310" t="e">
        <f t="shared" ca="1" si="460"/>
        <v>#N/A</v>
      </c>
      <c r="AD985" s="323" t="e">
        <f t="shared" ca="1" si="461"/>
        <v>#N/A</v>
      </c>
      <c r="AE985" s="324" t="e">
        <f t="shared" ca="1" si="440"/>
        <v>#N/A</v>
      </c>
      <c r="AG985" s="306">
        <f t="shared" ca="1" si="462"/>
        <v>-0.18745364953467281</v>
      </c>
      <c r="AH985" s="304">
        <f t="shared" ca="1" si="463"/>
        <v>-9.9935033708352385</v>
      </c>
    </row>
    <row r="986" spans="1:34" x14ac:dyDescent="0.2">
      <c r="A986" s="347">
        <f t="shared" ca="1" si="441"/>
        <v>1E-4</v>
      </c>
      <c r="B986" s="304">
        <f t="shared" ca="1" si="442"/>
        <v>52.80040000000043</v>
      </c>
      <c r="D986" s="306">
        <f t="shared" ca="1" si="443"/>
        <v>-0.28357362090062732</v>
      </c>
      <c r="E986" s="307">
        <f t="shared" ca="1" si="444"/>
        <v>0.17949046320102013</v>
      </c>
      <c r="F986" s="304">
        <f t="shared" ca="1" si="445"/>
        <v>0.33560516213373337</v>
      </c>
      <c r="G986" s="306">
        <f t="shared" ca="1" si="446"/>
        <v>3.9493932281623065</v>
      </c>
      <c r="H986" s="307">
        <f t="shared" ca="1" si="447"/>
        <v>-139.12684843032574</v>
      </c>
      <c r="I986" s="304">
        <f t="shared" ca="1" si="448"/>
        <v>139.18289284615938</v>
      </c>
      <c r="J986" s="306">
        <f t="shared" ca="1" si="449"/>
        <v>781.88500774856686</v>
      </c>
      <c r="K986" s="307">
        <f t="shared" ca="1" si="450"/>
        <v>-0.43794080032459931</v>
      </c>
      <c r="L986" s="304">
        <f t="shared" ca="1" si="435"/>
        <v>781.88513039584086</v>
      </c>
      <c r="M986" s="306">
        <f t="shared" ca="1" si="451"/>
        <v>-1.5424169525046505</v>
      </c>
      <c r="N986" s="304">
        <f t="shared" ca="1" si="452"/>
        <v>-88.373981627946819</v>
      </c>
      <c r="P986" s="310">
        <f t="shared" ca="1" si="453"/>
        <v>23</v>
      </c>
      <c r="Q986" s="304">
        <f t="shared" ca="1" si="454"/>
        <v>0</v>
      </c>
      <c r="R986" s="306">
        <f t="shared" ca="1" si="455"/>
        <v>0</v>
      </c>
      <c r="S986" s="307">
        <f t="shared" ca="1" si="456"/>
        <v>6.4679999999999849</v>
      </c>
      <c r="T986" s="304">
        <f t="shared" ca="1" si="436"/>
        <v>63.451079999999855</v>
      </c>
      <c r="U986" s="311">
        <f t="shared" ca="1" si="437"/>
        <v>0</v>
      </c>
      <c r="V986" s="306">
        <f t="shared" ca="1" si="438"/>
        <v>1.2250536489227926</v>
      </c>
      <c r="W986" s="304">
        <f t="shared" ca="1" si="439"/>
        <v>64.638124837122149</v>
      </c>
      <c r="Y986" s="314" t="str">
        <f t="shared" ca="1" si="457"/>
        <v/>
      </c>
      <c r="Z986" s="315" t="str">
        <f t="shared" ca="1" si="458"/>
        <v/>
      </c>
      <c r="AA986" s="316" t="str">
        <f t="shared" ca="1" si="459"/>
        <v/>
      </c>
      <c r="AC986" s="310" t="e">
        <f t="shared" ca="1" si="460"/>
        <v>#N/A</v>
      </c>
      <c r="AD986" s="323" t="e">
        <f t="shared" ca="1" si="461"/>
        <v>#N/A</v>
      </c>
      <c r="AE986" s="324" t="e">
        <f t="shared" ca="1" si="440"/>
        <v>#N/A</v>
      </c>
      <c r="AG986" s="306">
        <f t="shared" ca="1" si="462"/>
        <v>-0.18746480563631707</v>
      </c>
      <c r="AH986" s="304">
        <f t="shared" ca="1" si="463"/>
        <v>-9.9935145826108069</v>
      </c>
    </row>
    <row r="987" spans="1:34" x14ac:dyDescent="0.2">
      <c r="A987" s="347">
        <f t="shared" ca="1" si="441"/>
        <v>1E-4</v>
      </c>
      <c r="B987" s="304">
        <f t="shared" ca="1" si="442"/>
        <v>52.800500000000433</v>
      </c>
      <c r="D987" s="306">
        <f t="shared" ca="1" si="443"/>
        <v>-0.28357194113538192</v>
      </c>
      <c r="E987" s="307">
        <f t="shared" ca="1" si="444"/>
        <v>0.17950172702687262</v>
      </c>
      <c r="F987" s="304">
        <f t="shared" ca="1" si="445"/>
        <v>0.33560976714767765</v>
      </c>
      <c r="G987" s="306">
        <f t="shared" ca="1" si="446"/>
        <v>3.9493648709681928</v>
      </c>
      <c r="H987" s="307">
        <f t="shared" ca="1" si="447"/>
        <v>-139.12683048015305</v>
      </c>
      <c r="I987" s="304">
        <f t="shared" ca="1" si="448"/>
        <v>139.18287409856603</v>
      </c>
      <c r="J987" s="306">
        <f t="shared" ca="1" si="449"/>
        <v>781.88500774856686</v>
      </c>
      <c r="K987" s="307">
        <f t="shared" ca="1" si="450"/>
        <v>-0.45185348427012323</v>
      </c>
      <c r="L987" s="304">
        <f t="shared" ca="1" si="435"/>
        <v>781.88513831223815</v>
      </c>
      <c r="M987" s="306">
        <f t="shared" ca="1" si="451"/>
        <v>-1.542417152503605</v>
      </c>
      <c r="N987" s="304">
        <f t="shared" ca="1" si="452"/>
        <v>-88.37399308704282</v>
      </c>
      <c r="P987" s="310">
        <f t="shared" ca="1" si="453"/>
        <v>23</v>
      </c>
      <c r="Q987" s="304">
        <f t="shared" ca="1" si="454"/>
        <v>0</v>
      </c>
      <c r="R987" s="306">
        <f t="shared" ca="1" si="455"/>
        <v>0</v>
      </c>
      <c r="S987" s="307">
        <f t="shared" ca="1" si="456"/>
        <v>6.4679999999999849</v>
      </c>
      <c r="T987" s="304">
        <f t="shared" ca="1" si="436"/>
        <v>63.451079999999855</v>
      </c>
      <c r="U987" s="311">
        <f t="shared" ca="1" si="437"/>
        <v>0</v>
      </c>
      <c r="V987" s="306">
        <f t="shared" ca="1" si="438"/>
        <v>1.2250553533024024</v>
      </c>
      <c r="W987" s="304">
        <f t="shared" ca="1" si="439"/>
        <v>64.638197352949007</v>
      </c>
      <c r="Y987" s="314" t="str">
        <f t="shared" ca="1" si="457"/>
        <v/>
      </c>
      <c r="Z987" s="315" t="str">
        <f t="shared" ca="1" si="458"/>
        <v/>
      </c>
      <c r="AA987" s="316" t="str">
        <f t="shared" ca="1" si="459"/>
        <v/>
      </c>
      <c r="AC987" s="310" t="e">
        <f t="shared" ca="1" si="460"/>
        <v>#N/A</v>
      </c>
      <c r="AD987" s="323" t="e">
        <f t="shared" ca="1" si="461"/>
        <v>#N/A</v>
      </c>
      <c r="AE987" s="324" t="e">
        <f t="shared" ca="1" si="440"/>
        <v>#N/A</v>
      </c>
      <c r="AG987" s="306">
        <f t="shared" ca="1" si="462"/>
        <v>-0.18747596158895519</v>
      </c>
      <c r="AH987" s="304">
        <f t="shared" ca="1" si="463"/>
        <v>-9.9935257942365947</v>
      </c>
    </row>
    <row r="988" spans="1:34" x14ac:dyDescent="0.2">
      <c r="A988" s="347">
        <f t="shared" ca="1" si="441"/>
        <v>1E-4</v>
      </c>
      <c r="B988" s="304">
        <f t="shared" ca="1" si="442"/>
        <v>52.800600000000436</v>
      </c>
      <c r="D988" s="306">
        <f t="shared" ca="1" si="443"/>
        <v>-0.28357026137520019</v>
      </c>
      <c r="E988" s="307">
        <f t="shared" ca="1" si="444"/>
        <v>0.17951299070234583</v>
      </c>
      <c r="F988" s="304">
        <f t="shared" ca="1" si="445"/>
        <v>0.33561437240872127</v>
      </c>
      <c r="G988" s="306">
        <f t="shared" ca="1" si="446"/>
        <v>3.9493365139420553</v>
      </c>
      <c r="H988" s="307">
        <f t="shared" ca="1" si="447"/>
        <v>-139.12681252885397</v>
      </c>
      <c r="I988" s="304">
        <f t="shared" ca="1" si="448"/>
        <v>139.18285534985708</v>
      </c>
      <c r="J988" s="306">
        <f t="shared" ca="1" si="449"/>
        <v>781.88500774856686</v>
      </c>
      <c r="K988" s="307">
        <f t="shared" ca="1" si="450"/>
        <v>-0.46576616642057356</v>
      </c>
      <c r="L988" s="304">
        <f t="shared" ca="1" si="435"/>
        <v>781.88514647619331</v>
      </c>
      <c r="M988" s="306">
        <f t="shared" ca="1" si="451"/>
        <v>-1.5424173525011773</v>
      </c>
      <c r="N988" s="304">
        <f t="shared" ca="1" si="452"/>
        <v>-88.374004546059624</v>
      </c>
      <c r="P988" s="310">
        <f t="shared" ca="1" si="453"/>
        <v>23</v>
      </c>
      <c r="Q988" s="304">
        <f t="shared" ca="1" si="454"/>
        <v>0</v>
      </c>
      <c r="R988" s="306">
        <f t="shared" ca="1" si="455"/>
        <v>0</v>
      </c>
      <c r="S988" s="307">
        <f t="shared" ca="1" si="456"/>
        <v>6.4679999999999849</v>
      </c>
      <c r="T988" s="304">
        <f t="shared" ca="1" si="436"/>
        <v>63.451079999999855</v>
      </c>
      <c r="U988" s="311">
        <f t="shared" ca="1" si="437"/>
        <v>0</v>
      </c>
      <c r="V988" s="306">
        <f t="shared" ca="1" si="438"/>
        <v>1.2250570576841635</v>
      </c>
      <c r="W988" s="304">
        <f t="shared" ca="1" si="439"/>
        <v>64.63826986780704</v>
      </c>
      <c r="Y988" s="314" t="str">
        <f t="shared" ca="1" si="457"/>
        <v/>
      </c>
      <c r="Z988" s="315" t="str">
        <f t="shared" ca="1" si="458"/>
        <v/>
      </c>
      <c r="AA988" s="316" t="str">
        <f t="shared" ca="1" si="459"/>
        <v/>
      </c>
      <c r="AC988" s="310" t="e">
        <f t="shared" ca="1" si="460"/>
        <v>#N/A</v>
      </c>
      <c r="AD988" s="323" t="e">
        <f t="shared" ca="1" si="461"/>
        <v>#N/A</v>
      </c>
      <c r="AE988" s="324" t="e">
        <f t="shared" ca="1" si="440"/>
        <v>#N/A</v>
      </c>
      <c r="AG988" s="306">
        <f t="shared" ca="1" si="462"/>
        <v>-0.18748711739259782</v>
      </c>
      <c r="AH988" s="304">
        <f t="shared" ca="1" si="463"/>
        <v>-9.9935370057126089</v>
      </c>
    </row>
    <row r="989" spans="1:34" x14ac:dyDescent="0.2">
      <c r="A989" s="347">
        <f t="shared" ca="1" si="441"/>
        <v>1E-4</v>
      </c>
      <c r="B989" s="304">
        <f t="shared" ca="1" si="442"/>
        <v>52.80070000000044</v>
      </c>
      <c r="D989" s="306">
        <f t="shared" ca="1" si="443"/>
        <v>-0.28356858162008197</v>
      </c>
      <c r="E989" s="307">
        <f t="shared" ca="1" si="444"/>
        <v>0.17952425422742735</v>
      </c>
      <c r="F989" s="304">
        <f t="shared" ca="1" si="445"/>
        <v>0.33561897791683215</v>
      </c>
      <c r="G989" s="306">
        <f t="shared" ca="1" si="446"/>
        <v>3.9493081570838933</v>
      </c>
      <c r="H989" s="307">
        <f t="shared" ca="1" si="447"/>
        <v>-139.12679457642855</v>
      </c>
      <c r="I989" s="304">
        <f t="shared" ca="1" si="448"/>
        <v>139.18283660003254</v>
      </c>
      <c r="J989" s="306">
        <f t="shared" ca="1" si="449"/>
        <v>781.88500774856686</v>
      </c>
      <c r="K989" s="307">
        <f t="shared" ca="1" si="450"/>
        <v>-0.47967884677583766</v>
      </c>
      <c r="L989" s="304">
        <f t="shared" ca="1" si="435"/>
        <v>781.88515488770634</v>
      </c>
      <c r="M989" s="306">
        <f t="shared" ca="1" si="451"/>
        <v>-1.5424175524973676</v>
      </c>
      <c r="N989" s="304">
        <f t="shared" ca="1" si="452"/>
        <v>-88.374016004997245</v>
      </c>
      <c r="P989" s="310">
        <f t="shared" ca="1" si="453"/>
        <v>23</v>
      </c>
      <c r="Q989" s="304">
        <f t="shared" ca="1" si="454"/>
        <v>0</v>
      </c>
      <c r="R989" s="306">
        <f t="shared" ca="1" si="455"/>
        <v>0</v>
      </c>
      <c r="S989" s="307">
        <f t="shared" ca="1" si="456"/>
        <v>6.4679999999999849</v>
      </c>
      <c r="T989" s="304">
        <f t="shared" ca="1" si="436"/>
        <v>63.451079999999855</v>
      </c>
      <c r="U989" s="311">
        <f t="shared" ca="1" si="437"/>
        <v>0</v>
      </c>
      <c r="V989" s="306">
        <f t="shared" ca="1" si="438"/>
        <v>1.2250587620680762</v>
      </c>
      <c r="W989" s="304">
        <f t="shared" ca="1" si="439"/>
        <v>64.638342381696305</v>
      </c>
      <c r="Y989" s="314" t="str">
        <f t="shared" ca="1" si="457"/>
        <v/>
      </c>
      <c r="Z989" s="315" t="str">
        <f t="shared" ca="1" si="458"/>
        <v/>
      </c>
      <c r="AA989" s="316" t="str">
        <f t="shared" ca="1" si="459"/>
        <v/>
      </c>
      <c r="AC989" s="310" t="e">
        <f t="shared" ca="1" si="460"/>
        <v>#N/A</v>
      </c>
      <c r="AD989" s="323" t="e">
        <f t="shared" ca="1" si="461"/>
        <v>#N/A</v>
      </c>
      <c r="AE989" s="324" t="e">
        <f t="shared" ca="1" si="440"/>
        <v>#N/A</v>
      </c>
      <c r="AG989" s="306">
        <f t="shared" ca="1" si="462"/>
        <v>-0.18749827304722899</v>
      </c>
      <c r="AH989" s="304">
        <f t="shared" ca="1" si="463"/>
        <v>-9.9935482170388354</v>
      </c>
    </row>
    <row r="990" spans="1:34" x14ac:dyDescent="0.2">
      <c r="A990" s="347">
        <f t="shared" ca="1" si="441"/>
        <v>1E-4</v>
      </c>
      <c r="B990" s="304">
        <f t="shared" ca="1" si="442"/>
        <v>52.800800000000443</v>
      </c>
      <c r="D990" s="306">
        <f t="shared" ca="1" si="443"/>
        <v>-0.28356690187002531</v>
      </c>
      <c r="E990" s="307">
        <f t="shared" ca="1" si="444"/>
        <v>0.17953551760212783</v>
      </c>
      <c r="F990" s="304">
        <f t="shared" ca="1" si="445"/>
        <v>0.33562358367198886</v>
      </c>
      <c r="G990" s="306">
        <f t="shared" ca="1" si="446"/>
        <v>3.9492798003937062</v>
      </c>
      <c r="H990" s="307">
        <f t="shared" ca="1" si="447"/>
        <v>-139.1267766228768</v>
      </c>
      <c r="I990" s="304">
        <f t="shared" ca="1" si="448"/>
        <v>139.18281784909249</v>
      </c>
      <c r="J990" s="306">
        <f t="shared" ca="1" si="449"/>
        <v>781.88500774856686</v>
      </c>
      <c r="K990" s="307">
        <f t="shared" ca="1" si="450"/>
        <v>-0.49359152533580292</v>
      </c>
      <c r="L990" s="304">
        <f t="shared" ca="1" si="435"/>
        <v>781.88516354677711</v>
      </c>
      <c r="M990" s="306">
        <f t="shared" ca="1" si="451"/>
        <v>-1.5424177524921756</v>
      </c>
      <c r="N990" s="304">
        <f t="shared" ca="1" si="452"/>
        <v>-88.374027463855683</v>
      </c>
      <c r="P990" s="310">
        <f t="shared" ca="1" si="453"/>
        <v>23</v>
      </c>
      <c r="Q990" s="304">
        <f t="shared" ca="1" si="454"/>
        <v>0</v>
      </c>
      <c r="R990" s="306">
        <f t="shared" ca="1" si="455"/>
        <v>0</v>
      </c>
      <c r="S990" s="307">
        <f t="shared" ca="1" si="456"/>
        <v>6.4679999999999849</v>
      </c>
      <c r="T990" s="304">
        <f t="shared" ca="1" si="436"/>
        <v>63.451079999999855</v>
      </c>
      <c r="U990" s="311">
        <f t="shared" ca="1" si="437"/>
        <v>0</v>
      </c>
      <c r="V990" s="306">
        <f t="shared" ca="1" si="438"/>
        <v>1.2250604664541405</v>
      </c>
      <c r="W990" s="304">
        <f t="shared" ca="1" si="439"/>
        <v>64.638414894616872</v>
      </c>
      <c r="Y990" s="314" t="str">
        <f t="shared" ca="1" si="457"/>
        <v/>
      </c>
      <c r="Z990" s="315" t="str">
        <f t="shared" ca="1" si="458"/>
        <v/>
      </c>
      <c r="AA990" s="316" t="str">
        <f t="shared" ca="1" si="459"/>
        <v/>
      </c>
      <c r="AC990" s="310" t="e">
        <f t="shared" ca="1" si="460"/>
        <v>#N/A</v>
      </c>
      <c r="AD990" s="323" t="e">
        <f t="shared" ca="1" si="461"/>
        <v>#N/A</v>
      </c>
      <c r="AE990" s="324" t="e">
        <f t="shared" ca="1" si="440"/>
        <v>#N/A</v>
      </c>
      <c r="AG990" s="306">
        <f t="shared" ca="1" si="462"/>
        <v>-0.18750942855285935</v>
      </c>
      <c r="AH990" s="304">
        <f t="shared" ca="1" si="463"/>
        <v>-9.9935594282152831</v>
      </c>
    </row>
    <row r="991" spans="1:34" x14ac:dyDescent="0.2">
      <c r="A991" s="347">
        <f t="shared" ca="1" si="441"/>
        <v>1E-4</v>
      </c>
      <c r="B991" s="304">
        <f t="shared" ca="1" si="442"/>
        <v>52.800900000000446</v>
      </c>
      <c r="D991" s="306">
        <f t="shared" ca="1" si="443"/>
        <v>-0.28356522212503293</v>
      </c>
      <c r="E991" s="307">
        <f t="shared" ca="1" si="444"/>
        <v>0.17954678082645614</v>
      </c>
      <c r="F991" s="304">
        <f t="shared" ca="1" si="445"/>
        <v>0.33562818967417313</v>
      </c>
      <c r="G991" s="306">
        <f t="shared" ca="1" si="446"/>
        <v>3.9492514438714936</v>
      </c>
      <c r="H991" s="307">
        <f t="shared" ca="1" si="447"/>
        <v>-139.12675866819873</v>
      </c>
      <c r="I991" s="304">
        <f t="shared" ca="1" si="448"/>
        <v>139.18279909703688</v>
      </c>
      <c r="J991" s="306">
        <f t="shared" ca="1" si="449"/>
        <v>781.88500774856686</v>
      </c>
      <c r="K991" s="307">
        <f t="shared" ca="1" si="450"/>
        <v>-0.50750420210035674</v>
      </c>
      <c r="L991" s="304">
        <f t="shared" ca="1" si="435"/>
        <v>781.88517245340552</v>
      </c>
      <c r="M991" s="306">
        <f t="shared" ca="1" si="451"/>
        <v>-1.5424179524856017</v>
      </c>
      <c r="N991" s="304">
        <f t="shared" ca="1" si="452"/>
        <v>-88.374038922634924</v>
      </c>
      <c r="P991" s="310">
        <f t="shared" ca="1" si="453"/>
        <v>23</v>
      </c>
      <c r="Q991" s="304">
        <f t="shared" ca="1" si="454"/>
        <v>0</v>
      </c>
      <c r="R991" s="306">
        <f t="shared" ca="1" si="455"/>
        <v>0</v>
      </c>
      <c r="S991" s="307">
        <f t="shared" ca="1" si="456"/>
        <v>6.4679999999999849</v>
      </c>
      <c r="T991" s="304">
        <f t="shared" ca="1" si="436"/>
        <v>63.451079999999855</v>
      </c>
      <c r="U991" s="311">
        <f t="shared" ca="1" si="437"/>
        <v>0</v>
      </c>
      <c r="V991" s="306">
        <f t="shared" ca="1" si="438"/>
        <v>1.2250621708423557</v>
      </c>
      <c r="W991" s="304">
        <f t="shared" ca="1" si="439"/>
        <v>64.638487406568629</v>
      </c>
      <c r="Y991" s="314" t="str">
        <f t="shared" ca="1" si="457"/>
        <v/>
      </c>
      <c r="Z991" s="315" t="str">
        <f t="shared" ca="1" si="458"/>
        <v/>
      </c>
      <c r="AA991" s="316" t="str">
        <f t="shared" ca="1" si="459"/>
        <v/>
      </c>
      <c r="AC991" s="310" t="e">
        <f t="shared" ca="1" si="460"/>
        <v>#N/A</v>
      </c>
      <c r="AD991" s="323" t="e">
        <f t="shared" ca="1" si="461"/>
        <v>#N/A</v>
      </c>
      <c r="AE991" s="324" t="e">
        <f t="shared" ca="1" si="440"/>
        <v>#N/A</v>
      </c>
      <c r="AG991" s="306">
        <f t="shared" ca="1" si="462"/>
        <v>-0.18752058390950133</v>
      </c>
      <c r="AH991" s="304">
        <f t="shared" ca="1" si="463"/>
        <v>-9.9935706392419643</v>
      </c>
    </row>
    <row r="992" spans="1:34" x14ac:dyDescent="0.2">
      <c r="A992" s="347">
        <f t="shared" ca="1" si="441"/>
        <v>1E-4</v>
      </c>
      <c r="B992" s="304">
        <f t="shared" ca="1" si="442"/>
        <v>52.80100000000045</v>
      </c>
      <c r="D992" s="306">
        <f t="shared" ca="1" si="443"/>
        <v>-0.28356354238510229</v>
      </c>
      <c r="E992" s="307">
        <f t="shared" ca="1" si="444"/>
        <v>0.17955804390039454</v>
      </c>
      <c r="F992" s="304">
        <f t="shared" ca="1" si="445"/>
        <v>0.33563279592334794</v>
      </c>
      <c r="G992" s="306">
        <f t="shared" ca="1" si="446"/>
        <v>3.9492230875172551</v>
      </c>
      <c r="H992" s="307">
        <f t="shared" ca="1" si="447"/>
        <v>-139.12674071239434</v>
      </c>
      <c r="I992" s="304">
        <f t="shared" ca="1" si="448"/>
        <v>139.18278034386577</v>
      </c>
      <c r="J992" s="306">
        <f t="shared" ca="1" si="449"/>
        <v>781.88500774856686</v>
      </c>
      <c r="K992" s="307">
        <f t="shared" ca="1" si="450"/>
        <v>-0.52141687706938644</v>
      </c>
      <c r="L992" s="304">
        <f t="shared" ca="1" si="435"/>
        <v>781.88518160759133</v>
      </c>
      <c r="M992" s="306">
        <f t="shared" ca="1" si="451"/>
        <v>-1.5424181524776455</v>
      </c>
      <c r="N992" s="304">
        <f t="shared" ca="1" si="452"/>
        <v>-88.374050381334968</v>
      </c>
      <c r="P992" s="310">
        <f t="shared" ca="1" si="453"/>
        <v>23</v>
      </c>
      <c r="Q992" s="304">
        <f t="shared" ca="1" si="454"/>
        <v>0</v>
      </c>
      <c r="R992" s="306">
        <f t="shared" ca="1" si="455"/>
        <v>0</v>
      </c>
      <c r="S992" s="307">
        <f t="shared" ca="1" si="456"/>
        <v>6.4679999999999849</v>
      </c>
      <c r="T992" s="304">
        <f t="shared" ca="1" si="436"/>
        <v>63.451079999999855</v>
      </c>
      <c r="U992" s="311">
        <f t="shared" ca="1" si="437"/>
        <v>0</v>
      </c>
      <c r="V992" s="306">
        <f t="shared" ca="1" si="438"/>
        <v>1.2250638752327223</v>
      </c>
      <c r="W992" s="304">
        <f t="shared" ca="1" si="439"/>
        <v>64.638559917551703</v>
      </c>
      <c r="Y992" s="314" t="str">
        <f t="shared" ca="1" si="457"/>
        <v/>
      </c>
      <c r="Z992" s="315" t="str">
        <f t="shared" ca="1" si="458"/>
        <v/>
      </c>
      <c r="AA992" s="316" t="str">
        <f t="shared" ca="1" si="459"/>
        <v/>
      </c>
      <c r="AC992" s="310" t="e">
        <f t="shared" ca="1" si="460"/>
        <v>#N/A</v>
      </c>
      <c r="AD992" s="323" t="e">
        <f t="shared" ca="1" si="461"/>
        <v>#N/A</v>
      </c>
      <c r="AE992" s="324" t="e">
        <f t="shared" ca="1" si="440"/>
        <v>#N/A</v>
      </c>
      <c r="AG992" s="306">
        <f t="shared" ca="1" si="462"/>
        <v>-0.18753173911713183</v>
      </c>
      <c r="AH992" s="304">
        <f t="shared" ca="1" si="463"/>
        <v>-9.9935818501188596</v>
      </c>
    </row>
    <row r="993" spans="1:34" x14ac:dyDescent="0.2">
      <c r="A993" s="347">
        <f t="shared" ca="1" si="441"/>
        <v>1E-4</v>
      </c>
      <c r="B993" s="304">
        <f t="shared" ca="1" si="442"/>
        <v>52.801100000000453</v>
      </c>
      <c r="D993" s="306">
        <f t="shared" ca="1" si="443"/>
        <v>-0.28356186265023625</v>
      </c>
      <c r="E993" s="307">
        <f t="shared" ca="1" si="444"/>
        <v>0.17956930682396433</v>
      </c>
      <c r="F993" s="304">
        <f t="shared" ca="1" si="445"/>
        <v>0.33563740241950163</v>
      </c>
      <c r="G993" s="306">
        <f t="shared" ca="1" si="446"/>
        <v>3.9491947313309903</v>
      </c>
      <c r="H993" s="307">
        <f t="shared" ca="1" si="447"/>
        <v>-139.12672275546365</v>
      </c>
      <c r="I993" s="304">
        <f t="shared" ca="1" si="448"/>
        <v>139.18276158957912</v>
      </c>
      <c r="J993" s="306">
        <f t="shared" ca="1" si="449"/>
        <v>781.88500774856686</v>
      </c>
      <c r="K993" s="307">
        <f t="shared" ca="1" si="450"/>
        <v>-0.53532955024277928</v>
      </c>
      <c r="L993" s="304">
        <f t="shared" ca="1" si="435"/>
        <v>781.88519100933479</v>
      </c>
      <c r="M993" s="306">
        <f t="shared" ca="1" si="451"/>
        <v>-1.5424183524683073</v>
      </c>
      <c r="N993" s="304">
        <f t="shared" ca="1" si="452"/>
        <v>-88.374061839955829</v>
      </c>
      <c r="P993" s="310">
        <f t="shared" ca="1" si="453"/>
        <v>23</v>
      </c>
      <c r="Q993" s="304">
        <f t="shared" ca="1" si="454"/>
        <v>0</v>
      </c>
      <c r="R993" s="306">
        <f t="shared" ca="1" si="455"/>
        <v>0</v>
      </c>
      <c r="S993" s="307">
        <f t="shared" ca="1" si="456"/>
        <v>6.4679999999999849</v>
      </c>
      <c r="T993" s="304">
        <f t="shared" ca="1" si="436"/>
        <v>63.451079999999855</v>
      </c>
      <c r="U993" s="311">
        <f t="shared" ca="1" si="437"/>
        <v>0</v>
      </c>
      <c r="V993" s="306">
        <f t="shared" ca="1" si="438"/>
        <v>1.2250655796252403</v>
      </c>
      <c r="W993" s="304">
        <f t="shared" ca="1" si="439"/>
        <v>64.638632427565994</v>
      </c>
      <c r="Y993" s="314" t="str">
        <f t="shared" ca="1" si="457"/>
        <v/>
      </c>
      <c r="Z993" s="315" t="str">
        <f t="shared" ca="1" si="458"/>
        <v/>
      </c>
      <c r="AA993" s="316" t="str">
        <f t="shared" ca="1" si="459"/>
        <v/>
      </c>
      <c r="AC993" s="310" t="e">
        <f t="shared" ca="1" si="460"/>
        <v>#N/A</v>
      </c>
      <c r="AD993" s="323" t="e">
        <f t="shared" ca="1" si="461"/>
        <v>#N/A</v>
      </c>
      <c r="AE993" s="324" t="e">
        <f t="shared" ca="1" si="440"/>
        <v>#N/A</v>
      </c>
      <c r="AG993" s="306">
        <f t="shared" ca="1" si="462"/>
        <v>-0.18754289417577574</v>
      </c>
      <c r="AH993" s="304">
        <f t="shared" ca="1" si="463"/>
        <v>-9.9935930608459884</v>
      </c>
    </row>
    <row r="994" spans="1:34" x14ac:dyDescent="0.2">
      <c r="A994" s="347">
        <f t="shared" ca="1" si="441"/>
        <v>1E-4</v>
      </c>
      <c r="B994" s="304">
        <f t="shared" ca="1" si="442"/>
        <v>52.801200000000456</v>
      </c>
      <c r="D994" s="306">
        <f t="shared" ca="1" si="443"/>
        <v>-0.28356018292043234</v>
      </c>
      <c r="E994" s="307">
        <f t="shared" ca="1" si="444"/>
        <v>0.17958056959714774</v>
      </c>
      <c r="F994" s="304">
        <f t="shared" ca="1" si="445"/>
        <v>0.33564200916259729</v>
      </c>
      <c r="G994" s="306">
        <f t="shared" ca="1" si="446"/>
        <v>3.9491663753126982</v>
      </c>
      <c r="H994" s="307">
        <f t="shared" ca="1" si="447"/>
        <v>-139.12670479740669</v>
      </c>
      <c r="I994" s="304">
        <f t="shared" ca="1" si="448"/>
        <v>139.18274283417699</v>
      </c>
      <c r="J994" s="306">
        <f t="shared" ca="1" si="449"/>
        <v>781.88500774856686</v>
      </c>
      <c r="K994" s="307">
        <f t="shared" ca="1" si="450"/>
        <v>-0.5492422216204228</v>
      </c>
      <c r="L994" s="304">
        <f t="shared" ca="1" si="435"/>
        <v>781.88520065863531</v>
      </c>
      <c r="M994" s="306">
        <f t="shared" ca="1" si="451"/>
        <v>-1.5424185524575871</v>
      </c>
      <c r="N994" s="304">
        <f t="shared" ca="1" si="452"/>
        <v>-88.374073298497507</v>
      </c>
      <c r="P994" s="310">
        <f t="shared" ca="1" si="453"/>
        <v>23</v>
      </c>
      <c r="Q994" s="304">
        <f t="shared" ca="1" si="454"/>
        <v>0</v>
      </c>
      <c r="R994" s="306">
        <f t="shared" ca="1" si="455"/>
        <v>0</v>
      </c>
      <c r="S994" s="307">
        <f t="shared" ca="1" si="456"/>
        <v>6.4679999999999849</v>
      </c>
      <c r="T994" s="304">
        <f t="shared" ca="1" si="436"/>
        <v>63.451079999999855</v>
      </c>
      <c r="U994" s="311">
        <f t="shared" ca="1" si="437"/>
        <v>0</v>
      </c>
      <c r="V994" s="306">
        <f t="shared" ca="1" si="438"/>
        <v>1.2250672840199097</v>
      </c>
      <c r="W994" s="304">
        <f t="shared" ca="1" si="439"/>
        <v>64.638704936611617</v>
      </c>
      <c r="Y994" s="314" t="str">
        <f t="shared" ca="1" si="457"/>
        <v/>
      </c>
      <c r="Z994" s="315" t="str">
        <f t="shared" ca="1" si="458"/>
        <v/>
      </c>
      <c r="AA994" s="316" t="str">
        <f t="shared" ca="1" si="459"/>
        <v/>
      </c>
      <c r="AC994" s="310" t="e">
        <f t="shared" ca="1" si="460"/>
        <v>#N/A</v>
      </c>
      <c r="AD994" s="323" t="e">
        <f t="shared" ca="1" si="461"/>
        <v>#N/A</v>
      </c>
      <c r="AE994" s="324" t="e">
        <f t="shared" ca="1" si="440"/>
        <v>#N/A</v>
      </c>
      <c r="AG994" s="306">
        <f t="shared" ca="1" si="462"/>
        <v>-0.18755404908541173</v>
      </c>
      <c r="AH994" s="304">
        <f t="shared" ca="1" si="463"/>
        <v>-9.9936042714233366</v>
      </c>
    </row>
    <row r="995" spans="1:34" x14ac:dyDescent="0.2">
      <c r="A995" s="347">
        <f t="shared" ca="1" si="441"/>
        <v>1E-4</v>
      </c>
      <c r="B995" s="304">
        <f t="shared" ca="1" si="442"/>
        <v>52.80130000000046</v>
      </c>
      <c r="D995" s="306">
        <f t="shared" ca="1" si="443"/>
        <v>-0.28355850319569115</v>
      </c>
      <c r="E995" s="307">
        <f t="shared" ca="1" si="444"/>
        <v>0.17959183221996433</v>
      </c>
      <c r="F995" s="304">
        <f t="shared" ca="1" si="445"/>
        <v>0.33564661615262054</v>
      </c>
      <c r="G995" s="306">
        <f t="shared" ca="1" si="446"/>
        <v>3.9491380194623789</v>
      </c>
      <c r="H995" s="307">
        <f t="shared" ca="1" si="447"/>
        <v>-139.12668683822346</v>
      </c>
      <c r="I995" s="304">
        <f t="shared" ca="1" si="448"/>
        <v>139.18272407765937</v>
      </c>
      <c r="J995" s="306">
        <f t="shared" ca="1" si="449"/>
        <v>781.88500774856686</v>
      </c>
      <c r="K995" s="307">
        <f t="shared" ca="1" si="450"/>
        <v>-0.5631548912022043</v>
      </c>
      <c r="L995" s="304">
        <f t="shared" ca="1" si="435"/>
        <v>781.88521055549325</v>
      </c>
      <c r="M995" s="306">
        <f t="shared" ca="1" si="451"/>
        <v>-1.5424187524454847</v>
      </c>
      <c r="N995" s="304">
        <f t="shared" ca="1" si="452"/>
        <v>-88.374084756959988</v>
      </c>
      <c r="P995" s="310">
        <f t="shared" ca="1" si="453"/>
        <v>23</v>
      </c>
      <c r="Q995" s="304">
        <f t="shared" ca="1" si="454"/>
        <v>0</v>
      </c>
      <c r="R995" s="306">
        <f t="shared" ca="1" si="455"/>
        <v>0</v>
      </c>
      <c r="S995" s="307">
        <f t="shared" ca="1" si="456"/>
        <v>6.4679999999999849</v>
      </c>
      <c r="T995" s="304">
        <f t="shared" ca="1" si="436"/>
        <v>63.451079999999855</v>
      </c>
      <c r="U995" s="311">
        <f t="shared" ca="1" si="437"/>
        <v>0</v>
      </c>
      <c r="V995" s="306">
        <f t="shared" ca="1" si="438"/>
        <v>1.2250689884167307</v>
      </c>
      <c r="W995" s="304">
        <f t="shared" ca="1" si="439"/>
        <v>64.638777444688515</v>
      </c>
      <c r="Y995" s="314" t="str">
        <f t="shared" ca="1" si="457"/>
        <v/>
      </c>
      <c r="Z995" s="315" t="str">
        <f t="shared" ca="1" si="458"/>
        <v/>
      </c>
      <c r="AA995" s="316" t="str">
        <f t="shared" ca="1" si="459"/>
        <v/>
      </c>
      <c r="AC995" s="310" t="e">
        <f t="shared" ca="1" si="460"/>
        <v>#N/A</v>
      </c>
      <c r="AD995" s="323" t="e">
        <f t="shared" ca="1" si="461"/>
        <v>#N/A</v>
      </c>
      <c r="AE995" s="324" t="e">
        <f t="shared" ca="1" si="440"/>
        <v>#N/A</v>
      </c>
      <c r="AG995" s="306">
        <f t="shared" ca="1" si="462"/>
        <v>-0.18756520384606645</v>
      </c>
      <c r="AH995" s="304">
        <f t="shared" ca="1" si="463"/>
        <v>-9.993615481850922</v>
      </c>
    </row>
    <row r="996" spans="1:34" x14ac:dyDescent="0.2">
      <c r="A996" s="347">
        <f t="shared" ca="1" si="441"/>
        <v>1E-4</v>
      </c>
      <c r="B996" s="304">
        <f t="shared" ca="1" si="442"/>
        <v>52.801400000000463</v>
      </c>
      <c r="D996" s="306">
        <f t="shared" ca="1" si="443"/>
        <v>-0.28355682347601474</v>
      </c>
      <c r="E996" s="307">
        <f t="shared" ca="1" si="444"/>
        <v>0.17960309469240698</v>
      </c>
      <c r="F996" s="304">
        <f t="shared" ca="1" si="445"/>
        <v>0.3356512233895439</v>
      </c>
      <c r="G996" s="306">
        <f t="shared" ca="1" si="446"/>
        <v>3.9491096637800314</v>
      </c>
      <c r="H996" s="307">
        <f t="shared" ca="1" si="447"/>
        <v>-139.126668877914</v>
      </c>
      <c r="I996" s="304">
        <f t="shared" ca="1" si="448"/>
        <v>139.18270532002634</v>
      </c>
      <c r="J996" s="306">
        <f t="shared" ca="1" si="449"/>
        <v>781.88500774856686</v>
      </c>
      <c r="K996" s="307">
        <f t="shared" ca="1" si="450"/>
        <v>-0.57706755898801121</v>
      </c>
      <c r="L996" s="304">
        <f t="shared" ca="1" si="435"/>
        <v>781.88522069990813</v>
      </c>
      <c r="M996" s="306">
        <f t="shared" ca="1" si="451"/>
        <v>-1.5424189524320004</v>
      </c>
      <c r="N996" s="304">
        <f t="shared" ca="1" si="452"/>
        <v>-88.374096215343314</v>
      </c>
      <c r="P996" s="310">
        <f t="shared" ca="1" si="453"/>
        <v>23</v>
      </c>
      <c r="Q996" s="304">
        <f t="shared" ca="1" si="454"/>
        <v>0</v>
      </c>
      <c r="R996" s="306">
        <f t="shared" ca="1" si="455"/>
        <v>0</v>
      </c>
      <c r="S996" s="307">
        <f t="shared" ca="1" si="456"/>
        <v>6.4679999999999849</v>
      </c>
      <c r="T996" s="304">
        <f t="shared" ca="1" si="436"/>
        <v>63.451079999999855</v>
      </c>
      <c r="U996" s="311">
        <f t="shared" ca="1" si="437"/>
        <v>0</v>
      </c>
      <c r="V996" s="306">
        <f t="shared" ca="1" si="438"/>
        <v>1.2250706928157027</v>
      </c>
      <c r="W996" s="304">
        <f t="shared" ca="1" si="439"/>
        <v>64.638849951796743</v>
      </c>
      <c r="Y996" s="314" t="str">
        <f t="shared" ca="1" si="457"/>
        <v/>
      </c>
      <c r="Z996" s="315" t="str">
        <f t="shared" ca="1" si="458"/>
        <v/>
      </c>
      <c r="AA996" s="316" t="str">
        <f t="shared" ca="1" si="459"/>
        <v/>
      </c>
      <c r="AC996" s="310" t="e">
        <f t="shared" ca="1" si="460"/>
        <v>#N/A</v>
      </c>
      <c r="AD996" s="323" t="e">
        <f t="shared" ca="1" si="461"/>
        <v>#N/A</v>
      </c>
      <c r="AE996" s="324" t="e">
        <f t="shared" ca="1" si="440"/>
        <v>#N/A</v>
      </c>
      <c r="AG996" s="306">
        <f t="shared" ca="1" si="462"/>
        <v>-0.18757635845772391</v>
      </c>
      <c r="AH996" s="304">
        <f t="shared" ca="1" si="463"/>
        <v>-9.9936266921287356</v>
      </c>
    </row>
    <row r="997" spans="1:34" x14ac:dyDescent="0.2">
      <c r="A997" s="347">
        <f t="shared" ca="1" si="441"/>
        <v>1E-4</v>
      </c>
      <c r="B997" s="304">
        <f t="shared" ca="1" si="442"/>
        <v>52.801500000000466</v>
      </c>
      <c r="D997" s="306">
        <f t="shared" ca="1" si="443"/>
        <v>-0.28355514376139923</v>
      </c>
      <c r="E997" s="307">
        <f t="shared" ca="1" si="444"/>
        <v>0.17961435701448103</v>
      </c>
      <c r="F997" s="304">
        <f t="shared" ca="1" si="445"/>
        <v>0.3356558308733415</v>
      </c>
      <c r="G997" s="306">
        <f t="shared" ca="1" si="446"/>
        <v>3.9490813082656553</v>
      </c>
      <c r="H997" s="307">
        <f t="shared" ca="1" si="447"/>
        <v>-139.1266509164783</v>
      </c>
      <c r="I997" s="304">
        <f t="shared" ca="1" si="448"/>
        <v>139.18268656127782</v>
      </c>
      <c r="J997" s="306">
        <f t="shared" ca="1" si="449"/>
        <v>781.88500774856686</v>
      </c>
      <c r="K997" s="307">
        <f t="shared" ca="1" si="450"/>
        <v>-0.59098022497773084</v>
      </c>
      <c r="L997" s="304">
        <f t="shared" ca="1" si="435"/>
        <v>781.88523109188009</v>
      </c>
      <c r="M997" s="306">
        <f t="shared" ca="1" si="451"/>
        <v>-1.542419152417134</v>
      </c>
      <c r="N997" s="304">
        <f t="shared" ca="1" si="452"/>
        <v>-88.37410767364743</v>
      </c>
      <c r="P997" s="310">
        <f t="shared" ca="1" si="453"/>
        <v>23</v>
      </c>
      <c r="Q997" s="304">
        <f t="shared" ca="1" si="454"/>
        <v>0</v>
      </c>
      <c r="R997" s="306">
        <f t="shared" ca="1" si="455"/>
        <v>0</v>
      </c>
      <c r="S997" s="307">
        <f t="shared" ca="1" si="456"/>
        <v>6.4679999999999849</v>
      </c>
      <c r="T997" s="304">
        <f t="shared" ca="1" si="436"/>
        <v>63.451079999999855</v>
      </c>
      <c r="U997" s="311">
        <f t="shared" ca="1" si="437"/>
        <v>0</v>
      </c>
      <c r="V997" s="306">
        <f t="shared" ca="1" si="438"/>
        <v>1.225072397216826</v>
      </c>
      <c r="W997" s="304">
        <f t="shared" ca="1" si="439"/>
        <v>64.638922457936246</v>
      </c>
      <c r="Y997" s="314" t="str">
        <f t="shared" ca="1" si="457"/>
        <v/>
      </c>
      <c r="Z997" s="315" t="str">
        <f t="shared" ca="1" si="458"/>
        <v/>
      </c>
      <c r="AA997" s="316" t="str">
        <f t="shared" ca="1" si="459"/>
        <v/>
      </c>
      <c r="AC997" s="310" t="e">
        <f t="shared" ca="1" si="460"/>
        <v>#N/A</v>
      </c>
      <c r="AD997" s="323" t="e">
        <f t="shared" ca="1" si="461"/>
        <v>#N/A</v>
      </c>
      <c r="AE997" s="324" t="e">
        <f t="shared" ca="1" si="440"/>
        <v>#N/A</v>
      </c>
      <c r="AG997" s="306">
        <f t="shared" ca="1" si="462"/>
        <v>-0.18758751292039477</v>
      </c>
      <c r="AH997" s="304">
        <f t="shared" ca="1" si="463"/>
        <v>-9.9936379022567863</v>
      </c>
    </row>
    <row r="998" spans="1:34" x14ac:dyDescent="0.2">
      <c r="A998" s="347">
        <f t="shared" ca="1" si="441"/>
        <v>1E-4</v>
      </c>
      <c r="B998" s="304">
        <f t="shared" ca="1" si="442"/>
        <v>52.801600000000469</v>
      </c>
      <c r="D998" s="306">
        <f t="shared" ca="1" si="443"/>
        <v>-0.28355346405184878</v>
      </c>
      <c r="E998" s="307">
        <f t="shared" ca="1" si="444"/>
        <v>0.17962561918618114</v>
      </c>
      <c r="F998" s="304">
        <f t="shared" ca="1" si="445"/>
        <v>0.3356604386039887</v>
      </c>
      <c r="G998" s="306">
        <f t="shared" ca="1" si="446"/>
        <v>3.9490529529192502</v>
      </c>
      <c r="H998" s="307">
        <f t="shared" ca="1" si="447"/>
        <v>-139.12663295391638</v>
      </c>
      <c r="I998" s="304">
        <f t="shared" ca="1" si="448"/>
        <v>139.18266780141388</v>
      </c>
      <c r="J998" s="306">
        <f t="shared" ca="1" si="449"/>
        <v>781.88500774856686</v>
      </c>
      <c r="K998" s="307">
        <f t="shared" ca="1" si="450"/>
        <v>-0.60489288917125061</v>
      </c>
      <c r="L998" s="304">
        <f t="shared" ca="1" si="435"/>
        <v>781.885241731409</v>
      </c>
      <c r="M998" s="306">
        <f t="shared" ca="1" si="451"/>
        <v>-1.5424193524008856</v>
      </c>
      <c r="N998" s="304">
        <f t="shared" ca="1" si="452"/>
        <v>-88.374119131872362</v>
      </c>
      <c r="P998" s="310">
        <f t="shared" ca="1" si="453"/>
        <v>23</v>
      </c>
      <c r="Q998" s="304">
        <f t="shared" ca="1" si="454"/>
        <v>0</v>
      </c>
      <c r="R998" s="306">
        <f t="shared" ca="1" si="455"/>
        <v>0</v>
      </c>
      <c r="S998" s="307">
        <f t="shared" ca="1" si="456"/>
        <v>6.4679999999999849</v>
      </c>
      <c r="T998" s="304">
        <f t="shared" ca="1" si="436"/>
        <v>63.451079999999855</v>
      </c>
      <c r="U998" s="311">
        <f t="shared" ca="1" si="437"/>
        <v>0</v>
      </c>
      <c r="V998" s="306">
        <f t="shared" ca="1" si="438"/>
        <v>1.2250741016201008</v>
      </c>
      <c r="W998" s="304">
        <f t="shared" ca="1" si="439"/>
        <v>64.638994963107123</v>
      </c>
      <c r="Y998" s="314" t="str">
        <f t="shared" ca="1" si="457"/>
        <v/>
      </c>
      <c r="Z998" s="315" t="str">
        <f t="shared" ca="1" si="458"/>
        <v/>
      </c>
      <c r="AA998" s="316" t="str">
        <f t="shared" ca="1" si="459"/>
        <v/>
      </c>
      <c r="AC998" s="310" t="e">
        <f t="shared" ca="1" si="460"/>
        <v>#N/A</v>
      </c>
      <c r="AD998" s="323" t="e">
        <f t="shared" ca="1" si="461"/>
        <v>#N/A</v>
      </c>
      <c r="AE998" s="324" t="e">
        <f t="shared" ca="1" si="440"/>
        <v>#N/A</v>
      </c>
      <c r="AG998" s="306">
        <f t="shared" ca="1" si="462"/>
        <v>-0.18759866723407193</v>
      </c>
      <c r="AH998" s="304">
        <f t="shared" ca="1" si="463"/>
        <v>-9.9936491122350652</v>
      </c>
    </row>
    <row r="999" spans="1:34" x14ac:dyDescent="0.2">
      <c r="A999" s="347">
        <f t="shared" ca="1" si="441"/>
        <v>1E-4</v>
      </c>
      <c r="B999" s="304">
        <f t="shared" ca="1" si="442"/>
        <v>52.801700000000473</v>
      </c>
      <c r="D999" s="306">
        <f t="shared" ca="1" si="443"/>
        <v>-0.28355178434736183</v>
      </c>
      <c r="E999" s="307">
        <f t="shared" ca="1" si="444"/>
        <v>0.17963688120751975</v>
      </c>
      <c r="F999" s="304">
        <f t="shared" ca="1" si="445"/>
        <v>0.3356650465814654</v>
      </c>
      <c r="G999" s="306">
        <f t="shared" ca="1" si="446"/>
        <v>3.9490245977408156</v>
      </c>
      <c r="H999" s="307">
        <f t="shared" ca="1" si="447"/>
        <v>-139.12661499022826</v>
      </c>
      <c r="I999" s="304">
        <f t="shared" ca="1" si="448"/>
        <v>139.18264904043451</v>
      </c>
      <c r="J999" s="306">
        <f t="shared" ca="1" si="449"/>
        <v>781.88500774856686</v>
      </c>
      <c r="K999" s="307">
        <f t="shared" ca="1" si="450"/>
        <v>-0.61880555156845785</v>
      </c>
      <c r="L999" s="304">
        <f t="shared" ca="1" si="435"/>
        <v>781.88525261849452</v>
      </c>
      <c r="M999" s="306">
        <f t="shared" ca="1" si="451"/>
        <v>-1.5424195523832549</v>
      </c>
      <c r="N999" s="304">
        <f t="shared" ca="1" si="452"/>
        <v>-88.374130590018098</v>
      </c>
      <c r="P999" s="310">
        <f t="shared" ca="1" si="453"/>
        <v>23</v>
      </c>
      <c r="Q999" s="304">
        <f t="shared" ca="1" si="454"/>
        <v>0</v>
      </c>
      <c r="R999" s="306">
        <f t="shared" ca="1" si="455"/>
        <v>0</v>
      </c>
      <c r="S999" s="307">
        <f t="shared" ca="1" si="456"/>
        <v>6.4679999999999849</v>
      </c>
      <c r="T999" s="304">
        <f t="shared" ca="1" si="436"/>
        <v>63.451079999999855</v>
      </c>
      <c r="U999" s="311">
        <f t="shared" ca="1" si="437"/>
        <v>0</v>
      </c>
      <c r="V999" s="306">
        <f t="shared" ca="1" si="438"/>
        <v>1.2250758060255265</v>
      </c>
      <c r="W999" s="304">
        <f t="shared" ca="1" si="439"/>
        <v>64.639067467309246</v>
      </c>
      <c r="Y999" s="314" t="str">
        <f t="shared" ca="1" si="457"/>
        <v/>
      </c>
      <c r="Z999" s="315" t="str">
        <f t="shared" ca="1" si="458"/>
        <v/>
      </c>
      <c r="AA999" s="316" t="str">
        <f t="shared" ca="1" si="459"/>
        <v/>
      </c>
      <c r="AC999" s="310" t="e">
        <f t="shared" ca="1" si="460"/>
        <v>#N/A</v>
      </c>
      <c r="AD999" s="323" t="e">
        <f t="shared" ca="1" si="461"/>
        <v>#N/A</v>
      </c>
      <c r="AE999" s="324" t="e">
        <f t="shared" ca="1" si="440"/>
        <v>#N/A</v>
      </c>
      <c r="AG999" s="306">
        <f t="shared" ca="1" si="462"/>
        <v>-0.18760982139876781</v>
      </c>
      <c r="AH999" s="304">
        <f t="shared" ca="1" si="463"/>
        <v>-9.9936603220635867</v>
      </c>
    </row>
    <row r="1000" spans="1:34" x14ac:dyDescent="0.2">
      <c r="A1000" s="347">
        <f t="shared" ca="1" si="441"/>
        <v>1E-4</v>
      </c>
      <c r="B1000" s="304">
        <f t="shared" ca="1" si="442"/>
        <v>52.801800000000476</v>
      </c>
      <c r="D1000" s="306">
        <f t="shared" ca="1" si="443"/>
        <v>-0.28355010464794006</v>
      </c>
      <c r="E1000" s="307">
        <f t="shared" ca="1" si="444"/>
        <v>0.17964814307847554</v>
      </c>
      <c r="F1000" s="304">
        <f t="shared" ca="1" si="445"/>
        <v>0.33566965480573629</v>
      </c>
      <c r="G1000" s="306">
        <f t="shared" ca="1" si="446"/>
        <v>3.9489962427303507</v>
      </c>
      <c r="H1000" s="307">
        <f t="shared" ca="1" si="447"/>
        <v>-139.12659702541396</v>
      </c>
      <c r="I1000" s="304">
        <f t="shared" ca="1" si="448"/>
        <v>139.18263027833976</v>
      </c>
      <c r="J1000" s="306">
        <f t="shared" ca="1" si="449"/>
        <v>781.88500774856686</v>
      </c>
      <c r="K1000" s="307">
        <f t="shared" ca="1" si="450"/>
        <v>-0.63271821216923996</v>
      </c>
      <c r="L1000" s="304">
        <f t="shared" ca="1" si="435"/>
        <v>781.88526375313688</v>
      </c>
      <c r="M1000" s="306">
        <f t="shared" ca="1" si="451"/>
        <v>-1.5424197523642424</v>
      </c>
      <c r="N1000" s="304">
        <f t="shared" ca="1" si="452"/>
        <v>-88.374142048084678</v>
      </c>
      <c r="P1000" s="310">
        <f t="shared" ca="1" si="453"/>
        <v>23</v>
      </c>
      <c r="Q1000" s="304">
        <f t="shared" ca="1" si="454"/>
        <v>0</v>
      </c>
      <c r="R1000" s="306">
        <f t="shared" ca="1" si="455"/>
        <v>0</v>
      </c>
      <c r="S1000" s="307">
        <f t="shared" ca="1" si="456"/>
        <v>6.4679999999999849</v>
      </c>
      <c r="T1000" s="304">
        <f t="shared" ca="1" si="436"/>
        <v>63.451079999999855</v>
      </c>
      <c r="U1000" s="311">
        <f t="shared" ca="1" si="437"/>
        <v>0</v>
      </c>
      <c r="V1000" s="306">
        <f t="shared" ca="1" si="438"/>
        <v>1.2250775104331038</v>
      </c>
      <c r="W1000" s="304">
        <f t="shared" ca="1" si="439"/>
        <v>64.639139970542772</v>
      </c>
      <c r="Y1000" s="314" t="str">
        <f t="shared" ca="1" si="457"/>
        <v/>
      </c>
      <c r="Z1000" s="315" t="str">
        <f t="shared" ca="1" si="458"/>
        <v/>
      </c>
      <c r="AA1000" s="316" t="str">
        <f t="shared" ca="1" si="459"/>
        <v/>
      </c>
      <c r="AC1000" s="310" t="e">
        <f t="shared" ca="1" si="460"/>
        <v>#N/A</v>
      </c>
      <c r="AD1000" s="323" t="e">
        <f t="shared" ca="1" si="461"/>
        <v>#N/A</v>
      </c>
      <c r="AE1000" s="324" t="e">
        <f t="shared" ca="1" si="440"/>
        <v>#N/A</v>
      </c>
      <c r="AG1000" s="306">
        <f t="shared" ca="1" si="462"/>
        <v>-0.18762097541446288</v>
      </c>
      <c r="AH1000" s="304">
        <f t="shared" ca="1" si="463"/>
        <v>-9.993671531742331</v>
      </c>
    </row>
    <row r="1001" spans="1:34" x14ac:dyDescent="0.2">
      <c r="A1001" s="347">
        <f t="shared" ca="1" si="441"/>
        <v>1E-4</v>
      </c>
      <c r="B1001" s="304">
        <f t="shared" ca="1" si="442"/>
        <v>52.801900000000479</v>
      </c>
      <c r="D1001" s="306">
        <f t="shared" ca="1" si="443"/>
        <v>-0.28354842495358001</v>
      </c>
      <c r="E1001" s="307">
        <f t="shared" ca="1" si="444"/>
        <v>0.17965940479907694</v>
      </c>
      <c r="F1001" s="304">
        <f t="shared" ca="1" si="445"/>
        <v>0.33567426327678829</v>
      </c>
      <c r="G1001" s="306">
        <f t="shared" ca="1" si="446"/>
        <v>3.9489678878878554</v>
      </c>
      <c r="H1001" s="307">
        <f t="shared" ca="1" si="447"/>
        <v>-139.12657905947347</v>
      </c>
      <c r="I1001" s="304">
        <f t="shared" ca="1" si="448"/>
        <v>139.18261151512962</v>
      </c>
      <c r="J1001" s="306">
        <f t="shared" ca="1" si="449"/>
        <v>781.88500774856686</v>
      </c>
      <c r="K1001" s="307">
        <f t="shared" ca="1" si="450"/>
        <v>-0.64663087097348437</v>
      </c>
      <c r="L1001" s="304">
        <f t="shared" ca="1" si="435"/>
        <v>781.88527513533575</v>
      </c>
      <c r="M1001" s="306">
        <f t="shared" ca="1" si="451"/>
        <v>-1.542419952343848</v>
      </c>
      <c r="N1001" s="304">
        <f t="shared" ca="1" si="452"/>
        <v>-88.374153506072062</v>
      </c>
      <c r="P1001" s="310">
        <f t="shared" ca="1" si="453"/>
        <v>23</v>
      </c>
      <c r="Q1001" s="304">
        <f t="shared" ca="1" si="454"/>
        <v>0</v>
      </c>
      <c r="R1001" s="306">
        <f t="shared" ca="1" si="455"/>
        <v>0</v>
      </c>
      <c r="S1001" s="307">
        <f t="shared" ca="1" si="456"/>
        <v>6.4679999999999849</v>
      </c>
      <c r="T1001" s="304">
        <f t="shared" ca="1" si="436"/>
        <v>63.451079999999855</v>
      </c>
      <c r="U1001" s="311">
        <f t="shared" ca="1" si="437"/>
        <v>0</v>
      </c>
      <c r="V1001" s="306">
        <f t="shared" ca="1" si="438"/>
        <v>1.2250792148428327</v>
      </c>
      <c r="W1001" s="304">
        <f t="shared" ca="1" si="439"/>
        <v>64.639212472807657</v>
      </c>
      <c r="Y1001" s="314" t="str">
        <f t="shared" ca="1" si="457"/>
        <v/>
      </c>
      <c r="Z1001" s="315" t="str">
        <f t="shared" ca="1" si="458"/>
        <v/>
      </c>
      <c r="AA1001" s="316" t="str">
        <f t="shared" ca="1" si="459"/>
        <v/>
      </c>
      <c r="AC1001" s="310" t="e">
        <f t="shared" ca="1" si="460"/>
        <v>#N/A</v>
      </c>
      <c r="AD1001" s="323" t="e">
        <f t="shared" ca="1" si="461"/>
        <v>#N/A</v>
      </c>
      <c r="AE1001" s="324" t="e">
        <f t="shared" ca="1" si="440"/>
        <v>#N/A</v>
      </c>
      <c r="AG1001" s="306">
        <f t="shared" ca="1" si="462"/>
        <v>-0.18763212928118378</v>
      </c>
      <c r="AH1001" s="304">
        <f t="shared" ca="1" si="463"/>
        <v>-9.9936827412713232</v>
      </c>
    </row>
    <row r="1002" spans="1:34" x14ac:dyDescent="0.2">
      <c r="A1002" s="347">
        <f t="shared" ca="1" si="441"/>
        <v>1E-4</v>
      </c>
      <c r="B1002" s="304">
        <f t="shared" ca="1" si="442"/>
        <v>52.802000000000483</v>
      </c>
      <c r="D1002" s="306">
        <f t="shared" ca="1" si="443"/>
        <v>-0.28354674526428375</v>
      </c>
      <c r="E1002" s="307">
        <f t="shared" ca="1" si="444"/>
        <v>0.17967066636931506</v>
      </c>
      <c r="F1002" s="304">
        <f t="shared" ca="1" si="445"/>
        <v>0.33567887199459295</v>
      </c>
      <c r="G1002" s="306">
        <f t="shared" ca="1" si="446"/>
        <v>3.9489395332133288</v>
      </c>
      <c r="H1002" s="307">
        <f t="shared" ca="1" si="447"/>
        <v>-139.12656109240683</v>
      </c>
      <c r="I1002" s="304">
        <f t="shared" ca="1" si="448"/>
        <v>139.1825927508041</v>
      </c>
      <c r="J1002" s="306">
        <f t="shared" ca="1" si="449"/>
        <v>781.88500774856686</v>
      </c>
      <c r="K1002" s="307">
        <f t="shared" ca="1" si="450"/>
        <v>-0.6605435279810784</v>
      </c>
      <c r="L1002" s="304">
        <f t="shared" ca="1" si="435"/>
        <v>781.88528676509111</v>
      </c>
      <c r="M1002" s="306">
        <f t="shared" ca="1" si="451"/>
        <v>-1.5424201523220715</v>
      </c>
      <c r="N1002" s="304">
        <f t="shared" ca="1" si="452"/>
        <v>-88.374164963980263</v>
      </c>
      <c r="P1002" s="310">
        <f t="shared" ca="1" si="453"/>
        <v>23</v>
      </c>
      <c r="Q1002" s="304">
        <f t="shared" ca="1" si="454"/>
        <v>0</v>
      </c>
      <c r="R1002" s="306">
        <f t="shared" ca="1" si="455"/>
        <v>0</v>
      </c>
      <c r="S1002" s="307">
        <f t="shared" ca="1" si="456"/>
        <v>6.4679999999999849</v>
      </c>
      <c r="T1002" s="304">
        <f t="shared" ca="1" si="436"/>
        <v>63.451079999999855</v>
      </c>
      <c r="U1002" s="311">
        <f t="shared" ca="1" si="437"/>
        <v>0</v>
      </c>
      <c r="V1002" s="306">
        <f t="shared" ca="1" si="438"/>
        <v>1.2250809192547123</v>
      </c>
      <c r="W1002" s="304">
        <f t="shared" ca="1" si="439"/>
        <v>64.639284974103887</v>
      </c>
      <c r="Y1002" s="314" t="str">
        <f t="shared" ca="1" si="457"/>
        <v/>
      </c>
      <c r="Z1002" s="315" t="str">
        <f t="shared" ca="1" si="458"/>
        <v/>
      </c>
      <c r="AA1002" s="316" t="str">
        <f t="shared" ca="1" si="459"/>
        <v/>
      </c>
      <c r="AC1002" s="310" t="e">
        <f t="shared" ca="1" si="460"/>
        <v>#N/A</v>
      </c>
      <c r="AD1002" s="323" t="e">
        <f t="shared" ca="1" si="461"/>
        <v>#N/A</v>
      </c>
      <c r="AE1002" s="324" t="e">
        <f t="shared" ca="1" si="440"/>
        <v>#N/A</v>
      </c>
      <c r="AG1002" s="306">
        <f t="shared" ca="1" si="462"/>
        <v>-0.18764328299892341</v>
      </c>
      <c r="AH1002" s="304">
        <f t="shared" ca="1" si="463"/>
        <v>-9.9936939506505578</v>
      </c>
    </row>
    <row r="1003" spans="1:34" x14ac:dyDescent="0.2">
      <c r="A1003" s="347">
        <f t="shared" ca="1" si="441"/>
        <v>1E-4</v>
      </c>
      <c r="B1003" s="304">
        <f t="shared" ca="1" si="442"/>
        <v>52.802100000000486</v>
      </c>
      <c r="D1003" s="306">
        <f t="shared" ca="1" si="443"/>
        <v>-0.28354506558005144</v>
      </c>
      <c r="E1003" s="307">
        <f t="shared" ca="1" si="444"/>
        <v>0.1796819277891899</v>
      </c>
      <c r="F1003" s="304">
        <f t="shared" ca="1" si="445"/>
        <v>0.33568348095912509</v>
      </c>
      <c r="G1003" s="306">
        <f t="shared" ca="1" si="446"/>
        <v>3.948911178706771</v>
      </c>
      <c r="H1003" s="307">
        <f t="shared" ca="1" si="447"/>
        <v>-139.12654312421407</v>
      </c>
      <c r="I1003" s="304">
        <f t="shared" ca="1" si="448"/>
        <v>139.18257398536323</v>
      </c>
      <c r="J1003" s="306">
        <f t="shared" ca="1" si="449"/>
        <v>781.88500774856686</v>
      </c>
      <c r="K1003" s="307">
        <f t="shared" ca="1" si="450"/>
        <v>-0.67445618319190948</v>
      </c>
      <c r="L1003" s="304">
        <f t="shared" ca="1" si="435"/>
        <v>781.88529864240286</v>
      </c>
      <c r="M1003" s="306">
        <f t="shared" ca="1" si="451"/>
        <v>-1.5424203522989131</v>
      </c>
      <c r="N1003" s="304">
        <f t="shared" ca="1" si="452"/>
        <v>-88.374176421809281</v>
      </c>
      <c r="P1003" s="310">
        <f t="shared" ca="1" si="453"/>
        <v>23</v>
      </c>
      <c r="Q1003" s="304">
        <f t="shared" ca="1" si="454"/>
        <v>0</v>
      </c>
      <c r="R1003" s="306">
        <f t="shared" ca="1" si="455"/>
        <v>0</v>
      </c>
      <c r="S1003" s="307">
        <f t="shared" ca="1" si="456"/>
        <v>6.4679999999999849</v>
      </c>
      <c r="T1003" s="304">
        <f t="shared" ca="1" si="436"/>
        <v>63.451079999999855</v>
      </c>
      <c r="U1003" s="311">
        <f t="shared" ca="1" si="437"/>
        <v>0</v>
      </c>
      <c r="V1003" s="306">
        <f ca="1">Rho_moyen*(20000-Alt_rampe-pos_z)/(20000+Alt_rampe+pos_z)</f>
        <v>1.2250826236687433</v>
      </c>
      <c r="W1003" s="304">
        <f t="shared" ca="1" si="439"/>
        <v>64.639357474431492</v>
      </c>
      <c r="Y1003" s="314" t="str">
        <f t="shared" ca="1" si="457"/>
        <v/>
      </c>
      <c r="Z1003" s="315" t="str">
        <f t="shared" ca="1" si="458"/>
        <v/>
      </c>
      <c r="AA1003" s="316" t="str">
        <f t="shared" ca="1" si="459"/>
        <v/>
      </c>
      <c r="AC1003" s="310" t="e">
        <f t="shared" ca="1" si="460"/>
        <v>#N/A</v>
      </c>
      <c r="AD1003" s="323" t="e">
        <f t="shared" ca="1" si="461"/>
        <v>#N/A</v>
      </c>
      <c r="AE1003" s="324" t="e">
        <f t="shared" ca="1" si="440"/>
        <v>#N/A</v>
      </c>
      <c r="AG1003" s="306">
        <f t="shared" ca="1" si="462"/>
        <v>-0.18765443656767822</v>
      </c>
      <c r="AH1003" s="304">
        <f t="shared" ca="1" si="463"/>
        <v>-9.9937051598800313</v>
      </c>
    </row>
    <row r="1004" spans="1:34" x14ac:dyDescent="0.2">
      <c r="A1004" s="348">
        <f t="shared" ca="1" si="441"/>
        <v>1E-4</v>
      </c>
      <c r="B1004" s="305">
        <f t="shared" ca="1" si="442"/>
        <v>52.802200000000489</v>
      </c>
      <c r="D1004" s="308">
        <f t="shared" ca="1" si="443"/>
        <v>-0.28354338590088324</v>
      </c>
      <c r="E1004" s="309">
        <f t="shared" ca="1" si="444"/>
        <v>0.17969318905870324</v>
      </c>
      <c r="F1004" s="305">
        <f t="shared" ca="1" si="445"/>
        <v>0.33568809017036044</v>
      </c>
      <c r="G1004" s="308">
        <f t="shared" ca="1" si="446"/>
        <v>3.9488828243681811</v>
      </c>
      <c r="H1004" s="309">
        <f t="shared" ca="1" si="447"/>
        <v>-139.12652515489515</v>
      </c>
      <c r="I1004" s="305">
        <f t="shared" ca="1" si="448"/>
        <v>139.18255521880701</v>
      </c>
      <c r="J1004" s="308">
        <f t="shared" ca="1" si="449"/>
        <v>781.88500774856686</v>
      </c>
      <c r="K1004" s="309">
        <f t="shared" ca="1" si="450"/>
        <v>-0.6883688366058649</v>
      </c>
      <c r="L1004" s="305">
        <f t="shared" ca="1" si="435"/>
        <v>781.88531076727088</v>
      </c>
      <c r="M1004" s="308">
        <f t="shared" ca="1" si="451"/>
        <v>-1.5424205522743728</v>
      </c>
      <c r="N1004" s="305">
        <f t="shared" ca="1" si="452"/>
        <v>-88.37418787955913</v>
      </c>
      <c r="P1004" s="312">
        <f t="shared" ca="1" si="453"/>
        <v>23</v>
      </c>
      <c r="Q1004" s="305">
        <f t="shared" ca="1" si="454"/>
        <v>0</v>
      </c>
      <c r="R1004" s="308">
        <f t="shared" ca="1" si="455"/>
        <v>0</v>
      </c>
      <c r="S1004" s="309">
        <f t="shared" ca="1" si="456"/>
        <v>6.4679999999999849</v>
      </c>
      <c r="T1004" s="305">
        <f t="shared" ca="1" si="436"/>
        <v>63.451079999999855</v>
      </c>
      <c r="U1004" s="313">
        <f t="shared" ca="1" si="437"/>
        <v>0</v>
      </c>
      <c r="V1004" s="308">
        <f t="shared" ca="1" si="438"/>
        <v>1.2250843280849257</v>
      </c>
      <c r="W1004" s="305">
        <f ca="1">1/2*Rho*Sref*Cx*vit_xz^2</f>
        <v>64.639429973790456</v>
      </c>
      <c r="Y1004" s="317" t="str">
        <f ca="1">IF(AND(pos_z&lt;=0,K1003&gt;0),"Impact balistique","") &amp; IF(AND(H1005&lt;0,vit_z&gt;=0),"Apogée","") &amp; IF(AND(Poussee=0,Q1003&gt;0),"Fin de propulsion","") &amp; IF(AND(L1005&gt;L_rampe,pos_xz&lt;=L_rampe),"Sortie de rampe","")</f>
        <v/>
      </c>
      <c r="Z1004" s="318" t="str">
        <f t="shared" ca="1" si="458"/>
        <v/>
      </c>
      <c r="AA1004" s="319" t="str">
        <f t="shared" ca="1" si="459"/>
        <v/>
      </c>
      <c r="AC1004" s="312" t="e">
        <f t="shared" ca="1" si="460"/>
        <v>#N/A</v>
      </c>
      <c r="AD1004" s="325" t="e">
        <f t="shared" ca="1" si="461"/>
        <v>#N/A</v>
      </c>
      <c r="AE1004" s="326" t="e">
        <f t="shared" ca="1" si="440"/>
        <v>#N/A</v>
      </c>
      <c r="AG1004" s="308">
        <f t="shared" ca="1" si="462"/>
        <v>-0.18766558998745353</v>
      </c>
      <c r="AH1004" s="305">
        <f t="shared" ca="1" si="463"/>
        <v>-9.9937163689597472</v>
      </c>
    </row>
    <row r="1005" spans="1:34" x14ac:dyDescent="0.2">
      <c r="Y1005" s="303"/>
    </row>
    <row r="1010" spans="12:12" x14ac:dyDescent="0.2">
      <c r="L1010"/>
    </row>
    <row r="1034" spans="5:25" x14ac:dyDescent="0.2">
      <c r="E1034" s="300" t="s">
        <v>255</v>
      </c>
      <c r="J1034" s="301" t="s">
        <v>247</v>
      </c>
      <c r="T1034" s="300" t="s">
        <v>246</v>
      </c>
      <c r="Y1034" s="302" t="s">
        <v>249</v>
      </c>
    </row>
    <row r="1035" spans="5:25" x14ac:dyDescent="0.2">
      <c r="E1035" s="299" t="s">
        <v>259</v>
      </c>
    </row>
    <row r="1036" spans="5:25" x14ac:dyDescent="0.2">
      <c r="E1036" s="299"/>
      <c r="T1036" s="299" t="s">
        <v>252</v>
      </c>
    </row>
    <row r="1037" spans="5:25" x14ac:dyDescent="0.2">
      <c r="E1037" s="299"/>
      <c r="T1037" s="299" t="s">
        <v>256</v>
      </c>
    </row>
    <row r="1038" spans="5:25" x14ac:dyDescent="0.2">
      <c r="E1038" s="299"/>
      <c r="T1038" s="299" t="s">
        <v>257</v>
      </c>
    </row>
    <row r="1039" spans="5:25" x14ac:dyDescent="0.2">
      <c r="E1039" s="299"/>
      <c r="T1039" s="299" t="s">
        <v>263</v>
      </c>
    </row>
    <row r="1040" spans="5:25" x14ac:dyDescent="0.2">
      <c r="E1040" s="299" t="s">
        <v>258</v>
      </c>
      <c r="T1040" s="299" t="s">
        <v>248</v>
      </c>
    </row>
    <row r="1041" spans="5:20" x14ac:dyDescent="0.2">
      <c r="E1041" s="299"/>
      <c r="T1041" s="299" t="s">
        <v>264</v>
      </c>
    </row>
    <row r="1042" spans="5:20" x14ac:dyDescent="0.2">
      <c r="E1042" s="299"/>
      <c r="R1042" s="303"/>
      <c r="T1042" s="299"/>
    </row>
    <row r="1043" spans="5:20" x14ac:dyDescent="0.2">
      <c r="E1043" s="299"/>
    </row>
    <row r="1044" spans="5:20" x14ac:dyDescent="0.2">
      <c r="E1044" s="299"/>
    </row>
    <row r="1045" spans="5:20" x14ac:dyDescent="0.2">
      <c r="E1045" s="299" t="s">
        <v>261</v>
      </c>
      <c r="R1045" s="303"/>
      <c r="T1045" s="299"/>
    </row>
    <row r="1046" spans="5:20" x14ac:dyDescent="0.2">
      <c r="E1046" s="299"/>
    </row>
    <row r="1047" spans="5:20" x14ac:dyDescent="0.2">
      <c r="E1047" s="299"/>
    </row>
    <row r="1048" spans="5:20" x14ac:dyDescent="0.2">
      <c r="E1048" s="299"/>
      <c r="T1048" s="298" t="s">
        <v>254</v>
      </c>
    </row>
    <row r="1049" spans="5:20" x14ac:dyDescent="0.2">
      <c r="E1049" s="299"/>
    </row>
    <row r="1050" spans="5:20" x14ac:dyDescent="0.2">
      <c r="E1050" s="299" t="s">
        <v>262</v>
      </c>
    </row>
    <row r="1053" spans="5:20" x14ac:dyDescent="0.2">
      <c r="T1053" s="298" t="s">
        <v>267</v>
      </c>
    </row>
    <row r="1055" spans="5:20" x14ac:dyDescent="0.2">
      <c r="E1055" s="299" t="s">
        <v>251</v>
      </c>
    </row>
    <row r="1058" spans="5:20" x14ac:dyDescent="0.2">
      <c r="T1058" s="299" t="s">
        <v>268</v>
      </c>
    </row>
    <row r="1060" spans="5:20" x14ac:dyDescent="0.2">
      <c r="E1060" s="299" t="s">
        <v>260</v>
      </c>
    </row>
    <row r="1061" spans="5:20" x14ac:dyDescent="0.2">
      <c r="E1061" s="299"/>
    </row>
    <row r="1062" spans="5:20" x14ac:dyDescent="0.2">
      <c r="E1062" s="299"/>
    </row>
    <row r="1063" spans="5:20" x14ac:dyDescent="0.2">
      <c r="E1063" s="299"/>
    </row>
    <row r="1064" spans="5:20" x14ac:dyDescent="0.2">
      <c r="E1064" s="299"/>
    </row>
    <row r="1065" spans="5:20" x14ac:dyDescent="0.2">
      <c r="E1065" s="299" t="s">
        <v>250</v>
      </c>
    </row>
    <row r="1066" spans="5:20" x14ac:dyDescent="0.2">
      <c r="E1066" s="299"/>
    </row>
    <row r="1067" spans="5:20" x14ac:dyDescent="0.2">
      <c r="E1067" s="299"/>
    </row>
    <row r="1068" spans="5:20" x14ac:dyDescent="0.2">
      <c r="E1068" s="299"/>
    </row>
    <row r="1069" spans="5:20" x14ac:dyDescent="0.2">
      <c r="E1069" s="299"/>
    </row>
    <row r="1070" spans="5:20" x14ac:dyDescent="0.2">
      <c r="E1070" s="299" t="s">
        <v>253</v>
      </c>
    </row>
    <row r="1071" spans="5:20" x14ac:dyDescent="0.2">
      <c r="E1071" s="299"/>
    </row>
    <row r="1072" spans="5:20" x14ac:dyDescent="0.2">
      <c r="E1072" s="299"/>
    </row>
    <row r="1073" spans="5:5" x14ac:dyDescent="0.2">
      <c r="E1073" s="299"/>
    </row>
    <row r="1074" spans="5:5" x14ac:dyDescent="0.2">
      <c r="E1074" s="299"/>
    </row>
    <row r="1075" spans="5:5" x14ac:dyDescent="0.2">
      <c r="E1075" s="299" t="s">
        <v>265</v>
      </c>
    </row>
  </sheetData>
  <sheetProtection password="C6AC" sheet="1"/>
  <mergeCells count="5">
    <mergeCell ref="D1:N1"/>
    <mergeCell ref="P1:W1"/>
    <mergeCell ref="AG1:AH1"/>
    <mergeCell ref="Y2:AA2"/>
    <mergeCell ref="AC1:AE1"/>
  </mergeCells>
  <phoneticPr fontId="8" type="noConversion"/>
  <conditionalFormatting sqref="A4:XFD1004">
    <cfRule type="expression" dxfId="5" priority="7" stopIfTrue="1">
      <formula>OR($Y4="Sortie de rampe",$Z4="Para")</formula>
    </cfRule>
    <cfRule type="expression" dxfId="4" priority="8" stopIfTrue="1">
      <formula>OR($Y4="Fin de propulsion",$Y4="Impact balistique",$AA4="Satellite")</formula>
    </cfRule>
    <cfRule type="expression" dxfId="3" priority="9" stopIfTrue="1">
      <formula>$Y4="Apogée"</formula>
    </cfRule>
  </conditionalFormatting>
  <hyperlinks>
    <hyperlink ref="J1034" r:id="rId1" xr:uid="{00000000-0004-0000-0400-000000000000}"/>
    <hyperlink ref="Y1034" r:id="rId2" xr:uid="{00000000-0004-0000-0400-000001000000}"/>
  </hyperlinks>
  <pageMargins left="0.39370078740157483" right="0.39370078740157483" top="0.39370078740157483" bottom="0.39370078740157483" header="0" footer="0"/>
  <pageSetup paperSize="9" scale="29" firstPageNumber="0" fitToHeight="5" orientation="portrait" horizontalDpi="300" verticalDpi="300" r:id="rId3"/>
  <headerFooter alignWithMargins="0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8">
    <pageSetUpPr fitToPage="1"/>
  </sheetPr>
  <dimension ref="A1:M79"/>
  <sheetViews>
    <sheetView showGridLines="0" workbookViewId="0">
      <selection activeCell="B80" sqref="B80"/>
    </sheetView>
  </sheetViews>
  <sheetFormatPr baseColWidth="10" defaultRowHeight="12.75" x14ac:dyDescent="0.2"/>
  <cols>
    <col min="1" max="1" width="2.140625" customWidth="1"/>
    <col min="2" max="2" width="16.28515625" customWidth="1"/>
    <col min="3" max="4" width="11.42578125" customWidth="1"/>
  </cols>
  <sheetData>
    <row r="1" spans="1:13" x14ac:dyDescent="0.2">
      <c r="A1" s="51"/>
      <c r="B1" s="52"/>
      <c r="C1" s="53"/>
      <c r="D1" s="52"/>
      <c r="E1" s="72"/>
      <c r="F1" s="72"/>
      <c r="G1" s="72"/>
      <c r="H1" s="72"/>
      <c r="I1" s="72"/>
      <c r="J1" s="72"/>
      <c r="K1" s="72"/>
      <c r="L1" s="72"/>
      <c r="M1" s="73"/>
    </row>
    <row r="2" spans="1:13" ht="12.75" customHeight="1" x14ac:dyDescent="0.2">
      <c r="A2" s="56"/>
      <c r="B2" s="2"/>
      <c r="C2" s="625" t="s">
        <v>280</v>
      </c>
      <c r="D2" s="625"/>
      <c r="M2" s="75"/>
    </row>
    <row r="3" spans="1:13" ht="12.75" customHeight="1" x14ac:dyDescent="0.2">
      <c r="A3" s="56"/>
      <c r="B3" s="2"/>
      <c r="C3" s="625"/>
      <c r="D3" s="625"/>
      <c r="M3" s="75"/>
    </row>
    <row r="4" spans="1:13" x14ac:dyDescent="0.2">
      <c r="A4" s="56"/>
      <c r="B4" s="2"/>
      <c r="C4" s="628" t="str">
        <f>IF(Lang="Français","Abaques de performance",IF(Lang="English","Performance charts",""))</f>
        <v>Abaques de performance</v>
      </c>
      <c r="D4" s="628"/>
      <c r="M4" s="75"/>
    </row>
    <row r="5" spans="1:13" x14ac:dyDescent="0.2">
      <c r="A5" s="56"/>
      <c r="B5" s="2"/>
      <c r="C5" s="628" t="str">
        <f>IF(Lang="Français","Calcul analytique simple",IF(Lang="English","Analytical computation",""))</f>
        <v>Calcul analytique simple</v>
      </c>
      <c r="D5" s="628"/>
      <c r="M5" s="75"/>
    </row>
    <row r="6" spans="1:13" x14ac:dyDescent="0.2">
      <c r="A6" s="56"/>
      <c r="B6" s="87"/>
      <c r="C6" s="1"/>
      <c r="D6" s="1"/>
      <c r="M6" s="75"/>
    </row>
    <row r="7" spans="1:13" x14ac:dyDescent="0.2">
      <c r="A7" s="59"/>
      <c r="B7" s="6"/>
      <c r="C7" s="607" t="str">
        <f>IF(Lang="Français","Fusée",IF(Lang="English","Rocket",""))</f>
        <v>Fusée</v>
      </c>
      <c r="D7" s="607"/>
      <c r="M7" s="75"/>
    </row>
    <row r="8" spans="1:13" ht="15.75" x14ac:dyDescent="0.25">
      <c r="A8" s="59"/>
      <c r="B8" s="140" t="str">
        <f>IF(Lang="Français","Nom",IF(Lang="English","Name",""))</f>
        <v>Nom</v>
      </c>
      <c r="C8" s="626" t="str">
        <f>Nom</f>
        <v xml:space="preserve">SP-02 </v>
      </c>
      <c r="D8" s="626"/>
      <c r="M8" s="75"/>
    </row>
    <row r="9" spans="1:13" ht="15.75" x14ac:dyDescent="0.25">
      <c r="A9" s="59"/>
      <c r="B9" s="140" t="s">
        <v>4</v>
      </c>
      <c r="C9" s="626" t="str">
        <f>Club</f>
        <v>Aeroipsa</v>
      </c>
      <c r="D9" s="626"/>
      <c r="M9" s="75"/>
    </row>
    <row r="10" spans="1:13" x14ac:dyDescent="0.2">
      <c r="A10" s="59"/>
      <c r="B10" s="140" t="str">
        <f>IF(Lang="Français","Masse sans propu",IF(Lang="English","Mass without M",""))</f>
        <v>Masse sans propu</v>
      </c>
      <c r="C10" s="654">
        <f>MasseSans</f>
        <v>4.83</v>
      </c>
      <c r="D10" s="654"/>
      <c r="M10" s="75"/>
    </row>
    <row r="11" spans="1:13" x14ac:dyDescent="0.2">
      <c r="A11" s="59"/>
      <c r="B11" s="140" t="str">
        <f>IF(Lang="Français","Masse totale",IF(Lang="English","Total mass",""))</f>
        <v>Masse totale</v>
      </c>
      <c r="C11" s="657" t="str">
        <f ca="1">MassePlein &amp; " kg ±" &amp; MasseSans &amp; " kg"</f>
        <v>8,341 kg ±4,83 kg</v>
      </c>
      <c r="D11" s="657"/>
      <c r="M11" s="75"/>
    </row>
    <row r="12" spans="1:13" x14ac:dyDescent="0.2">
      <c r="A12" s="59"/>
      <c r="B12" s="227" t="str">
        <f>IF(Lang="Français","Propulseur",IF(Lang="English","Motor",""))</f>
        <v>Propulseur</v>
      </c>
      <c r="C12" s="605" t="str">
        <f>Propu</f>
        <v>Orignal (Pro75-3G C)</v>
      </c>
      <c r="D12" s="606"/>
      <c r="M12" s="75"/>
    </row>
    <row r="13" spans="1:13" x14ac:dyDescent="0.2">
      <c r="A13" s="59"/>
      <c r="B13" s="1"/>
      <c r="C13" s="1"/>
      <c r="D13" s="1"/>
      <c r="M13" s="75"/>
    </row>
    <row r="14" spans="1:13" x14ac:dyDescent="0.2">
      <c r="A14" s="74"/>
      <c r="C14" s="607" t="str">
        <f>IF(Lang="Français","Traînée Aérdynamique",IF(Lang="English","Drag",""))</f>
        <v>Traînée Aérdynamique</v>
      </c>
      <c r="D14" s="607"/>
      <c r="M14" s="75"/>
    </row>
    <row r="15" spans="1:13" x14ac:dyDescent="0.2">
      <c r="A15" s="74"/>
      <c r="B15" s="139" t="str">
        <f>IF(Lang="Français","Diamètre Ø",IF(Lang="English","Diameter Ø",""))</f>
        <v>Diamètre Ø</v>
      </c>
      <c r="C15" s="655">
        <f>D_ref</f>
        <v>104</v>
      </c>
      <c r="D15" s="655"/>
      <c r="M15" s="75"/>
    </row>
    <row r="16" spans="1:13" x14ac:dyDescent="0.2">
      <c r="A16" s="74"/>
      <c r="B16" s="140" t="s">
        <v>5</v>
      </c>
      <c r="C16" s="656">
        <f>Cx</f>
        <v>0.5</v>
      </c>
      <c r="D16" s="656"/>
      <c r="M16" s="75"/>
    </row>
    <row r="17" spans="1:13" x14ac:dyDescent="0.2">
      <c r="A17" s="74"/>
      <c r="M17" s="75"/>
    </row>
    <row r="18" spans="1:13" x14ac:dyDescent="0.2">
      <c r="A18" s="74"/>
      <c r="M18" s="75"/>
    </row>
    <row r="19" spans="1:13" x14ac:dyDescent="0.2">
      <c r="A19" s="74"/>
      <c r="M19" s="75"/>
    </row>
    <row r="20" spans="1:13" x14ac:dyDescent="0.2">
      <c r="A20" s="74"/>
      <c r="M20" s="75"/>
    </row>
    <row r="21" spans="1:13" x14ac:dyDescent="0.2">
      <c r="A21" s="74"/>
      <c r="M21" s="75"/>
    </row>
    <row r="22" spans="1:13" x14ac:dyDescent="0.2">
      <c r="A22" s="74"/>
      <c r="M22" s="75"/>
    </row>
    <row r="23" spans="1:13" x14ac:dyDescent="0.2">
      <c r="A23" s="74"/>
      <c r="M23" s="75"/>
    </row>
    <row r="24" spans="1:13" x14ac:dyDescent="0.2">
      <c r="A24" s="74"/>
      <c r="M24" s="75"/>
    </row>
    <row r="25" spans="1:13" x14ac:dyDescent="0.2">
      <c r="A25" s="74"/>
      <c r="M25" s="75"/>
    </row>
    <row r="26" spans="1:13" x14ac:dyDescent="0.2">
      <c r="A26" s="74"/>
      <c r="M26" s="75"/>
    </row>
    <row r="27" spans="1:13" x14ac:dyDescent="0.2">
      <c r="A27" s="74"/>
      <c r="M27" s="75"/>
    </row>
    <row r="28" spans="1:13" x14ac:dyDescent="0.2">
      <c r="A28" s="74"/>
      <c r="M28" s="75"/>
    </row>
    <row r="29" spans="1:13" x14ac:dyDescent="0.2">
      <c r="A29" s="74"/>
      <c r="M29" s="75"/>
    </row>
    <row r="30" spans="1:13" x14ac:dyDescent="0.2">
      <c r="A30" s="74"/>
      <c r="M30" s="75"/>
    </row>
    <row r="31" spans="1:13" x14ac:dyDescent="0.2">
      <c r="A31" s="74"/>
      <c r="M31" s="75"/>
    </row>
    <row r="32" spans="1:13" x14ac:dyDescent="0.2">
      <c r="A32" s="74"/>
      <c r="M32" s="75"/>
    </row>
    <row r="33" spans="1:13" x14ac:dyDescent="0.2">
      <c r="A33" s="74"/>
      <c r="M33" s="75"/>
    </row>
    <row r="34" spans="1:13" x14ac:dyDescent="0.2">
      <c r="A34" s="74"/>
      <c r="M34" s="75"/>
    </row>
    <row r="35" spans="1:13" ht="13.5" thickBot="1" x14ac:dyDescent="0.25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9"/>
    </row>
    <row r="39" spans="1:13" x14ac:dyDescent="0.2">
      <c r="B39" s="419" t="s">
        <v>62</v>
      </c>
      <c r="C39" s="170" t="s">
        <v>284</v>
      </c>
      <c r="D39" s="134" t="s">
        <v>281</v>
      </c>
      <c r="E39" s="134" t="s">
        <v>285</v>
      </c>
      <c r="F39" s="134" t="s">
        <v>286</v>
      </c>
      <c r="G39" s="134" t="s">
        <v>13</v>
      </c>
      <c r="H39" s="134" t="s">
        <v>282</v>
      </c>
      <c r="I39" s="134" t="s">
        <v>283</v>
      </c>
      <c r="J39" s="134" t="s">
        <v>298</v>
      </c>
      <c r="K39" s="134" t="s">
        <v>299</v>
      </c>
      <c r="L39" s="134" t="s">
        <v>301</v>
      </c>
      <c r="M39" s="134" t="s">
        <v>289</v>
      </c>
    </row>
    <row r="40" spans="1:13" x14ac:dyDescent="0.2">
      <c r="B40" s="420" t="s">
        <v>290</v>
      </c>
      <c r="C40" s="170" t="s">
        <v>291</v>
      </c>
      <c r="D40" s="134" t="s">
        <v>292</v>
      </c>
      <c r="E40" s="134" t="s">
        <v>293</v>
      </c>
      <c r="F40" s="134" t="s">
        <v>294</v>
      </c>
      <c r="G40" s="134" t="s">
        <v>295</v>
      </c>
      <c r="H40" s="134" t="s">
        <v>296</v>
      </c>
      <c r="I40" s="134" t="s">
        <v>297</v>
      </c>
      <c r="J40" s="134" t="s">
        <v>287</v>
      </c>
      <c r="K40" s="134" t="s">
        <v>288</v>
      </c>
      <c r="L40" s="134"/>
      <c r="M40" s="134"/>
    </row>
    <row r="41" spans="1:13" x14ac:dyDescent="0.2">
      <c r="B41" s="425">
        <f t="shared" ref="B41:B49" ca="1" si="0">MAX(D_ref*0.5, Diam_propu)</f>
        <v>75</v>
      </c>
      <c r="C41" s="403">
        <f t="shared" ref="C41:C67" ca="1" si="1">1/2*Rho_moyen*PI()*D_var^2/4*Cx/10^6</f>
        <v>1.3529710549151357E-3</v>
      </c>
      <c r="D41" s="400">
        <f ca="1">MpropuPlein+0*MasseSans</f>
        <v>3.5110000000000001</v>
      </c>
      <c r="E41" s="400">
        <f t="shared" ref="E41:E67" ca="1" si="2">m_var - 0.5*m_poudre</f>
        <v>2.5745</v>
      </c>
      <c r="F41" s="400">
        <f t="shared" ref="F41:F67" ca="1" si="3">m_var - m_poudre</f>
        <v>1.6379999999999999</v>
      </c>
      <c r="G41" s="407">
        <f t="shared" ref="G41:G67" ca="1" si="4">MAX(0, (I_total/Temps_fin_propu)/m_prop-g)</f>
        <v>300.51733100610352</v>
      </c>
      <c r="H41" s="406">
        <f t="shared" ref="H41:H67" ca="1" si="5">Q_var/m_prop</f>
        <v>5.2552769660716087E-4</v>
      </c>
      <c r="I41" s="403">
        <f t="shared" ref="I41:I67" ca="1" si="6">Q_var/m_bal</f>
        <v>8.2598965501534541E-4</v>
      </c>
      <c r="J41" s="403">
        <f t="shared" ref="J41:J67" ca="1" si="7">1/(2*b_prop)*LN(  ((EXP(2*SQRT(a_prop*b_prop)*Temps_fin_propu)+1)^2)  /  (((1+1)^2)*EXP(2*SQRT(a_prop*b_prop)*Temps_fin_propu)))</f>
        <v>2265.6407110585924</v>
      </c>
      <c r="K41" s="410">
        <f t="shared" ref="K41:K67" ca="1" si="8">SQRT(a_prop/b_prop)  *  (EXP(2*SQRT(a_prop*b_prop)*Temps_fin_propu)-1)/(EXP(2*SQRT(a_prop*b_prop)*Temps_fin_propu)+1)</f>
        <v>720.40587937186433</v>
      </c>
      <c r="L41" s="413">
        <f t="shared" ref="L41:L67" ca="1" si="9">alt_prop + 1/(2*b_bal) * LN(1+b_bal/g*V_prop^2)</f>
        <v>4565.8665325686015</v>
      </c>
      <c r="M41" s="416">
        <f t="shared" ref="M41:M67" ca="1" si="10">Temps_fin_propu + ATAN(SQRT(b_bal/g)*V_prop)/SQRT(b_bal*g)</f>
        <v>20.462214926687707</v>
      </c>
    </row>
    <row r="42" spans="1:13" x14ac:dyDescent="0.2">
      <c r="B42" s="426">
        <f t="shared" ca="1" si="0"/>
        <v>75</v>
      </c>
      <c r="C42" s="404">
        <f t="shared" ca="1" si="1"/>
        <v>1.3529710549151357E-3</v>
      </c>
      <c r="D42" s="401">
        <f ca="1">MpropuPlein+0.25*MasseSans</f>
        <v>4.7185000000000006</v>
      </c>
      <c r="E42" s="401">
        <f t="shared" ca="1" si="2"/>
        <v>3.7820000000000005</v>
      </c>
      <c r="F42" s="401">
        <f t="shared" ca="1" si="3"/>
        <v>2.8455000000000004</v>
      </c>
      <c r="G42" s="408">
        <f t="shared" ca="1" si="4"/>
        <v>201.43741239429229</v>
      </c>
      <c r="H42" s="404">
        <f t="shared" ca="1" si="5"/>
        <v>3.5773957031071801E-4</v>
      </c>
      <c r="I42" s="404">
        <f t="shared" ca="1" si="6"/>
        <v>4.7547743978743122E-4</v>
      </c>
      <c r="J42" s="404">
        <f t="shared" ca="1" si="7"/>
        <v>1792.1058156439528</v>
      </c>
      <c r="K42" s="411">
        <f t="shared" ca="1" si="8"/>
        <v>637.86511185105155</v>
      </c>
      <c r="L42" s="414">
        <f t="shared" ca="1" si="9"/>
        <v>4979.5599344711782</v>
      </c>
      <c r="M42" s="417">
        <f t="shared" ca="1" si="10"/>
        <v>24.436532842736451</v>
      </c>
    </row>
    <row r="43" spans="1:13" x14ac:dyDescent="0.2">
      <c r="B43" s="426">
        <f t="shared" ca="1" si="0"/>
        <v>75</v>
      </c>
      <c r="C43" s="404">
        <f t="shared" ca="1" si="1"/>
        <v>1.3529710549151357E-3</v>
      </c>
      <c r="D43" s="401">
        <f ca="1">MpropuPlein+0.5*MasseSans</f>
        <v>5.9260000000000002</v>
      </c>
      <c r="E43" s="401">
        <f t="shared" ca="1" si="2"/>
        <v>4.9894999999999996</v>
      </c>
      <c r="F43" s="401">
        <f t="shared" ca="1" si="3"/>
        <v>4.0529999999999999</v>
      </c>
      <c r="G43" s="408">
        <f t="shared" ca="1" si="4"/>
        <v>150.31380272075631</v>
      </c>
      <c r="H43" s="404">
        <f t="shared" ca="1" si="5"/>
        <v>2.7116365465780859E-4</v>
      </c>
      <c r="I43" s="404">
        <f t="shared" ca="1" si="6"/>
        <v>3.3381965332226392E-4</v>
      </c>
      <c r="J43" s="404">
        <f t="shared" ca="1" si="7"/>
        <v>1447.2173855226022</v>
      </c>
      <c r="K43" s="411">
        <f t="shared" ca="1" si="8"/>
        <v>549.04869109886272</v>
      </c>
      <c r="L43" s="414">
        <f t="shared" ca="1" si="9"/>
        <v>5073.551234990623</v>
      </c>
      <c r="M43" s="417">
        <f t="shared" ca="1" si="10"/>
        <v>26.84074115262451</v>
      </c>
    </row>
    <row r="44" spans="1:13" x14ac:dyDescent="0.2">
      <c r="B44" s="426">
        <f t="shared" ca="1" si="0"/>
        <v>75</v>
      </c>
      <c r="C44" s="404">
        <f t="shared" ca="1" si="1"/>
        <v>1.3529710549151357E-3</v>
      </c>
      <c r="D44" s="401">
        <f ca="1">MpropuPlein+0.75*MasseSans</f>
        <v>7.1334999999999997</v>
      </c>
      <c r="E44" s="401">
        <f t="shared" ca="1" si="2"/>
        <v>6.1969999999999992</v>
      </c>
      <c r="F44" s="401">
        <f t="shared" ca="1" si="3"/>
        <v>5.2604999999999995</v>
      </c>
      <c r="G44" s="408">
        <f t="shared" ca="1" si="4"/>
        <v>119.11330380429459</v>
      </c>
      <c r="H44" s="404">
        <f t="shared" ca="1" si="5"/>
        <v>2.1832677987980247E-4</v>
      </c>
      <c r="I44" s="404">
        <f t="shared" ca="1" si="6"/>
        <v>2.5719438359759258E-4</v>
      </c>
      <c r="J44" s="404">
        <f t="shared" ca="1" si="7"/>
        <v>1196.6629815685435</v>
      </c>
      <c r="K44" s="411">
        <f t="shared" ca="1" si="8"/>
        <v>471.20855149631905</v>
      </c>
      <c r="L44" s="414">
        <f t="shared" ca="1" si="9"/>
        <v>4929.3412029104202</v>
      </c>
      <c r="M44" s="417">
        <f t="shared" ca="1" si="10"/>
        <v>28.129628029271313</v>
      </c>
    </row>
    <row r="45" spans="1:13" x14ac:dyDescent="0.2">
      <c r="B45" s="426">
        <f t="shared" ca="1" si="0"/>
        <v>75</v>
      </c>
      <c r="C45" s="404">
        <f t="shared" ca="1" si="1"/>
        <v>1.3529710549151357E-3</v>
      </c>
      <c r="D45" s="401">
        <f ca="1">MpropuPlein+1*MasseSans</f>
        <v>8.3410000000000011</v>
      </c>
      <c r="E45" s="401">
        <f t="shared" ca="1" si="2"/>
        <v>7.4045000000000005</v>
      </c>
      <c r="F45" s="401">
        <f t="shared" ca="1" si="3"/>
        <v>6.4680000000000009</v>
      </c>
      <c r="G45" s="408">
        <f t="shared" ca="1" si="4"/>
        <v>98.088941680763526</v>
      </c>
      <c r="H45" s="404">
        <f t="shared" ca="1" si="5"/>
        <v>1.827228111169067E-4</v>
      </c>
      <c r="I45" s="404">
        <f t="shared" ca="1" si="6"/>
        <v>2.0917919834804197E-4</v>
      </c>
      <c r="J45" s="404">
        <f t="shared" ca="1" si="7"/>
        <v>1010.4900232123413</v>
      </c>
      <c r="K45" s="411">
        <f t="shared" ca="1" si="8"/>
        <v>407.12660690923752</v>
      </c>
      <c r="L45" s="414">
        <f t="shared" ca="1" si="9"/>
        <v>4623.8506917730519</v>
      </c>
      <c r="M45" s="417">
        <f t="shared" ca="1" si="10"/>
        <v>28.564141403134315</v>
      </c>
    </row>
    <row r="46" spans="1:13" x14ac:dyDescent="0.2">
      <c r="B46" s="426">
        <f t="shared" ca="1" si="0"/>
        <v>75</v>
      </c>
      <c r="C46" s="404">
        <f t="shared" ca="1" si="1"/>
        <v>1.3529710549151357E-3</v>
      </c>
      <c r="D46" s="401">
        <f ca="1">MpropuPlein+1.25*MasseSans</f>
        <v>9.5485000000000007</v>
      </c>
      <c r="E46" s="401">
        <f t="shared" ca="1" si="2"/>
        <v>8.6120000000000001</v>
      </c>
      <c r="F46" s="401">
        <f t="shared" ca="1" si="3"/>
        <v>7.6755000000000004</v>
      </c>
      <c r="G46" s="408">
        <f t="shared" ca="1" si="4"/>
        <v>82.960287235858516</v>
      </c>
      <c r="H46" s="404">
        <f t="shared" ca="1" si="5"/>
        <v>1.5710300219636968E-4</v>
      </c>
      <c r="I46" s="404">
        <f t="shared" ca="1" si="6"/>
        <v>1.7627139012639382E-4</v>
      </c>
      <c r="J46" s="404">
        <f t="shared" ca="1" si="7"/>
        <v>868.31976877753982</v>
      </c>
      <c r="K46" s="411">
        <f t="shared" ca="1" si="8"/>
        <v>355.09189399212386</v>
      </c>
      <c r="L46" s="414">
        <f t="shared" ca="1" si="9"/>
        <v>4225.2492424414777</v>
      </c>
      <c r="M46" s="417">
        <f t="shared" ca="1" si="10"/>
        <v>28.35244480468948</v>
      </c>
    </row>
    <row r="47" spans="1:13" x14ac:dyDescent="0.2">
      <c r="B47" s="426">
        <f t="shared" ca="1" si="0"/>
        <v>75</v>
      </c>
      <c r="C47" s="404">
        <f t="shared" ca="1" si="1"/>
        <v>1.3529710549151357E-3</v>
      </c>
      <c r="D47" s="401">
        <f ca="1">MpropuPlein+1.5*MasseSans</f>
        <v>10.756</v>
      </c>
      <c r="E47" s="401">
        <f t="shared" ca="1" si="2"/>
        <v>9.8194999999999997</v>
      </c>
      <c r="F47" s="401">
        <f t="shared" ca="1" si="3"/>
        <v>8.8829999999999991</v>
      </c>
      <c r="G47" s="408">
        <f t="shared" ca="1" si="4"/>
        <v>71.552362001651161</v>
      </c>
      <c r="H47" s="404">
        <f t="shared" ca="1" si="5"/>
        <v>1.377841086526947E-4</v>
      </c>
      <c r="I47" s="404">
        <f t="shared" ca="1" si="6"/>
        <v>1.5231014915176582E-4</v>
      </c>
      <c r="J47" s="404">
        <f t="shared" ca="1" si="7"/>
        <v>756.90852329008612</v>
      </c>
      <c r="K47" s="411">
        <f t="shared" ca="1" si="8"/>
        <v>312.67696797827983</v>
      </c>
      <c r="L47" s="414">
        <f t="shared" ca="1" si="9"/>
        <v>3788.3446024834839</v>
      </c>
      <c r="M47" s="417">
        <f t="shared" ca="1" si="10"/>
        <v>27.678311367761143</v>
      </c>
    </row>
    <row r="48" spans="1:13" x14ac:dyDescent="0.2">
      <c r="B48" s="426">
        <f t="shared" ca="1" si="0"/>
        <v>75</v>
      </c>
      <c r="C48" s="404">
        <f t="shared" ca="1" si="1"/>
        <v>1.3529710549151357E-3</v>
      </c>
      <c r="D48" s="401">
        <f ca="1">MpropuPlein+1.75*MasseSans</f>
        <v>11.9635</v>
      </c>
      <c r="E48" s="401">
        <f t="shared" ca="1" si="2"/>
        <v>11.026999999999999</v>
      </c>
      <c r="F48" s="401">
        <f t="shared" ca="1" si="3"/>
        <v>10.090499999999999</v>
      </c>
      <c r="G48" s="408">
        <f t="shared" ca="1" si="4"/>
        <v>62.642862399130635</v>
      </c>
      <c r="H48" s="404">
        <f t="shared" ca="1" si="5"/>
        <v>1.2269620521584618E-4</v>
      </c>
      <c r="I48" s="404">
        <f t="shared" ca="1" si="6"/>
        <v>1.3408364847283444E-4</v>
      </c>
      <c r="J48" s="404">
        <f t="shared" ca="1" si="7"/>
        <v>667.58909445477821</v>
      </c>
      <c r="K48" s="411">
        <f t="shared" ca="1" si="8"/>
        <v>277.7547570099245</v>
      </c>
      <c r="L48" s="414">
        <f t="shared" ca="1" si="9"/>
        <v>3352.5275961881584</v>
      </c>
      <c r="M48" s="417">
        <f t="shared" ca="1" si="10"/>
        <v>26.700950638082315</v>
      </c>
    </row>
    <row r="49" spans="2:13" x14ac:dyDescent="0.2">
      <c r="B49" s="427">
        <f t="shared" ca="1" si="0"/>
        <v>75</v>
      </c>
      <c r="C49" s="405">
        <f t="shared" ca="1" si="1"/>
        <v>1.3529710549151357E-3</v>
      </c>
      <c r="D49" s="402">
        <f ca="1">MpropuPlein+2*MasseSans</f>
        <v>13.170999999999999</v>
      </c>
      <c r="E49" s="402">
        <f t="shared" ca="1" si="2"/>
        <v>12.234499999999999</v>
      </c>
      <c r="F49" s="402">
        <f t="shared" ca="1" si="3"/>
        <v>11.297999999999998</v>
      </c>
      <c r="G49" s="409">
        <f t="shared" ca="1" si="4"/>
        <v>55.492032259202546</v>
      </c>
      <c r="H49" s="405">
        <f t="shared" ca="1" si="5"/>
        <v>1.1058654255712419E-4</v>
      </c>
      <c r="I49" s="405">
        <f t="shared" ca="1" si="6"/>
        <v>1.1975314700965975E-4</v>
      </c>
      <c r="J49" s="405">
        <f t="shared" ca="1" si="7"/>
        <v>594.55982465701379</v>
      </c>
      <c r="K49" s="412">
        <f t="shared" ca="1" si="8"/>
        <v>248.66062967107226</v>
      </c>
      <c r="L49" s="415">
        <f t="shared" ca="1" si="9"/>
        <v>2942.5356307709699</v>
      </c>
      <c r="M49" s="418">
        <f t="shared" ca="1" si="10"/>
        <v>25.549511212619315</v>
      </c>
    </row>
    <row r="50" spans="2:13" x14ac:dyDescent="0.2">
      <c r="B50" s="425">
        <f t="shared" ref="B50:B58" si="11">D_ref</f>
        <v>104</v>
      </c>
      <c r="C50" s="403">
        <f t="shared" si="1"/>
        <v>2.601552876437708E-3</v>
      </c>
      <c r="D50" s="400">
        <f ca="1">MpropuPlein+0*MasseSans</f>
        <v>3.5110000000000001</v>
      </c>
      <c r="E50" s="400">
        <f t="shared" ca="1" si="2"/>
        <v>2.5745</v>
      </c>
      <c r="F50" s="400">
        <f t="shared" ca="1" si="3"/>
        <v>1.6379999999999999</v>
      </c>
      <c r="G50" s="407">
        <f t="shared" ca="1" si="4"/>
        <v>300.51733100610352</v>
      </c>
      <c r="H50" s="403">
        <f t="shared" ca="1" si="5"/>
        <v>1.0105080118227648E-3</v>
      </c>
      <c r="I50" s="403">
        <f t="shared" ca="1" si="6"/>
        <v>1.5882496193148402E-3</v>
      </c>
      <c r="J50" s="403">
        <f t="shared" ca="1" si="7"/>
        <v>1871.9144564516239</v>
      </c>
      <c r="K50" s="410">
        <f t="shared" ca="1" si="8"/>
        <v>539.09786790963688</v>
      </c>
      <c r="L50" s="413">
        <f t="shared" ca="1" si="9"/>
        <v>3090.9606477392999</v>
      </c>
      <c r="M50" s="416">
        <f t="shared" ca="1" si="10"/>
        <v>16.104459543837429</v>
      </c>
    </row>
    <row r="51" spans="2:13" x14ac:dyDescent="0.2">
      <c r="B51" s="426">
        <f t="shared" si="11"/>
        <v>104</v>
      </c>
      <c r="C51" s="404">
        <f t="shared" si="1"/>
        <v>2.601552876437708E-3</v>
      </c>
      <c r="D51" s="401">
        <f ca="1">MpropuPlein+0.25*MasseSans</f>
        <v>4.7185000000000006</v>
      </c>
      <c r="E51" s="401">
        <f t="shared" ca="1" si="2"/>
        <v>3.7820000000000005</v>
      </c>
      <c r="F51" s="401">
        <f t="shared" ca="1" si="3"/>
        <v>2.8455000000000004</v>
      </c>
      <c r="G51" s="408">
        <f t="shared" ca="1" si="4"/>
        <v>201.43741239429229</v>
      </c>
      <c r="H51" s="404">
        <f t="shared" ca="1" si="5"/>
        <v>6.8787754532990682E-4</v>
      </c>
      <c r="I51" s="404">
        <f t="shared" ca="1" si="6"/>
        <v>9.1426915355392999E-4</v>
      </c>
      <c r="J51" s="404">
        <f t="shared" ca="1" si="7"/>
        <v>1568.8314482893556</v>
      </c>
      <c r="K51" s="411">
        <f t="shared" ca="1" si="8"/>
        <v>508.93107553980553</v>
      </c>
      <c r="L51" s="414">
        <f t="shared" ca="1" si="9"/>
        <v>3332.2228132016371</v>
      </c>
      <c r="M51" s="417">
        <f t="shared" ca="1" si="10"/>
        <v>19.146064582586625</v>
      </c>
    </row>
    <row r="52" spans="2:13" x14ac:dyDescent="0.2">
      <c r="B52" s="426">
        <f t="shared" si="11"/>
        <v>104</v>
      </c>
      <c r="C52" s="404">
        <f t="shared" si="1"/>
        <v>2.601552876437708E-3</v>
      </c>
      <c r="D52" s="401">
        <f ca="1">MpropuPlein+0.5*MasseSans</f>
        <v>5.9260000000000002</v>
      </c>
      <c r="E52" s="401">
        <f t="shared" ca="1" si="2"/>
        <v>4.9894999999999996</v>
      </c>
      <c r="F52" s="401">
        <f t="shared" ca="1" si="3"/>
        <v>4.0529999999999999</v>
      </c>
      <c r="G52" s="408">
        <f t="shared" ca="1" si="4"/>
        <v>150.31380272075631</v>
      </c>
      <c r="H52" s="404">
        <f t="shared" ca="1" si="5"/>
        <v>5.2140552689401904E-4</v>
      </c>
      <c r="I52" s="404">
        <f t="shared" ca="1" si="6"/>
        <v>6.4188326583708563E-4</v>
      </c>
      <c r="J52" s="404">
        <f t="shared" ca="1" si="7"/>
        <v>1318.1461312465863</v>
      </c>
      <c r="K52" s="411">
        <f t="shared" ca="1" si="8"/>
        <v>464.0742528628312</v>
      </c>
      <c r="L52" s="414">
        <f t="shared" ca="1" si="9"/>
        <v>3432.3482536806018</v>
      </c>
      <c r="M52" s="417">
        <f t="shared" ca="1" si="10"/>
        <v>21.194235173779788</v>
      </c>
    </row>
    <row r="53" spans="2:13" x14ac:dyDescent="0.2">
      <c r="B53" s="426">
        <f t="shared" si="11"/>
        <v>104</v>
      </c>
      <c r="C53" s="404">
        <f t="shared" si="1"/>
        <v>2.601552876437708E-3</v>
      </c>
      <c r="D53" s="401">
        <f ca="1">MpropuPlein+0.75*MasseSans</f>
        <v>7.1334999999999997</v>
      </c>
      <c r="E53" s="401">
        <f t="shared" ca="1" si="2"/>
        <v>6.1969999999999992</v>
      </c>
      <c r="F53" s="401">
        <f t="shared" ca="1" si="3"/>
        <v>5.2604999999999995</v>
      </c>
      <c r="G53" s="408">
        <f t="shared" ca="1" si="4"/>
        <v>119.11330380429459</v>
      </c>
      <c r="H53" s="404">
        <f t="shared" ca="1" si="5"/>
        <v>4.1980843576532327E-4</v>
      </c>
      <c r="I53" s="404">
        <f t="shared" ca="1" si="6"/>
        <v>4.945447916429442E-4</v>
      </c>
      <c r="J53" s="404">
        <f t="shared" ca="1" si="7"/>
        <v>1118.7521882352478</v>
      </c>
      <c r="K53" s="411">
        <f t="shared" ca="1" si="8"/>
        <v>415.72065287408253</v>
      </c>
      <c r="L53" s="414">
        <f t="shared" ca="1" si="9"/>
        <v>3417.2372095604987</v>
      </c>
      <c r="M53" s="417">
        <f t="shared" ca="1" si="10"/>
        <v>22.542121743604781</v>
      </c>
    </row>
    <row r="54" spans="2:13" x14ac:dyDescent="0.2">
      <c r="B54" s="426">
        <f t="shared" si="11"/>
        <v>104</v>
      </c>
      <c r="C54" s="404">
        <f t="shared" si="1"/>
        <v>2.601552876437708E-3</v>
      </c>
      <c r="D54" s="401">
        <f ca="1">MpropuPlein+1*MasseSans</f>
        <v>8.3410000000000011</v>
      </c>
      <c r="E54" s="401">
        <f t="shared" ca="1" si="2"/>
        <v>7.4045000000000005</v>
      </c>
      <c r="F54" s="401">
        <f t="shared" ca="1" si="3"/>
        <v>6.4680000000000009</v>
      </c>
      <c r="G54" s="408">
        <f t="shared" ca="1" si="4"/>
        <v>98.088941680763526</v>
      </c>
      <c r="H54" s="404">
        <f t="shared" ca="1" si="5"/>
        <v>3.5134754222941562E-4</v>
      </c>
      <c r="I54" s="404">
        <f t="shared" ca="1" si="6"/>
        <v>4.0221905943687501E-4</v>
      </c>
      <c r="J54" s="404">
        <f t="shared" ca="1" si="7"/>
        <v>961.23861230004945</v>
      </c>
      <c r="K54" s="411">
        <f t="shared" ca="1" si="8"/>
        <v>370.26798125795727</v>
      </c>
      <c r="L54" s="414">
        <f t="shared" ca="1" si="9"/>
        <v>3311.0409807494061</v>
      </c>
      <c r="M54" s="417">
        <f t="shared" ca="1" si="10"/>
        <v>23.332371335533246</v>
      </c>
    </row>
    <row r="55" spans="2:13" x14ac:dyDescent="0.2">
      <c r="B55" s="426">
        <f t="shared" si="11"/>
        <v>104</v>
      </c>
      <c r="C55" s="404">
        <f t="shared" si="1"/>
        <v>2.601552876437708E-3</v>
      </c>
      <c r="D55" s="401">
        <f ca="1">MpropuPlein+1.25*MasseSans</f>
        <v>9.5485000000000007</v>
      </c>
      <c r="E55" s="401">
        <f t="shared" ca="1" si="2"/>
        <v>8.6120000000000001</v>
      </c>
      <c r="F55" s="401">
        <f t="shared" ca="1" si="3"/>
        <v>7.6755000000000004</v>
      </c>
      <c r="G55" s="408">
        <f t="shared" ca="1" si="4"/>
        <v>82.960287235858516</v>
      </c>
      <c r="H55" s="404">
        <f t="shared" ca="1" si="5"/>
        <v>3.020846349788328E-4</v>
      </c>
      <c r="I55" s="404">
        <f t="shared" ca="1" si="6"/>
        <v>3.3894246321903562E-4</v>
      </c>
      <c r="J55" s="404">
        <f t="shared" ca="1" si="7"/>
        <v>835.84415861790546</v>
      </c>
      <c r="K55" s="411">
        <f t="shared" ca="1" si="8"/>
        <v>329.97914313122328</v>
      </c>
      <c r="L55" s="414">
        <f t="shared" ca="1" si="9"/>
        <v>3138.1347015495612</v>
      </c>
      <c r="M55" s="417">
        <f t="shared" ca="1" si="10"/>
        <v>23.665696922637014</v>
      </c>
    </row>
    <row r="56" spans="2:13" x14ac:dyDescent="0.2">
      <c r="B56" s="426">
        <f t="shared" si="11"/>
        <v>104</v>
      </c>
      <c r="C56" s="404">
        <f t="shared" si="1"/>
        <v>2.601552876437708E-3</v>
      </c>
      <c r="D56" s="401">
        <f ca="1">MpropuPlein+1.5*MasseSans</f>
        <v>10.756</v>
      </c>
      <c r="E56" s="401">
        <f t="shared" ca="1" si="2"/>
        <v>9.8194999999999997</v>
      </c>
      <c r="F56" s="401">
        <f t="shared" ca="1" si="3"/>
        <v>8.8829999999999991</v>
      </c>
      <c r="G56" s="408">
        <f t="shared" ca="1" si="4"/>
        <v>71.552362001651161</v>
      </c>
      <c r="H56" s="404">
        <f t="shared" ca="1" si="5"/>
        <v>2.6493740785556375E-4</v>
      </c>
      <c r="I56" s="404">
        <f t="shared" ca="1" si="6"/>
        <v>2.9286872412897765E-4</v>
      </c>
      <c r="J56" s="404">
        <f t="shared" ca="1" si="7"/>
        <v>734.69636528569015</v>
      </c>
      <c r="K56" s="411">
        <f t="shared" ca="1" si="8"/>
        <v>295.10938570510922</v>
      </c>
      <c r="L56" s="414">
        <f t="shared" ca="1" si="9"/>
        <v>2921.5606932092228</v>
      </c>
      <c r="M56" s="417">
        <f t="shared" ca="1" si="10"/>
        <v>23.628860494009764</v>
      </c>
    </row>
    <row r="57" spans="2:13" x14ac:dyDescent="0.2">
      <c r="B57" s="426">
        <f t="shared" si="11"/>
        <v>104</v>
      </c>
      <c r="C57" s="404">
        <f t="shared" si="1"/>
        <v>2.601552876437708E-3</v>
      </c>
      <c r="D57" s="401">
        <f ca="1">MpropuPlein+1.75*MasseSans</f>
        <v>11.9635</v>
      </c>
      <c r="E57" s="401">
        <f t="shared" ca="1" si="2"/>
        <v>11.026999999999999</v>
      </c>
      <c r="F57" s="401">
        <f t="shared" ca="1" si="3"/>
        <v>10.090499999999999</v>
      </c>
      <c r="G57" s="408">
        <f t="shared" ca="1" si="4"/>
        <v>62.642862399130635</v>
      </c>
      <c r="H57" s="404">
        <f t="shared" ca="1" si="5"/>
        <v>2.3592571655370529E-4</v>
      </c>
      <c r="I57" s="404">
        <f t="shared" ca="1" si="6"/>
        <v>2.578219985568315E-4</v>
      </c>
      <c r="J57" s="404">
        <f t="shared" ca="1" si="7"/>
        <v>651.91484510503903</v>
      </c>
      <c r="K57" s="411">
        <f t="shared" ca="1" si="8"/>
        <v>265.15735425100416</v>
      </c>
      <c r="L57" s="414">
        <f t="shared" ca="1" si="9"/>
        <v>2681.5162440913773</v>
      </c>
      <c r="M57" s="417">
        <f t="shared" ca="1" si="10"/>
        <v>23.30229811789911</v>
      </c>
    </row>
    <row r="58" spans="2:13" x14ac:dyDescent="0.2">
      <c r="B58" s="427">
        <f t="shared" si="11"/>
        <v>104</v>
      </c>
      <c r="C58" s="405">
        <f t="shared" si="1"/>
        <v>2.601552876437708E-3</v>
      </c>
      <c r="D58" s="402">
        <f ca="1">MpropuPlein+2*MasseSans</f>
        <v>13.170999999999999</v>
      </c>
      <c r="E58" s="402">
        <f t="shared" ca="1" si="2"/>
        <v>12.234499999999999</v>
      </c>
      <c r="F58" s="402">
        <f t="shared" ca="1" si="3"/>
        <v>11.297999999999998</v>
      </c>
      <c r="G58" s="409">
        <f t="shared" ca="1" si="4"/>
        <v>55.492032259202546</v>
      </c>
      <c r="H58" s="405">
        <f t="shared" ca="1" si="5"/>
        <v>2.1264071898628535E-4</v>
      </c>
      <c r="I58" s="405">
        <f t="shared" ca="1" si="6"/>
        <v>2.302666734322631E-4</v>
      </c>
      <c r="J58" s="405">
        <f t="shared" ca="1" si="7"/>
        <v>583.20136169316061</v>
      </c>
      <c r="K58" s="412">
        <f t="shared" ca="1" si="8"/>
        <v>239.42358987879973</v>
      </c>
      <c r="L58" s="415">
        <f t="shared" ca="1" si="9"/>
        <v>2434.3480609151143</v>
      </c>
      <c r="M58" s="418">
        <f t="shared" ca="1" si="10"/>
        <v>22.760390428196779</v>
      </c>
    </row>
    <row r="59" spans="2:13" x14ac:dyDescent="0.2">
      <c r="B59" s="425">
        <f t="shared" ref="B59:B67" si="12">D_ref*1.5</f>
        <v>156</v>
      </c>
      <c r="C59" s="403">
        <f t="shared" si="1"/>
        <v>5.8534939719848429E-3</v>
      </c>
      <c r="D59" s="400">
        <f ca="1">MpropuPlein+0*MasseSans</f>
        <v>3.5110000000000001</v>
      </c>
      <c r="E59" s="400">
        <f t="shared" ca="1" si="2"/>
        <v>2.5745</v>
      </c>
      <c r="F59" s="400">
        <f t="shared" ca="1" si="3"/>
        <v>1.6379999999999999</v>
      </c>
      <c r="G59" s="407">
        <f t="shared" ca="1" si="4"/>
        <v>300.51733100610352</v>
      </c>
      <c r="H59" s="403">
        <f t="shared" ca="1" si="5"/>
        <v>2.2736430266012209E-3</v>
      </c>
      <c r="I59" s="403">
        <f t="shared" ca="1" si="6"/>
        <v>3.5735616434583901E-3</v>
      </c>
      <c r="J59" s="403">
        <f t="shared" ca="1" si="7"/>
        <v>1396.7810814027123</v>
      </c>
      <c r="K59" s="410">
        <f t="shared" ca="1" si="8"/>
        <v>363.24076561679539</v>
      </c>
      <c r="L59" s="413">
        <f t="shared" ca="1" si="9"/>
        <v>1941.4938071543661</v>
      </c>
      <c r="M59" s="416">
        <f t="shared" ca="1" si="10"/>
        <v>12.304372550295348</v>
      </c>
    </row>
    <row r="60" spans="2:13" x14ac:dyDescent="0.2">
      <c r="B60" s="426">
        <f t="shared" si="12"/>
        <v>156</v>
      </c>
      <c r="C60" s="404">
        <f t="shared" si="1"/>
        <v>5.8534939719848429E-3</v>
      </c>
      <c r="D60" s="401">
        <f ca="1">MpropuPlein+0.25*MasseSans</f>
        <v>4.7185000000000006</v>
      </c>
      <c r="E60" s="401">
        <f t="shared" ca="1" si="2"/>
        <v>3.7820000000000005</v>
      </c>
      <c r="F60" s="401">
        <f t="shared" ca="1" si="3"/>
        <v>2.8455000000000004</v>
      </c>
      <c r="G60" s="408">
        <f t="shared" ca="1" si="4"/>
        <v>201.43741239429229</v>
      </c>
      <c r="H60" s="404">
        <f t="shared" ca="1" si="5"/>
        <v>1.5477244769922904E-3</v>
      </c>
      <c r="I60" s="404">
        <f t="shared" ca="1" si="6"/>
        <v>2.0571055954963424E-3</v>
      </c>
      <c r="J60" s="404">
        <f t="shared" ca="1" si="7"/>
        <v>1243.9890580386275</v>
      </c>
      <c r="K60" s="411">
        <f t="shared" ca="1" si="8"/>
        <v>356.90765030256699</v>
      </c>
      <c r="L60" s="414">
        <f t="shared" ca="1" si="9"/>
        <v>2051.3977178004347</v>
      </c>
      <c r="M60" s="417">
        <f t="shared" ca="1" si="10"/>
        <v>14.392095532232315</v>
      </c>
    </row>
    <row r="61" spans="2:13" x14ac:dyDescent="0.2">
      <c r="B61" s="426">
        <f t="shared" si="12"/>
        <v>156</v>
      </c>
      <c r="C61" s="404">
        <f t="shared" si="1"/>
        <v>5.8534939719848429E-3</v>
      </c>
      <c r="D61" s="401">
        <f ca="1">MpropuPlein+0.5*MasseSans</f>
        <v>5.9260000000000002</v>
      </c>
      <c r="E61" s="401">
        <f t="shared" ca="1" si="2"/>
        <v>4.9894999999999996</v>
      </c>
      <c r="F61" s="401">
        <f t="shared" ca="1" si="3"/>
        <v>4.0529999999999999</v>
      </c>
      <c r="G61" s="408">
        <f t="shared" ca="1" si="4"/>
        <v>150.31380272075631</v>
      </c>
      <c r="H61" s="404">
        <f t="shared" ca="1" si="5"/>
        <v>1.173162435511543E-3</v>
      </c>
      <c r="I61" s="404">
        <f t="shared" ca="1" si="6"/>
        <v>1.4442373481334426E-3</v>
      </c>
      <c r="J61" s="404">
        <f t="shared" ca="1" si="7"/>
        <v>1100.9344391103748</v>
      </c>
      <c r="K61" s="411">
        <f t="shared" ca="1" si="8"/>
        <v>344.16399043387759</v>
      </c>
      <c r="L61" s="414">
        <f t="shared" ca="1" si="9"/>
        <v>2109.9174564465311</v>
      </c>
      <c r="M61" s="417">
        <f t="shared" ca="1" si="10"/>
        <v>15.902056323499952</v>
      </c>
    </row>
    <row r="62" spans="2:13" x14ac:dyDescent="0.2">
      <c r="B62" s="426">
        <f t="shared" si="12"/>
        <v>156</v>
      </c>
      <c r="C62" s="404">
        <f t="shared" si="1"/>
        <v>5.8534939719848429E-3</v>
      </c>
      <c r="D62" s="401">
        <f ca="1">MpropuPlein+0.75*MasseSans</f>
        <v>7.1334999999999997</v>
      </c>
      <c r="E62" s="401">
        <f t="shared" ca="1" si="2"/>
        <v>6.1969999999999992</v>
      </c>
      <c r="F62" s="401">
        <f t="shared" ca="1" si="3"/>
        <v>5.2604999999999995</v>
      </c>
      <c r="G62" s="408">
        <f t="shared" ca="1" si="4"/>
        <v>119.11330380429459</v>
      </c>
      <c r="H62" s="404">
        <f t="shared" ca="1" si="5"/>
        <v>9.4456898047197738E-4</v>
      </c>
      <c r="I62" s="404">
        <f t="shared" ca="1" si="6"/>
        <v>1.1127257811966245E-3</v>
      </c>
      <c r="J62" s="404">
        <f t="shared" ca="1" si="7"/>
        <v>972.96942185230603</v>
      </c>
      <c r="K62" s="411">
        <f t="shared" ca="1" si="8"/>
        <v>325.63370828222946</v>
      </c>
      <c r="L62" s="414">
        <f t="shared" ca="1" si="9"/>
        <v>2126.4736540295921</v>
      </c>
      <c r="M62" s="417">
        <f t="shared" ca="1" si="10"/>
        <v>17.027632464427974</v>
      </c>
    </row>
    <row r="63" spans="2:13" x14ac:dyDescent="0.2">
      <c r="B63" s="426">
        <f t="shared" si="12"/>
        <v>156</v>
      </c>
      <c r="C63" s="404">
        <f t="shared" si="1"/>
        <v>5.8534939719848429E-3</v>
      </c>
      <c r="D63" s="401">
        <f ca="1">MpropuPlein+1*MasseSans</f>
        <v>8.3410000000000011</v>
      </c>
      <c r="E63" s="401">
        <f t="shared" ca="1" si="2"/>
        <v>7.4045000000000005</v>
      </c>
      <c r="F63" s="401">
        <f t="shared" ca="1" si="3"/>
        <v>6.4680000000000009</v>
      </c>
      <c r="G63" s="408">
        <f t="shared" ca="1" si="4"/>
        <v>98.088941680763526</v>
      </c>
      <c r="H63" s="404">
        <f t="shared" ca="1" si="5"/>
        <v>7.9053197001618513E-4</v>
      </c>
      <c r="I63" s="404">
        <f t="shared" ca="1" si="6"/>
        <v>9.0499288373296883E-4</v>
      </c>
      <c r="J63" s="404">
        <f t="shared" ca="1" si="7"/>
        <v>861.78431662378262</v>
      </c>
      <c r="K63" s="411">
        <f t="shared" ca="1" si="8"/>
        <v>303.83209997544554</v>
      </c>
      <c r="L63" s="414">
        <f t="shared" ca="1" si="9"/>
        <v>2106.54034514148</v>
      </c>
      <c r="M63" s="417">
        <f t="shared" ca="1" si="10"/>
        <v>17.847320586788012</v>
      </c>
    </row>
    <row r="64" spans="2:13" x14ac:dyDescent="0.2">
      <c r="B64" s="426">
        <f t="shared" si="12"/>
        <v>156</v>
      </c>
      <c r="C64" s="404">
        <f t="shared" si="1"/>
        <v>5.8534939719848429E-3</v>
      </c>
      <c r="D64" s="401">
        <f ca="1">MpropuPlein+1.25*MasseSans</f>
        <v>9.5485000000000007</v>
      </c>
      <c r="E64" s="401">
        <f t="shared" ca="1" si="2"/>
        <v>8.6120000000000001</v>
      </c>
      <c r="F64" s="401">
        <f t="shared" ca="1" si="3"/>
        <v>7.6755000000000004</v>
      </c>
      <c r="G64" s="408">
        <f t="shared" ca="1" si="4"/>
        <v>82.960287235858516</v>
      </c>
      <c r="H64" s="404">
        <f t="shared" ca="1" si="5"/>
        <v>6.7969042870237378E-4</v>
      </c>
      <c r="I64" s="404">
        <f t="shared" ca="1" si="6"/>
        <v>7.6262054224283016E-4</v>
      </c>
      <c r="J64" s="404">
        <f t="shared" ca="1" si="7"/>
        <v>766.54803092349596</v>
      </c>
      <c r="K64" s="411">
        <f t="shared" ca="1" si="8"/>
        <v>281.07338346549335</v>
      </c>
      <c r="L64" s="414">
        <f t="shared" ca="1" si="9"/>
        <v>2055.479811964316</v>
      </c>
      <c r="M64" s="417">
        <f t="shared" ca="1" si="10"/>
        <v>18.406445765973963</v>
      </c>
    </row>
    <row r="65" spans="2:13" x14ac:dyDescent="0.2">
      <c r="B65" s="426">
        <f t="shared" si="12"/>
        <v>156</v>
      </c>
      <c r="C65" s="404">
        <f t="shared" si="1"/>
        <v>5.8534939719848429E-3</v>
      </c>
      <c r="D65" s="401">
        <f ca="1">MpropuPlein+1.5*MasseSans</f>
        <v>10.756</v>
      </c>
      <c r="E65" s="401">
        <f t="shared" ca="1" si="2"/>
        <v>9.8194999999999997</v>
      </c>
      <c r="F65" s="401">
        <f t="shared" ca="1" si="3"/>
        <v>8.8829999999999991</v>
      </c>
      <c r="G65" s="408">
        <f t="shared" ca="1" si="4"/>
        <v>71.552362001651161</v>
      </c>
      <c r="H65" s="404">
        <f t="shared" ca="1" si="5"/>
        <v>5.9610916767501834E-4</v>
      </c>
      <c r="I65" s="404">
        <f t="shared" ca="1" si="6"/>
        <v>6.589546292901996E-4</v>
      </c>
      <c r="J65" s="404">
        <f t="shared" ca="1" si="7"/>
        <v>685.34178913740232</v>
      </c>
      <c r="K65" s="411">
        <f t="shared" ca="1" si="8"/>
        <v>258.86585644288778</v>
      </c>
      <c r="L65" s="414">
        <f t="shared" ca="1" si="9"/>
        <v>1979.0430222193672</v>
      </c>
      <c r="M65" s="417">
        <f t="shared" ca="1" si="10"/>
        <v>18.738760578562861</v>
      </c>
    </row>
    <row r="66" spans="2:13" x14ac:dyDescent="0.2">
      <c r="B66" s="426">
        <f t="shared" si="12"/>
        <v>156</v>
      </c>
      <c r="C66" s="404">
        <f t="shared" si="1"/>
        <v>5.8534939719848429E-3</v>
      </c>
      <c r="D66" s="401">
        <f ca="1">MpropuPlein+1.75*MasseSans</f>
        <v>11.9635</v>
      </c>
      <c r="E66" s="401">
        <f t="shared" ca="1" si="2"/>
        <v>11.026999999999999</v>
      </c>
      <c r="F66" s="401">
        <f t="shared" ca="1" si="3"/>
        <v>10.090499999999999</v>
      </c>
      <c r="G66" s="408">
        <f t="shared" ca="1" si="4"/>
        <v>62.642862399130635</v>
      </c>
      <c r="H66" s="404">
        <f t="shared" ca="1" si="5"/>
        <v>5.3083286224583687E-4</v>
      </c>
      <c r="I66" s="404">
        <f t="shared" ca="1" si="6"/>
        <v>5.8009949675287087E-4</v>
      </c>
      <c r="J66" s="404">
        <f t="shared" ca="1" si="7"/>
        <v>616.01738550123309</v>
      </c>
      <c r="K66" s="411">
        <f t="shared" ca="1" si="8"/>
        <v>238.01037070023634</v>
      </c>
      <c r="L66" s="414">
        <f t="shared" ca="1" si="9"/>
        <v>1883.1630744626998</v>
      </c>
      <c r="M66" s="417">
        <f t="shared" ca="1" si="10"/>
        <v>18.873837465377967</v>
      </c>
    </row>
    <row r="67" spans="2:13" x14ac:dyDescent="0.2">
      <c r="B67" s="427">
        <f t="shared" si="12"/>
        <v>156</v>
      </c>
      <c r="C67" s="405">
        <f t="shared" si="1"/>
        <v>5.8534939719848429E-3</v>
      </c>
      <c r="D67" s="402">
        <f ca="1">MpropuPlein+2*MasseSans</f>
        <v>13.170999999999999</v>
      </c>
      <c r="E67" s="402">
        <f t="shared" ca="1" si="2"/>
        <v>12.234499999999999</v>
      </c>
      <c r="F67" s="402">
        <f t="shared" ca="1" si="3"/>
        <v>11.297999999999998</v>
      </c>
      <c r="G67" s="409">
        <f t="shared" ca="1" si="4"/>
        <v>55.492032259202546</v>
      </c>
      <c r="H67" s="405">
        <f t="shared" ca="1" si="5"/>
        <v>4.7844161771914203E-4</v>
      </c>
      <c r="I67" s="405">
        <f t="shared" ca="1" si="6"/>
        <v>5.1810001522259192E-4</v>
      </c>
      <c r="J67" s="405">
        <f t="shared" ca="1" si="7"/>
        <v>556.5824457154215</v>
      </c>
      <c r="K67" s="412">
        <f t="shared" ca="1" si="8"/>
        <v>218.84205418112361</v>
      </c>
      <c r="L67" s="415">
        <f t="shared" ca="1" si="9"/>
        <v>1773.6342853711528</v>
      </c>
      <c r="M67" s="418">
        <f t="shared" ca="1" si="10"/>
        <v>18.839851234074281</v>
      </c>
    </row>
    <row r="71" spans="2:13" x14ac:dyDescent="0.2">
      <c r="B71" s="24" t="str">
        <f>IF(Lang="Français","Textes pour les graphiques :","Texts for graphics :")</f>
        <v>Textes pour les graphiques :</v>
      </c>
    </row>
    <row r="73" spans="2:13" x14ac:dyDescent="0.2">
      <c r="B73" t="str">
        <f>IF(Lang="Français","Masse totale",IF(Lang="English","Total Mass",""))</f>
        <v>Masse totale</v>
      </c>
    </row>
    <row r="74" spans="2:13" x14ac:dyDescent="0.2">
      <c r="B74" t="str">
        <f>IF(Lang="Français","Vitesse max",IF(Lang="English","Max Velocity",""))</f>
        <v>Vitesse max</v>
      </c>
    </row>
    <row r="75" spans="2:13" x14ac:dyDescent="0.2">
      <c r="B75" t="str">
        <f>Abaco!$B$74 &amp; " / " &amp; Abaco!$B$73</f>
        <v>Vitesse max / Masse totale</v>
      </c>
    </row>
    <row r="76" spans="2:13" x14ac:dyDescent="0.2">
      <c r="B76" t="str">
        <f>IF(Lang="Français","Altitude max",IF(Lang="English","Max Altitude",""))</f>
        <v>Altitude max</v>
      </c>
    </row>
    <row r="77" spans="2:13" x14ac:dyDescent="0.2">
      <c r="B77" t="str">
        <f>Abaco!$B$76 &amp; " / " &amp; Abaco!$B$73</f>
        <v>Altitude max / Masse totale</v>
      </c>
    </row>
    <row r="78" spans="2:13" x14ac:dyDescent="0.2">
      <c r="B78" t="str">
        <f>IF(Lang="Français","Temps de culmination",IF(Lang="English","Apogee time",""))</f>
        <v>Temps de culmination</v>
      </c>
    </row>
    <row r="79" spans="2:13" x14ac:dyDescent="0.2">
      <c r="B79" t="str">
        <f>Abaco!$B$78 &amp; " / " &amp; Abaco!$B$73</f>
        <v>Temps de culmination / Masse totale</v>
      </c>
    </row>
  </sheetData>
  <sheetProtection password="C6AC" sheet="1"/>
  <mergeCells count="12">
    <mergeCell ref="C10:D10"/>
    <mergeCell ref="C12:D12"/>
    <mergeCell ref="C14:D14"/>
    <mergeCell ref="C15:D15"/>
    <mergeCell ref="C16:D16"/>
    <mergeCell ref="C11:D11"/>
    <mergeCell ref="C9:D9"/>
    <mergeCell ref="C2:D3"/>
    <mergeCell ref="C4:D4"/>
    <mergeCell ref="C5:D5"/>
    <mergeCell ref="C7:D7"/>
    <mergeCell ref="C8:D8"/>
  </mergeCells>
  <dataValidations count="3">
    <dataValidation type="decimal" errorStyle="warning" showErrorMessage="1" errorTitle="Cx" error="Le Cx est souvent compris entre 0 et 1._x000a_Cx may be between 0 &amp; 1." sqref="C16:D16" xr:uid="{00000000-0002-0000-0500-000000000000}">
      <formula1>0</formula1>
      <formula2>1</formula2>
    </dataValidation>
    <dataValidation operator="greaterThanOrEqual" sqref="C10:D11" xr:uid="{00000000-0002-0000-0500-000001000000}"/>
    <dataValidation sqref="C12:D12" xr:uid="{00000000-0002-0000-0500-000002000000}"/>
  </dataValidations>
  <hyperlinks>
    <hyperlink ref="B12" location="Stabilito!C17" display="Stabilito!C17" xr:uid="{00000000-0004-0000-0500-000000000000}"/>
  </hyperlinks>
  <pageMargins left="0.70866141732283472" right="0.70866141732283472" top="0.74803149606299213" bottom="0.74803149606299213" header="0.31496062992125984" footer="0.31496062992125984"/>
  <pageSetup paperSize="9" scale="92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04063" r:id="rId4" name="Spinner 31">
              <controlPr defaultSize="0" print="0" autoPict="0">
                <anchor moveWithCells="1" sizeWithCells="1">
                  <from>
                    <xdr:col>3</xdr:col>
                    <xdr:colOff>638175</xdr:colOff>
                    <xdr:row>9</xdr:row>
                    <xdr:rowOff>9525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202" r:id="rId5" name="Spinner 170">
              <controlPr defaultSize="0" print="0" autoPict="0">
                <anchor moveWithCells="1" sizeWithCells="1">
                  <from>
                    <xdr:col>3</xdr:col>
                    <xdr:colOff>638175</xdr:colOff>
                    <xdr:row>10</xdr:row>
                    <xdr:rowOff>9525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>
    <pageSetUpPr fitToPage="1"/>
  </sheetPr>
  <dimension ref="C2:H59"/>
  <sheetViews>
    <sheetView showGridLines="0" workbookViewId="0">
      <selection activeCell="G29" sqref="G29"/>
    </sheetView>
  </sheetViews>
  <sheetFormatPr baseColWidth="10" defaultRowHeight="12.75" x14ac:dyDescent="0.2"/>
  <cols>
    <col min="1" max="1" width="2.140625" customWidth="1"/>
    <col min="2" max="2" width="16.28515625" customWidth="1"/>
    <col min="3" max="4" width="13.42578125" customWidth="1"/>
  </cols>
  <sheetData>
    <row r="2" spans="3:8" x14ac:dyDescent="0.2">
      <c r="C2" s="625" t="s">
        <v>179</v>
      </c>
      <c r="D2" s="625"/>
    </row>
    <row r="3" spans="3:8" x14ac:dyDescent="0.2">
      <c r="C3" s="625"/>
      <c r="D3" s="625"/>
    </row>
    <row r="5" spans="3:8" x14ac:dyDescent="0.2">
      <c r="C5" s="13" t="str">
        <f>IF(Lang="Français","Stabilité de fusée à ailerons","Stability of finned rocket")</f>
        <v>Stabilité de fusée à ailerons</v>
      </c>
    </row>
    <row r="6" spans="3:8" x14ac:dyDescent="0.2">
      <c r="C6" s="2" t="str">
        <f>IF(Lang="Français","Calculs de Stabilité basés sur les équations de Barrowman","Stability calculs are based on Barrowman equations")</f>
        <v>Calculs de Stabilité basés sur les équations de Barrowman</v>
      </c>
    </row>
    <row r="7" spans="3:8" x14ac:dyDescent="0.2">
      <c r="C7" s="13" t="str">
        <f>IF(Lang="Français","Trajectographie de fusée","Rocket Trajectography")</f>
        <v>Trajectographie de fusée</v>
      </c>
    </row>
    <row r="8" spans="3:8" x14ac:dyDescent="0.2">
      <c r="C8" s="2" t="str">
        <f>IF(Lang="Français","Trajectoire dans un plan par calcul pas à pas","Trajectory in a plane, step by step computation")</f>
        <v>Trajectoire dans un plan par calcul pas à pas</v>
      </c>
    </row>
    <row r="9" spans="3:8" x14ac:dyDescent="0.2">
      <c r="C9" s="2"/>
    </row>
    <row r="10" spans="3:8" x14ac:dyDescent="0.2">
      <c r="C10" s="14" t="str">
        <f>IF(Lang="Français","Documentation et équations :","Documentation and equations are aviable in french:")</f>
        <v>Documentation et équations :</v>
      </c>
    </row>
    <row r="11" spans="3:8" x14ac:dyDescent="0.2">
      <c r="C11" t="str">
        <f>IF(Lang="Français","voir le dossier technique Planète-Sciences ''Le Vol de la Fusée, Stabilité &amp; Trajectographie''","dossier technique Planète-Sciences ''Le Vol de la Fusée, Stabilité &amp; Trajectographie''")</f>
        <v>voir le dossier technique Planète-Sciences ''Le Vol de la Fusée, Stabilité &amp; Trajectographie''</v>
      </c>
    </row>
    <row r="12" spans="3:8" x14ac:dyDescent="0.2">
      <c r="C12" t="str">
        <f>IF(Lang="Français","Néanmoins, les équations d'intégration du mouvement utilisées sont légèrement différentes !","")</f>
        <v>Néanmoins, les équations d'intégration du mouvement utilisées sont légèrement différentes !</v>
      </c>
    </row>
    <row r="13" spans="3:8" x14ac:dyDescent="0.2">
      <c r="C13" t="str">
        <f>IF(Lang="Français","Logiciels et dossier technique téléchargeables sur :","Softwares and french documentation can be downloaded at:")</f>
        <v>Logiciels et dossier technique téléchargeables sur :</v>
      </c>
      <c r="H13" s="15" t="s">
        <v>40</v>
      </c>
    </row>
    <row r="15" spans="3:8" x14ac:dyDescent="0.2">
      <c r="C15" s="14" t="str">
        <f>IF(Lang="Français","Pour les experts :","For experts:")</f>
        <v>Pour les experts :</v>
      </c>
    </row>
    <row r="16" spans="3:8" x14ac:dyDescent="0.2">
      <c r="C16" t="str">
        <f>IF(Lang="Français","Pour les curieux et les experts, vous pouvez déprotéger les feuilles de calcul (mot de passe : anstj),","Curious people can unlock excel sheets with this password : anstj")</f>
        <v>Pour les curieux et les experts, vous pouvez déprotéger les feuilles de calcul (mot de passe : anstj),</v>
      </c>
    </row>
    <row r="17" spans="3:8" x14ac:dyDescent="0.2">
      <c r="C17" t="str">
        <f>IF(Lang="Français","et faire vos modifications personnelles (ajout de moteur...).","and do your personal modification (adding a motor...)")</f>
        <v>et faire vos modifications personnelles (ajout de moteur...).</v>
      </c>
    </row>
    <row r="18" spans="3:8" x14ac:dyDescent="0.2">
      <c r="C18" t="s">
        <v>419</v>
      </c>
    </row>
    <row r="19" spans="3:8" x14ac:dyDescent="0.2">
      <c r="C19" t="str">
        <f>IF(Lang="Français","Merci néanmoins de diffuser uniquement la version officielle protégée (fichier initial).","Please avoid distributing unlocked version.")</f>
        <v>Merci néanmoins de diffuser uniquement la version officielle protégée (fichier initial).</v>
      </c>
    </row>
    <row r="20" spans="3:8" x14ac:dyDescent="0.2">
      <c r="C20" t="str">
        <f>IF(Lang="Français","Aucune Macro. Mise en forme conditionnelle, Noms de zone.","No macro. Conditionnal formating, named zones.")</f>
        <v>Aucune Macro. Mise en forme conditionnelle, Noms de zone.</v>
      </c>
    </row>
    <row r="21" spans="3:8" x14ac:dyDescent="0.2">
      <c r="C21" s="48" t="str">
        <f>IF(Lang="Français","Pour changer les choix des menus déroulants et les restrictions des cellules jaunes, cf. Données&gt; Validations…", "To change choices menu &amp; yellow cells restrictions, go to data validation.")</f>
        <v>Pour changer les choix des menus déroulants et les restrictions des cellules jaunes, cf. Données&gt; Validations…</v>
      </c>
    </row>
    <row r="22" spans="3:8" x14ac:dyDescent="0.2">
      <c r="C22" s="48" t="str">
        <f>IF(Lang="Français","Les unités sont réglés dans le Format de la cellule.","Units are set in cell number Format")</f>
        <v>Les unités sont réglés dans le Format de la cellule.</v>
      </c>
      <c r="H22" s="15" t="s">
        <v>38</v>
      </c>
    </row>
    <row r="23" spans="3:8" x14ac:dyDescent="0.2">
      <c r="C23" t="str">
        <f>IF(Lang="Français","Vous pouvez proposer vos améliorations en envoyant votre fichier à : ","Send all remarks and improvements proposals to:")</f>
        <v xml:space="preserve">Vous pouvez proposer vos améliorations en envoyant votre fichier à : </v>
      </c>
      <c r="H23" s="15"/>
    </row>
    <row r="25" spans="3:8" x14ac:dyDescent="0.2">
      <c r="C25" s="14" t="str">
        <f>IF(Lang="Français","Licence :","License:")</f>
        <v>Licence :</v>
      </c>
      <c r="D25" s="16"/>
    </row>
    <row r="26" spans="3:8" x14ac:dyDescent="0.2">
      <c r="C26" t="str">
        <f>IF(Lang="Français","Ce logiciel est placé sous la licence Creative Commons BY-SA","This software is placed under Creative Commons licence BY-SA")</f>
        <v>Ce logiciel est placé sous la licence Creative Commons BY-SA</v>
      </c>
      <c r="H26" s="68" t="s">
        <v>123</v>
      </c>
    </row>
    <row r="28" spans="3:8" x14ac:dyDescent="0.2">
      <c r="C28" s="14" t="str">
        <f>IF(Lang="Français","Compatibilité :","Compatibility:")</f>
        <v>Compatibilité :</v>
      </c>
    </row>
    <row r="29" spans="3:8" x14ac:dyDescent="0.2">
      <c r="C29" t="s">
        <v>153</v>
      </c>
    </row>
    <row r="30" spans="3:8" x14ac:dyDescent="0.2">
      <c r="C30" t="s">
        <v>300</v>
      </c>
    </row>
    <row r="31" spans="3:8" x14ac:dyDescent="0.2">
      <c r="C31" s="49" t="s">
        <v>111</v>
      </c>
    </row>
    <row r="33" spans="3:6" x14ac:dyDescent="0.2">
      <c r="C33" s="14" t="str">
        <f>IF(Lang="Français","Historique :","History:")</f>
        <v>Historique :</v>
      </c>
    </row>
    <row r="34" spans="3:6" x14ac:dyDescent="0.2">
      <c r="C34" t="s">
        <v>103</v>
      </c>
      <c r="D34" t="s">
        <v>43</v>
      </c>
      <c r="E34" s="47" t="s">
        <v>102</v>
      </c>
      <c r="F34" t="str">
        <f>IF(Lang="Français","Essais personnels, héritage d'une feuille de calcul de Vincent Girard, ESO","Personnel tests")</f>
        <v>Essais personnels, héritage d'une feuille de calcul de Vincent Girard, ESO</v>
      </c>
    </row>
    <row r="35" spans="3:6" x14ac:dyDescent="0.2">
      <c r="C35" t="s">
        <v>104</v>
      </c>
      <c r="D35" t="s">
        <v>43</v>
      </c>
      <c r="E35" s="16">
        <v>39483</v>
      </c>
      <c r="F35" t="str">
        <f>IF(Lang="Français","Equations de Barrowman généralisées (D_ref), masquage inter-ailerons, bilingue fr-en","Generalized Barrowman equations (D_ref), fin-fin interaction, english translation")</f>
        <v>Equations de Barrowman généralisées (D_ref), masquage inter-ailerons, bilingue fr-en</v>
      </c>
    </row>
    <row r="36" spans="3:6" x14ac:dyDescent="0.2">
      <c r="C36" t="s">
        <v>105</v>
      </c>
      <c r="D36" t="s">
        <v>43</v>
      </c>
      <c r="E36" s="16">
        <v>39507</v>
      </c>
      <c r="F36" t="str">
        <f>IF(Lang="Français","Schéma de la fusée, estimation analytique de la trajecto, diagramme des critères","Rocket schematic, analytical trajecto, criterions diagram")</f>
        <v>Schéma de la fusée, estimation analytique de la trajecto, diagramme des critères</v>
      </c>
    </row>
    <row r="37" spans="3:6" x14ac:dyDescent="0.2">
      <c r="C37" t="s">
        <v>106</v>
      </c>
      <c r="D37" t="s">
        <v>43</v>
      </c>
      <c r="E37" s="16">
        <v>39694</v>
      </c>
      <c r="F37" t="str">
        <f>IF(Lang="Français","Mise en forme","Formatting")</f>
        <v>Mise en forme</v>
      </c>
    </row>
    <row r="38" spans="3:6" x14ac:dyDescent="0.2">
      <c r="C38" t="s">
        <v>107</v>
      </c>
      <c r="D38" t="s">
        <v>43</v>
      </c>
      <c r="E38" s="16">
        <v>39643</v>
      </c>
      <c r="F38" t="str">
        <f>IF(Lang="Français","Essais personnels, héritage d'une feuille de calcul de Félicien Roux, ESO","Personal tests")</f>
        <v>Essais personnels, héritage d'une feuille de calcul de Félicien Roux, ESO</v>
      </c>
    </row>
    <row r="39" spans="3:6" x14ac:dyDescent="0.2">
      <c r="C39" t="s">
        <v>108</v>
      </c>
      <c r="D39" t="s">
        <v>43</v>
      </c>
      <c r="E39" s="16">
        <v>39755</v>
      </c>
      <c r="F39" t="str">
        <f>IF(Lang="Français","Réécriture équations, traduction, érgonomie","Equations, traduction, ergonomy")</f>
        <v>Réécriture équations, traduction, érgonomie</v>
      </c>
    </row>
    <row r="40" spans="3:6" x14ac:dyDescent="0.2">
      <c r="C40" t="s">
        <v>109</v>
      </c>
      <c r="D40" t="s">
        <v>43</v>
      </c>
      <c r="E40" s="16">
        <v>39756</v>
      </c>
      <c r="F40" t="str">
        <f>IF(Lang="Français","Conditions Initiales pour vol 2e étage, 1ère publication","Initial Conditions, 1st publication")</f>
        <v>Conditions Initiales pour vol 2e étage, 1ère publication</v>
      </c>
    </row>
    <row r="41" spans="3:6" x14ac:dyDescent="0.2">
      <c r="C41" t="s">
        <v>110</v>
      </c>
      <c r="D41" t="s">
        <v>43</v>
      </c>
      <c r="E41" s="16">
        <v>40658</v>
      </c>
      <c r="F41" t="s">
        <v>53</v>
      </c>
    </row>
    <row r="42" spans="3:6" x14ac:dyDescent="0.2">
      <c r="C42" t="s">
        <v>180</v>
      </c>
      <c r="D42" t="s">
        <v>43</v>
      </c>
      <c r="E42" s="16">
        <v>40868</v>
      </c>
      <c r="F42" t="str">
        <f>IF(Lang="Français","Fusion Stabilito+Trajecto, mise en forme, Ctrl, RC, H2O, Abaco","Merge Stabilito+Trajecto, formatting, Ctrl, RC, H2O, Abaco")</f>
        <v>Fusion Stabilito+Trajecto, mise en forme, Ctrl, RC, H2O, Abaco</v>
      </c>
    </row>
    <row r="43" spans="3:6" x14ac:dyDescent="0.2">
      <c r="C43" t="s">
        <v>327</v>
      </c>
      <c r="D43" t="s">
        <v>43</v>
      </c>
      <c r="E43" s="16">
        <v>41194</v>
      </c>
      <c r="F43" t="s">
        <v>331</v>
      </c>
    </row>
    <row r="44" spans="3:6" x14ac:dyDescent="0.2">
      <c r="C44" t="s">
        <v>328</v>
      </c>
      <c r="D44" t="s">
        <v>43</v>
      </c>
      <c r="E44" s="16">
        <v>41329</v>
      </c>
      <c r="F44" t="s">
        <v>332</v>
      </c>
    </row>
    <row r="45" spans="3:6" x14ac:dyDescent="0.2">
      <c r="C45" t="s">
        <v>416</v>
      </c>
      <c r="D45" t="s">
        <v>395</v>
      </c>
      <c r="E45" s="16">
        <v>41947</v>
      </c>
      <c r="F45" t="s">
        <v>415</v>
      </c>
    </row>
    <row r="46" spans="3:6" x14ac:dyDescent="0.2">
      <c r="C46" t="s">
        <v>420</v>
      </c>
      <c r="D46" t="s">
        <v>395</v>
      </c>
      <c r="E46" s="16">
        <v>41965</v>
      </c>
      <c r="F46" t="s">
        <v>418</v>
      </c>
    </row>
    <row r="47" spans="3:6" x14ac:dyDescent="0.2">
      <c r="C47" t="s">
        <v>542</v>
      </c>
      <c r="D47" t="s">
        <v>395</v>
      </c>
      <c r="E47" s="16">
        <v>43048</v>
      </c>
      <c r="F47" t="s">
        <v>543</v>
      </c>
    </row>
    <row r="48" spans="3:6" x14ac:dyDescent="0.2">
      <c r="C48" t="s">
        <v>547</v>
      </c>
      <c r="D48" t="s">
        <v>395</v>
      </c>
      <c r="E48" s="16">
        <v>44160</v>
      </c>
      <c r="F48" t="s">
        <v>548</v>
      </c>
    </row>
    <row r="49" spans="3:6" x14ac:dyDescent="0.2">
      <c r="E49" s="16"/>
    </row>
    <row r="51" spans="3:6" x14ac:dyDescent="0.2">
      <c r="C51" s="14" t="str">
        <f>IF(Lang="Français","Paramètres de référence :","Reference parameters:")</f>
        <v>Paramètres de référence :</v>
      </c>
    </row>
    <row r="52" spans="3:6" x14ac:dyDescent="0.2">
      <c r="C52" s="62" t="str">
        <f>IF(Lang="Français","Gravité g :","Gravity g")</f>
        <v>Gravité g :</v>
      </c>
      <c r="E52" s="62">
        <v>9.81</v>
      </c>
      <c r="F52" s="62" t="s">
        <v>7</v>
      </c>
    </row>
    <row r="53" spans="3:6" x14ac:dyDescent="0.2">
      <c r="C53" s="62" t="str">
        <f>IF(Lang="Français","Masse volumique de l'air ρ :","Air density ρ")</f>
        <v>Masse volumique de l'air ρ :</v>
      </c>
      <c r="E53" s="63">
        <v>1.2250000000000001</v>
      </c>
      <c r="F53" s="62" t="s">
        <v>8</v>
      </c>
    </row>
    <row r="54" spans="3:6" x14ac:dyDescent="0.2">
      <c r="C54" s="48"/>
    </row>
    <row r="55" spans="3:6" x14ac:dyDescent="0.2">
      <c r="C55" s="48"/>
    </row>
    <row r="56" spans="3:6" x14ac:dyDescent="0.2">
      <c r="C56" s="48"/>
    </row>
    <row r="57" spans="3:6" x14ac:dyDescent="0.2">
      <c r="C57" s="48"/>
    </row>
    <row r="58" spans="3:6" x14ac:dyDescent="0.2">
      <c r="C58" s="48"/>
    </row>
    <row r="59" spans="3:6" x14ac:dyDescent="0.2">
      <c r="C59" s="48"/>
    </row>
  </sheetData>
  <sheetProtection password="C6AC" sheet="1" objects="1" scenarios="1"/>
  <mergeCells count="1">
    <mergeCell ref="C2:D3"/>
  </mergeCells>
  <phoneticPr fontId="8" type="noConversion"/>
  <hyperlinks>
    <hyperlink ref="H13" r:id="rId1" xr:uid="{00000000-0004-0000-0600-000000000000}"/>
    <hyperlink ref="H22" r:id="rId2" xr:uid="{00000000-0004-0000-0600-000001000000}"/>
    <hyperlink ref="H26" r:id="rId3" xr:uid="{00000000-0004-0000-0600-000002000000}"/>
  </hyperlinks>
  <pageMargins left="0.39370078740157483" right="0.39370078740157483" top="0.39370078740157483" bottom="0.39370078740157483" header="0" footer="0"/>
  <pageSetup scale="73" firstPageNumber="0" orientation="portrait" horizontalDpi="300" verticalDpi="300" r:id="rId4"/>
  <headerFooter alignWithMargins="0"/>
  <drawing r:id="rId5"/>
  <legacy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7">
    <pageSetUpPr fitToPage="1"/>
  </sheetPr>
  <dimension ref="B1:U134"/>
  <sheetViews>
    <sheetView showGridLines="0" topLeftCell="D1" zoomScaleNormal="100" workbookViewId="0">
      <selection activeCell="H4" sqref="H4"/>
    </sheetView>
  </sheetViews>
  <sheetFormatPr baseColWidth="10" defaultColWidth="11.42578125" defaultRowHeight="12.75" x14ac:dyDescent="0.2"/>
  <cols>
    <col min="1" max="2" width="2.140625" customWidth="1"/>
    <col min="3" max="3" width="12.42578125" customWidth="1"/>
    <col min="4" max="4" width="21" customWidth="1"/>
    <col min="7" max="7" width="26.42578125" customWidth="1"/>
    <col min="8" max="9" width="6.7109375" customWidth="1"/>
    <col min="10" max="10" width="10" customWidth="1"/>
    <col min="11" max="11" width="13" customWidth="1"/>
    <col min="12" max="12" width="21.28515625" customWidth="1"/>
    <col min="14" max="14" width="2.140625" customWidth="1"/>
    <col min="18" max="19" width="16.28515625" customWidth="1"/>
  </cols>
  <sheetData>
    <row r="1" spans="2:21" ht="13.5" thickBot="1" x14ac:dyDescent="0.25">
      <c r="O1" s="6"/>
      <c r="P1" s="48"/>
      <c r="Q1" s="48"/>
      <c r="R1" s="48"/>
      <c r="S1" s="48"/>
      <c r="T1" s="48"/>
      <c r="U1" s="48"/>
    </row>
    <row r="2" spans="2:21" ht="13.5" thickBot="1" x14ac:dyDescent="0.25"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6"/>
      <c r="P2" s="48"/>
      <c r="Q2" s="48"/>
      <c r="R2" s="48"/>
      <c r="S2" s="48"/>
      <c r="T2" s="48"/>
      <c r="U2" s="48"/>
    </row>
    <row r="3" spans="2:21" ht="15.75" customHeight="1" thickBot="1" x14ac:dyDescent="0.25">
      <c r="B3" s="74"/>
      <c r="D3" s="2" t="s">
        <v>429</v>
      </c>
      <c r="N3" s="75"/>
      <c r="O3" s="6"/>
      <c r="P3" s="273" t="s">
        <v>340</v>
      </c>
      <c r="Q3" s="441">
        <f>Long_ogive</f>
        <v>1</v>
      </c>
      <c r="R3" s="48"/>
      <c r="S3" s="48"/>
      <c r="T3" s="48"/>
      <c r="U3" s="48"/>
    </row>
    <row r="4" spans="2:21" ht="15.75" customHeight="1" x14ac:dyDescent="0.2">
      <c r="B4" s="74"/>
      <c r="D4" s="2"/>
      <c r="N4" s="75"/>
      <c r="O4" s="6"/>
      <c r="P4" s="273"/>
      <c r="Q4" s="436"/>
      <c r="R4" s="48"/>
      <c r="S4" s="48"/>
      <c r="T4" s="48"/>
      <c r="U4" s="48"/>
    </row>
    <row r="5" spans="2:21" ht="15.75" customHeight="1" x14ac:dyDescent="0.2">
      <c r="B5" s="74"/>
      <c r="D5" t="s">
        <v>462</v>
      </c>
      <c r="E5" t="str">
        <f>Propu</f>
        <v>Orignal (Pro75-3G C)</v>
      </c>
      <c r="G5" t="s">
        <v>459</v>
      </c>
      <c r="H5">
        <f>MasseSans</f>
        <v>4.83</v>
      </c>
      <c r="N5" s="75"/>
      <c r="O5" s="6"/>
      <c r="P5" s="273"/>
      <c r="Q5" s="436"/>
      <c r="R5" s="48"/>
      <c r="S5" s="48"/>
      <c r="T5" s="48"/>
      <c r="U5" s="48"/>
    </row>
    <row r="6" spans="2:21" x14ac:dyDescent="0.2">
      <c r="B6" s="74"/>
      <c r="D6" t="s">
        <v>455</v>
      </c>
      <c r="E6" s="2" t="str">
        <f>Trajecto!H32</f>
        <v>gris/rouge</v>
      </c>
      <c r="G6" t="s">
        <v>460</v>
      </c>
      <c r="H6">
        <f>D_ref</f>
        <v>104</v>
      </c>
      <c r="N6" s="75"/>
      <c r="O6" s="6"/>
      <c r="P6" s="273"/>
      <c r="Q6" s="436"/>
      <c r="R6" s="48"/>
      <c r="S6" s="48"/>
      <c r="T6" s="48"/>
      <c r="U6" s="48"/>
    </row>
    <row r="7" spans="2:21" x14ac:dyDescent="0.2">
      <c r="B7" s="74"/>
      <c r="D7" t="s">
        <v>457</v>
      </c>
      <c r="E7" s="2" t="str">
        <f>Trajecto!H33</f>
        <v>rose</v>
      </c>
      <c r="G7" t="s">
        <v>5</v>
      </c>
      <c r="H7">
        <f>Cx</f>
        <v>0.5</v>
      </c>
      <c r="N7" s="75"/>
      <c r="O7" s="6"/>
      <c r="P7" s="273"/>
      <c r="Q7" s="436"/>
      <c r="R7" s="48"/>
      <c r="S7" s="48"/>
      <c r="T7" s="48"/>
      <c r="U7" s="48"/>
    </row>
    <row r="8" spans="2:21" x14ac:dyDescent="0.2">
      <c r="B8" s="74"/>
      <c r="D8" t="s">
        <v>458</v>
      </c>
      <c r="E8" s="2">
        <f>S_para</f>
        <v>0.24</v>
      </c>
      <c r="G8" t="s">
        <v>461</v>
      </c>
      <c r="H8">
        <f>L_rampe</f>
        <v>4</v>
      </c>
      <c r="N8" s="75"/>
      <c r="O8" s="6"/>
      <c r="P8" s="273"/>
      <c r="Q8" s="436"/>
      <c r="R8" s="48"/>
      <c r="S8" s="48"/>
      <c r="T8" s="48"/>
      <c r="U8" s="48"/>
    </row>
    <row r="9" spans="2:21" x14ac:dyDescent="0.2">
      <c r="B9" s="74"/>
      <c r="D9" t="s">
        <v>456</v>
      </c>
      <c r="E9" s="2"/>
      <c r="G9" t="s">
        <v>147</v>
      </c>
      <c r="H9" s="534" t="str">
        <f>Forme_ogive</f>
        <v>Conique (droite)</v>
      </c>
      <c r="N9" s="75"/>
      <c r="O9" s="6"/>
      <c r="P9" s="273"/>
      <c r="Q9" s="436"/>
      <c r="R9" s="48"/>
      <c r="S9" s="48"/>
      <c r="T9" s="48"/>
      <c r="U9" s="48"/>
    </row>
    <row r="10" spans="2:21" x14ac:dyDescent="0.2">
      <c r="B10" s="74"/>
      <c r="F10" s="3"/>
      <c r="G10" s="6"/>
      <c r="N10" s="75"/>
      <c r="O10" s="523"/>
      <c r="P10" s="48"/>
      <c r="Q10" s="436"/>
      <c r="R10" s="48"/>
      <c r="S10" s="48"/>
      <c r="T10" s="48"/>
      <c r="U10" s="48"/>
    </row>
    <row r="11" spans="2:21" ht="13.5" thickBot="1" x14ac:dyDescent="0.25">
      <c r="B11" s="74"/>
      <c r="C11" s="12"/>
      <c r="D11" s="275" t="s">
        <v>454</v>
      </c>
      <c r="E11" s="243">
        <f>MasseSans</f>
        <v>4.83</v>
      </c>
      <c r="F11" s="246" t="s">
        <v>124</v>
      </c>
      <c r="G11" s="246" t="s">
        <v>126</v>
      </c>
      <c r="H11" s="658">
        <f ca="1">Vsortie_de_rampe</f>
        <v>30.576574549349424</v>
      </c>
      <c r="I11" s="659"/>
      <c r="J11" s="76"/>
      <c r="N11" s="75"/>
      <c r="P11" s="48"/>
      <c r="Q11" s="436"/>
      <c r="R11" s="48"/>
      <c r="S11" s="48"/>
      <c r="T11" s="48"/>
      <c r="U11" s="440">
        <f>IF(RIGHT(Nb_diam,1)=",", "", X_j)</f>
        <v>1</v>
      </c>
    </row>
    <row r="12" spans="2:21" ht="13.5" thickBot="1" x14ac:dyDescent="0.25">
      <c r="B12" s="74"/>
      <c r="C12" s="12"/>
      <c r="D12" s="276"/>
      <c r="E12" s="244"/>
      <c r="F12" s="6" t="s">
        <v>124</v>
      </c>
      <c r="G12" s="6" t="s">
        <v>127</v>
      </c>
      <c r="H12" s="660">
        <f>Finesse</f>
        <v>9.9519230769230766</v>
      </c>
      <c r="I12" s="661"/>
      <c r="J12" s="76"/>
      <c r="N12" s="75"/>
      <c r="O12" s="6"/>
      <c r="P12" s="273" t="s">
        <v>341</v>
      </c>
      <c r="Q12" s="441">
        <f>D_og</f>
        <v>84</v>
      </c>
      <c r="R12" s="48"/>
      <c r="S12" s="48"/>
      <c r="T12" s="48"/>
      <c r="U12" s="436"/>
    </row>
    <row r="13" spans="2:21" x14ac:dyDescent="0.2">
      <c r="B13" s="74"/>
      <c r="C13" s="12"/>
      <c r="D13" s="276" t="s">
        <v>5</v>
      </c>
      <c r="E13" s="244">
        <f>Cx</f>
        <v>0.5</v>
      </c>
      <c r="F13" s="6" t="s">
        <v>124</v>
      </c>
      <c r="G13" s="6" t="s">
        <v>433</v>
      </c>
      <c r="H13" s="660">
        <f>Cn</f>
        <v>19.112319228174467</v>
      </c>
      <c r="I13" s="661"/>
      <c r="J13" s="76"/>
      <c r="N13" s="75"/>
      <c r="O13" s="6"/>
      <c r="P13" s="48"/>
      <c r="Q13" s="436"/>
      <c r="R13" s="48"/>
      <c r="S13" s="48"/>
      <c r="T13" s="48"/>
      <c r="U13" s="440">
        <f>IF(RIGHT(Nb_diam,1)=",", "", X_r)</f>
        <v>0</v>
      </c>
    </row>
    <row r="14" spans="2:21" x14ac:dyDescent="0.2">
      <c r="B14" s="74"/>
      <c r="C14" s="12"/>
      <c r="D14" s="276" t="s">
        <v>144</v>
      </c>
      <c r="E14" s="244">
        <f>L_rampe</f>
        <v>4</v>
      </c>
      <c r="F14" s="6" t="s">
        <v>124</v>
      </c>
      <c r="G14" s="6" t="s">
        <v>128</v>
      </c>
      <c r="H14" s="247">
        <f ca="1">MS_min</f>
        <v>3.0575338327647392</v>
      </c>
      <c r="I14" s="254">
        <f ca="1">MS_max</f>
        <v>3.9314358119748345</v>
      </c>
      <c r="J14" s="76"/>
      <c r="K14" s="76"/>
      <c r="N14" s="75"/>
      <c r="P14" s="48"/>
      <c r="Q14" s="436"/>
      <c r="R14" s="48"/>
      <c r="S14" s="48"/>
      <c r="T14" s="48"/>
      <c r="U14" s="436"/>
    </row>
    <row r="15" spans="2:21" x14ac:dyDescent="0.2">
      <c r="B15" s="74"/>
      <c r="C15" s="12"/>
      <c r="D15" s="276" t="s">
        <v>145</v>
      </c>
      <c r="E15" s="244">
        <f>ep_ail</f>
        <v>4</v>
      </c>
      <c r="F15" s="6" t="s">
        <v>124</v>
      </c>
      <c r="G15" s="6" t="s">
        <v>125</v>
      </c>
      <c r="H15" s="247">
        <f ca="1">MS_Cn_min</f>
        <v>58.436562662743498</v>
      </c>
      <c r="I15" s="254">
        <f ca="1">MS_Cn_max</f>
        <v>75.138856263540333</v>
      </c>
      <c r="J15" s="76"/>
      <c r="K15" s="76"/>
      <c r="N15" s="75"/>
      <c r="P15" s="48"/>
      <c r="Q15" s="436"/>
      <c r="R15" s="48"/>
      <c r="S15" s="48"/>
      <c r="T15" s="48"/>
    </row>
    <row r="16" spans="2:21" x14ac:dyDescent="0.2">
      <c r="B16" s="74"/>
      <c r="C16" s="12"/>
      <c r="D16" s="276" t="s">
        <v>146</v>
      </c>
      <c r="E16" s="244">
        <f>Q_ail</f>
        <v>4</v>
      </c>
      <c r="F16" s="6" t="s">
        <v>129</v>
      </c>
      <c r="G16" s="6" t="s">
        <v>130</v>
      </c>
      <c r="H16" s="247">
        <f ca="1">V_para</f>
        <v>20.77594763181694</v>
      </c>
      <c r="I16" s="253">
        <f>V_satellite</f>
        <v>12.655562623057198</v>
      </c>
      <c r="J16" s="76"/>
      <c r="N16" s="75"/>
      <c r="P16" s="48"/>
      <c r="Q16" s="436"/>
      <c r="R16" s="48"/>
      <c r="S16" s="48"/>
      <c r="T16" s="48"/>
      <c r="U16" s="440">
        <f>IF(RIGHT(Nb_diam,1)=",", "", l_j)</f>
        <v>50</v>
      </c>
    </row>
    <row r="17" spans="2:21" x14ac:dyDescent="0.2">
      <c r="B17" s="74"/>
      <c r="C17" s="12"/>
      <c r="D17" s="276" t="s">
        <v>147</v>
      </c>
      <c r="E17" s="272" t="str">
        <f>Forme_ogive</f>
        <v>Conique (droite)</v>
      </c>
      <c r="F17" s="6" t="s">
        <v>131</v>
      </c>
      <c r="G17" s="6" t="s">
        <v>132</v>
      </c>
      <c r="H17" s="660">
        <f>T_para</f>
        <v>21.8</v>
      </c>
      <c r="I17" s="661"/>
      <c r="J17" s="258"/>
      <c r="N17" s="75"/>
      <c r="P17" s="434" t="s">
        <v>342</v>
      </c>
      <c r="Q17" s="440">
        <f>IF(RIGHT(Nb_diam,1)=",", "", D2j)</f>
        <v>104</v>
      </c>
      <c r="R17" s="48"/>
      <c r="S17" s="48"/>
      <c r="T17" s="48"/>
      <c r="U17" s="436"/>
    </row>
    <row r="18" spans="2:21" x14ac:dyDescent="0.2">
      <c r="B18" s="74"/>
      <c r="C18" s="12"/>
      <c r="D18" s="276" t="s">
        <v>149</v>
      </c>
      <c r="E18" s="244">
        <f ca="1">XpropuRef-Long_propu</f>
        <v>549</v>
      </c>
      <c r="F18" s="12" t="s">
        <v>131</v>
      </c>
      <c r="G18" s="12" t="s">
        <v>427</v>
      </c>
      <c r="H18" s="627">
        <f ca="1">T_para-Combustion-Depotage</f>
        <v>21.8</v>
      </c>
      <c r="I18" s="664"/>
      <c r="N18" s="75"/>
      <c r="P18" s="48"/>
      <c r="Q18" s="436"/>
      <c r="R18" s="48"/>
      <c r="S18" s="48"/>
    </row>
    <row r="19" spans="2:21" x14ac:dyDescent="0.2">
      <c r="B19" s="74"/>
      <c r="C19" s="533"/>
      <c r="D19" s="269"/>
      <c r="E19" s="271"/>
      <c r="F19" s="521" t="s">
        <v>133</v>
      </c>
      <c r="G19" s="274" t="s">
        <v>426</v>
      </c>
      <c r="H19" s="665">
        <f ca="1">Portee_balistique</f>
        <v>781.88500774856686</v>
      </c>
      <c r="I19" s="666"/>
      <c r="N19" s="75"/>
      <c r="P19" s="48"/>
      <c r="Q19" s="436"/>
      <c r="R19" s="48"/>
      <c r="S19" s="48"/>
      <c r="T19" s="48"/>
    </row>
    <row r="20" spans="2:21" x14ac:dyDescent="0.2">
      <c r="B20" s="74"/>
      <c r="C20" s="12"/>
      <c r="D20" s="6"/>
      <c r="E20" s="6"/>
      <c r="H20" s="520"/>
      <c r="I20" s="520"/>
      <c r="N20" s="75"/>
      <c r="P20" s="48"/>
      <c r="Q20" s="436"/>
      <c r="R20" s="48"/>
      <c r="S20" s="48"/>
      <c r="T20" s="48"/>
      <c r="U20" s="440">
        <f>IF(RIGHT(Nb_diam,1)=",", "", l_r)</f>
        <v>50</v>
      </c>
    </row>
    <row r="21" spans="2:21" x14ac:dyDescent="0.2">
      <c r="B21" s="74"/>
      <c r="C21" s="12"/>
      <c r="D21" s="6"/>
      <c r="E21" s="263"/>
      <c r="F21" s="3"/>
      <c r="G21" s="6"/>
      <c r="H21" s="520"/>
      <c r="I21" s="520"/>
      <c r="N21" s="75"/>
      <c r="O21" s="273"/>
      <c r="P21" s="436"/>
      <c r="Q21" s="48"/>
      <c r="R21" s="48"/>
      <c r="S21" s="48"/>
      <c r="T21" s="226"/>
      <c r="U21" s="436"/>
    </row>
    <row r="22" spans="2:21" x14ac:dyDescent="0.2">
      <c r="B22" s="74"/>
      <c r="C22" s="528" t="s">
        <v>453</v>
      </c>
      <c r="D22" s="528" t="s">
        <v>437</v>
      </c>
      <c r="E22" s="529"/>
      <c r="F22" s="530" t="s">
        <v>442</v>
      </c>
      <c r="G22" s="528" t="s">
        <v>447</v>
      </c>
      <c r="I22" s="531"/>
      <c r="J22" s="532" t="s">
        <v>157</v>
      </c>
      <c r="K22" s="528" t="s">
        <v>158</v>
      </c>
      <c r="N22" s="75"/>
      <c r="O22" s="273"/>
      <c r="P22" s="436"/>
      <c r="Q22" s="48"/>
      <c r="R22" s="48"/>
      <c r="S22" s="48"/>
      <c r="T22" s="226"/>
      <c r="U22" s="436"/>
    </row>
    <row r="23" spans="2:21" x14ac:dyDescent="0.2">
      <c r="B23" s="74"/>
      <c r="C23" s="528" t="s">
        <v>452</v>
      </c>
      <c r="D23" s="529">
        <f>XcgSans</f>
        <v>250</v>
      </c>
      <c r="E23" s="529" t="s">
        <v>39</v>
      </c>
      <c r="F23" s="530">
        <f>m_ail</f>
        <v>210</v>
      </c>
      <c r="G23" s="528">
        <f>m_can</f>
        <v>70</v>
      </c>
      <c r="I23" s="531" t="s">
        <v>448</v>
      </c>
      <c r="J23" s="530">
        <f>l_j</f>
        <v>50</v>
      </c>
      <c r="K23" s="528">
        <f>l_r</f>
        <v>50</v>
      </c>
      <c r="N23" s="75"/>
      <c r="O23" s="273"/>
      <c r="P23" s="436"/>
      <c r="Q23" s="48"/>
      <c r="R23" s="48"/>
      <c r="S23" s="48"/>
      <c r="T23" s="226"/>
      <c r="U23" s="436"/>
    </row>
    <row r="24" spans="2:21" x14ac:dyDescent="0.2">
      <c r="B24" s="74"/>
      <c r="C24" s="528" t="s">
        <v>440</v>
      </c>
      <c r="D24" s="528">
        <f>Long_tot</f>
        <v>1035</v>
      </c>
      <c r="E24" s="529" t="s">
        <v>443</v>
      </c>
      <c r="F24" s="530">
        <f>n_ail</f>
        <v>120</v>
      </c>
      <c r="G24" s="528">
        <f>n_can</f>
        <v>10</v>
      </c>
      <c r="I24" s="531" t="s">
        <v>449</v>
      </c>
      <c r="J24" s="530">
        <f>D1j</f>
        <v>84</v>
      </c>
      <c r="K24" s="528">
        <f>D1r</f>
        <v>84</v>
      </c>
      <c r="N24" s="75"/>
      <c r="O24" s="273"/>
      <c r="P24" s="436"/>
      <c r="Q24" s="48"/>
      <c r="R24" s="48"/>
      <c r="S24" s="48"/>
      <c r="T24" s="226"/>
      <c r="U24" s="436"/>
    </row>
    <row r="25" spans="2:21" x14ac:dyDescent="0.2">
      <c r="B25" s="74"/>
      <c r="C25" s="528" t="s">
        <v>441</v>
      </c>
      <c r="D25" s="528">
        <f>XpropuRef</f>
        <v>1035</v>
      </c>
      <c r="E25" s="529" t="s">
        <v>444</v>
      </c>
      <c r="F25" s="530">
        <f>p_ail</f>
        <v>170</v>
      </c>
      <c r="G25" s="528">
        <f>p_can</f>
        <v>40</v>
      </c>
      <c r="I25" s="531" t="s">
        <v>450</v>
      </c>
      <c r="J25" s="530">
        <f>D2j</f>
        <v>104</v>
      </c>
      <c r="K25" s="528">
        <f>D2r</f>
        <v>104</v>
      </c>
      <c r="N25" s="75"/>
      <c r="O25" s="273"/>
      <c r="P25" s="436"/>
      <c r="Q25" s="48"/>
      <c r="R25" s="48"/>
      <c r="S25" s="48"/>
      <c r="T25" s="226"/>
      <c r="U25" s="436"/>
    </row>
    <row r="26" spans="2:21" x14ac:dyDescent="0.2">
      <c r="B26" s="74"/>
      <c r="C26" s="528" t="s">
        <v>438</v>
      </c>
      <c r="D26" s="528">
        <f>D_ref</f>
        <v>104</v>
      </c>
      <c r="E26" s="529" t="s">
        <v>445</v>
      </c>
      <c r="F26" s="530">
        <f>E_ail</f>
        <v>150</v>
      </c>
      <c r="G26" s="528">
        <f>E_can</f>
        <v>50</v>
      </c>
      <c r="I26" s="531" t="s">
        <v>451</v>
      </c>
      <c r="J26" s="530">
        <f>X_j</f>
        <v>1</v>
      </c>
      <c r="K26" s="528">
        <f>X_r</f>
        <v>0</v>
      </c>
      <c r="N26" s="75"/>
      <c r="O26" s="273"/>
      <c r="P26" s="436"/>
      <c r="Q26" s="48"/>
      <c r="R26" s="48"/>
      <c r="S26" s="48"/>
      <c r="T26" s="226"/>
      <c r="U26" s="436"/>
    </row>
    <row r="27" spans="2:21" x14ac:dyDescent="0.2">
      <c r="B27" s="74"/>
      <c r="C27" s="528" t="s">
        <v>439</v>
      </c>
      <c r="D27" s="528">
        <f>Long_ogive</f>
        <v>1</v>
      </c>
      <c r="E27" s="529" t="s">
        <v>446</v>
      </c>
      <c r="F27" s="530">
        <f>X_ail</f>
        <v>1015</v>
      </c>
      <c r="G27" s="528">
        <f>X_can</f>
        <v>700</v>
      </c>
      <c r="H27" s="520"/>
      <c r="I27" s="3"/>
      <c r="J27" s="2"/>
      <c r="N27" s="75"/>
      <c r="O27" s="273"/>
      <c r="P27" s="436"/>
      <c r="Q27" s="48"/>
      <c r="R27" s="48"/>
      <c r="S27" s="48"/>
      <c r="T27" s="226"/>
      <c r="U27" s="436"/>
    </row>
    <row r="28" spans="2:21" ht="13.5" thickBot="1" x14ac:dyDescent="0.25">
      <c r="B28" s="74"/>
      <c r="E28" s="95"/>
      <c r="N28" s="75"/>
      <c r="O28" s="2"/>
      <c r="P28" s="6"/>
      <c r="Q28" s="2"/>
      <c r="R28" s="48"/>
      <c r="S28" s="48"/>
      <c r="T28" s="48"/>
      <c r="U28" s="436"/>
    </row>
    <row r="29" spans="2:21" ht="13.5" thickBot="1" x14ac:dyDescent="0.25">
      <c r="B29" s="74"/>
      <c r="C29" s="663" t="s">
        <v>142</v>
      </c>
      <c r="D29" s="663" t="s">
        <v>134</v>
      </c>
      <c r="E29" s="663" t="s">
        <v>135</v>
      </c>
      <c r="F29" s="663"/>
      <c r="G29" s="663"/>
      <c r="H29" s="662" t="s">
        <v>136</v>
      </c>
      <c r="I29" s="662"/>
      <c r="J29" s="662"/>
      <c r="K29" s="662"/>
      <c r="L29" s="663" t="s">
        <v>137</v>
      </c>
      <c r="M29" s="663" t="s">
        <v>138</v>
      </c>
      <c r="N29" s="75"/>
      <c r="O29" s="273" t="s">
        <v>430</v>
      </c>
      <c r="P29" s="441">
        <f>n_ail</f>
        <v>120</v>
      </c>
      <c r="Q29" s="2"/>
      <c r="R29" s="48"/>
      <c r="S29" s="48"/>
      <c r="T29" s="48"/>
      <c r="U29" s="12" t="s">
        <v>434</v>
      </c>
    </row>
    <row r="30" spans="2:21" ht="13.5" thickBot="1" x14ac:dyDescent="0.25">
      <c r="B30" s="74"/>
      <c r="C30" s="663"/>
      <c r="D30" s="663"/>
      <c r="E30" s="663"/>
      <c r="F30" s="663"/>
      <c r="G30" s="663"/>
      <c r="H30" s="662" t="s">
        <v>139</v>
      </c>
      <c r="I30" s="662"/>
      <c r="J30" s="69" t="s">
        <v>140</v>
      </c>
      <c r="K30" s="70" t="s">
        <v>141</v>
      </c>
      <c r="L30" s="663"/>
      <c r="M30" s="663"/>
      <c r="N30" s="75"/>
      <c r="P30" s="12"/>
      <c r="R30" s="48"/>
      <c r="S30" s="48"/>
      <c r="T30" s="226" t="s">
        <v>432</v>
      </c>
      <c r="U30" s="525">
        <f>[0]!p_can</f>
        <v>40</v>
      </c>
    </row>
    <row r="31" spans="2:21" ht="13.5" thickBot="1" x14ac:dyDescent="0.25">
      <c r="B31" s="74"/>
      <c r="C31" s="83">
        <f>Beta_rampe</f>
        <v>85</v>
      </c>
      <c r="D31" s="84">
        <f ca="1">Portee_balistique</f>
        <v>781.88500774856686</v>
      </c>
      <c r="E31" s="667">
        <f ca="1">T_para+Dt_para</f>
        <v>168.16203329225701</v>
      </c>
      <c r="F31" s="667"/>
      <c r="G31" s="667"/>
      <c r="H31" s="668">
        <f ca="1">Altitude_culmi</f>
        <v>3041.5232658427863</v>
      </c>
      <c r="I31" s="668"/>
      <c r="J31" s="85">
        <f ca="1">Temps_culmi</f>
        <v>22.099999999999984</v>
      </c>
      <c r="K31" s="86">
        <f ca="1">Vit_culmi</f>
        <v>15.563544270701611</v>
      </c>
      <c r="L31" s="84">
        <f ca="1">Acc_max</f>
        <v>144.34946368663304</v>
      </c>
      <c r="M31" s="86">
        <f ca="1">Vit_max</f>
        <v>344.87216769595085</v>
      </c>
      <c r="N31" s="75"/>
      <c r="O31" s="273" t="s">
        <v>436</v>
      </c>
      <c r="P31" s="441">
        <f>ep_ail</f>
        <v>4</v>
      </c>
      <c r="Q31" s="2"/>
      <c r="R31" s="48"/>
      <c r="S31" s="48"/>
      <c r="T31" s="226" t="s">
        <v>344</v>
      </c>
      <c r="U31" s="525">
        <f>[0]!m_can</f>
        <v>70</v>
      </c>
    </row>
    <row r="32" spans="2:21" ht="13.5" thickBot="1" x14ac:dyDescent="0.25">
      <c r="B32" s="74"/>
      <c r="C32" s="522"/>
      <c r="D32" s="242"/>
      <c r="E32" s="247"/>
      <c r="F32" s="247"/>
      <c r="G32" s="247"/>
      <c r="H32" s="283"/>
      <c r="I32" s="283"/>
      <c r="J32" s="247"/>
      <c r="K32" s="248"/>
      <c r="L32" s="242"/>
      <c r="M32" s="248"/>
      <c r="N32" s="75"/>
      <c r="O32" s="273" t="s">
        <v>435</v>
      </c>
      <c r="P32" s="524">
        <f>Q_ail</f>
        <v>4</v>
      </c>
      <c r="Q32" s="2"/>
      <c r="R32" s="48"/>
      <c r="S32" s="48"/>
      <c r="T32" s="226" t="s">
        <v>430</v>
      </c>
      <c r="U32" s="525">
        <f>[0]!n_can</f>
        <v>10</v>
      </c>
    </row>
    <row r="33" spans="2:21" ht="13.5" thickBot="1" x14ac:dyDescent="0.25">
      <c r="B33" s="74"/>
      <c r="D33" s="80"/>
      <c r="E33" s="81"/>
      <c r="F33" s="81"/>
      <c r="G33" s="81"/>
      <c r="H33" s="82"/>
      <c r="I33" s="82"/>
      <c r="J33" s="81"/>
      <c r="K33" s="76"/>
      <c r="L33" s="80"/>
      <c r="M33" s="76"/>
      <c r="N33" s="75"/>
      <c r="O33" s="2"/>
      <c r="Q33" s="2"/>
      <c r="R33" s="48"/>
      <c r="S33" s="48"/>
      <c r="T33" s="226" t="s">
        <v>431</v>
      </c>
      <c r="U33" s="525">
        <f>[0]!E_can</f>
        <v>50</v>
      </c>
    </row>
    <row r="34" spans="2:21" ht="13.5" thickBot="1" x14ac:dyDescent="0.25"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2"/>
      <c r="P34" s="273" t="s">
        <v>431</v>
      </c>
      <c r="Q34" s="441">
        <f>E_ail</f>
        <v>150</v>
      </c>
      <c r="T34" s="226" t="s">
        <v>436</v>
      </c>
      <c r="U34" s="525">
        <f>[0]!ep_can</f>
        <v>2</v>
      </c>
    </row>
    <row r="35" spans="2:21" x14ac:dyDescent="0.2">
      <c r="O35" s="2"/>
      <c r="P35" s="6"/>
      <c r="Q35" s="6"/>
      <c r="T35" s="226" t="s">
        <v>435</v>
      </c>
      <c r="U35" s="525">
        <f>[0]!Q_can</f>
        <v>4</v>
      </c>
    </row>
    <row r="36" spans="2:21" ht="13.5" thickBot="1" x14ac:dyDescent="0.25">
      <c r="T36" s="2"/>
      <c r="U36" s="12"/>
    </row>
    <row r="37" spans="2:21" x14ac:dyDescent="0.2">
      <c r="B37" s="71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3"/>
      <c r="T37" s="2"/>
    </row>
    <row r="38" spans="2:21" x14ac:dyDescent="0.2">
      <c r="B38" s="74"/>
      <c r="D38" s="2" t="s">
        <v>196</v>
      </c>
      <c r="N38" s="75"/>
    </row>
    <row r="39" spans="2:21" x14ac:dyDescent="0.2">
      <c r="B39" s="74"/>
      <c r="D39" s="2"/>
      <c r="N39" s="75"/>
    </row>
    <row r="40" spans="2:21" x14ac:dyDescent="0.2">
      <c r="B40" s="74"/>
      <c r="D40" s="275" t="s">
        <v>150</v>
      </c>
      <c r="E40" s="246">
        <f>D_ref</f>
        <v>104</v>
      </c>
      <c r="F40" s="265"/>
      <c r="G40" s="265"/>
      <c r="H40" s="261" t="s">
        <v>199</v>
      </c>
      <c r="I40" s="261" t="s">
        <v>200</v>
      </c>
      <c r="J40" s="262" t="s">
        <v>201</v>
      </c>
      <c r="N40" s="75"/>
    </row>
    <row r="41" spans="2:21" x14ac:dyDescent="0.2">
      <c r="B41" s="74"/>
      <c r="D41" s="276" t="s">
        <v>148</v>
      </c>
      <c r="E41" s="6">
        <f>Long_ogive</f>
        <v>1</v>
      </c>
      <c r="F41" s="2"/>
      <c r="G41" s="2" t="s">
        <v>202</v>
      </c>
      <c r="H41" s="6">
        <f>MasseSans</f>
        <v>4.83</v>
      </c>
      <c r="I41" s="6">
        <f ca="1">MasseVide</f>
        <v>6.468</v>
      </c>
      <c r="J41" s="244">
        <f ca="1">MassePlein</f>
        <v>8.3410000000000011</v>
      </c>
      <c r="N41" s="75"/>
    </row>
    <row r="42" spans="2:21" x14ac:dyDescent="0.2">
      <c r="B42" s="74"/>
      <c r="D42" s="276" t="s">
        <v>151</v>
      </c>
      <c r="E42" s="6">
        <f>X_ail-m_ail</f>
        <v>805</v>
      </c>
      <c r="F42" s="255"/>
      <c r="G42" s="255" t="s">
        <v>219</v>
      </c>
      <c r="H42" s="263">
        <f>XcgSans</f>
        <v>250</v>
      </c>
      <c r="I42" s="263">
        <f ca="1">XcgVide</f>
        <v>387.25974025974023</v>
      </c>
      <c r="J42" s="245">
        <f ca="1">XcgPlein</f>
        <v>478.14554609759017</v>
      </c>
      <c r="N42" s="75"/>
    </row>
    <row r="43" spans="2:21" x14ac:dyDescent="0.2">
      <c r="B43" s="74"/>
      <c r="D43" s="276" t="str">
        <f>IF(Lang="Français","Emplanture 'm'",IF(Lang="English","Root edge  'm'",""))</f>
        <v>Emplanture 'm'</v>
      </c>
      <c r="E43" s="244">
        <f>m_ail</f>
        <v>210</v>
      </c>
      <c r="N43" s="75"/>
    </row>
    <row r="44" spans="2:21" x14ac:dyDescent="0.2">
      <c r="B44" s="74"/>
      <c r="D44" s="276" t="str">
        <f>IF(Lang="Français","Saumon      'n'",IF(Lang="English","Tip edge    'n'",""))</f>
        <v>Saumon      'n'</v>
      </c>
      <c r="E44" s="244">
        <f>n_ail</f>
        <v>120</v>
      </c>
      <c r="F44" s="246" t="s">
        <v>203</v>
      </c>
      <c r="G44" s="246" t="s">
        <v>208</v>
      </c>
      <c r="H44" s="658">
        <f ca="1">Vsortie_de_rampe</f>
        <v>30.576574549349424</v>
      </c>
      <c r="I44" s="659"/>
      <c r="N44" s="75"/>
    </row>
    <row r="45" spans="2:21" x14ac:dyDescent="0.2">
      <c r="B45" s="74"/>
      <c r="D45" s="276" t="str">
        <f>IF(Lang="Français","Flèche        'p'",IF(Lang="English","Offset         'p'",""))</f>
        <v>Flèche        'p'</v>
      </c>
      <c r="E45" s="244">
        <f>p_ail</f>
        <v>170</v>
      </c>
      <c r="F45" s="6" t="s">
        <v>204</v>
      </c>
      <c r="G45" s="6" t="s">
        <v>209</v>
      </c>
      <c r="H45" s="660">
        <f>Finesse</f>
        <v>9.9519230769230766</v>
      </c>
      <c r="I45" s="661"/>
      <c r="N45" s="75"/>
    </row>
    <row r="46" spans="2:21" x14ac:dyDescent="0.2">
      <c r="B46" s="74"/>
      <c r="D46" s="276" t="str">
        <f>IF(Lang="Français","Envergure   'E'",IF(Lang="English","Span          'E'",""))</f>
        <v>Envergure   'E'</v>
      </c>
      <c r="E46" s="244">
        <f>E_ail</f>
        <v>150</v>
      </c>
      <c r="F46" s="6" t="s">
        <v>205</v>
      </c>
      <c r="G46" s="6" t="s">
        <v>210</v>
      </c>
      <c r="H46" s="660">
        <f>Cn</f>
        <v>19.112319228174467</v>
      </c>
      <c r="I46" s="661"/>
      <c r="N46" s="75"/>
    </row>
    <row r="47" spans="2:21" x14ac:dyDescent="0.2">
      <c r="B47" s="74"/>
      <c r="D47" s="276" t="s">
        <v>145</v>
      </c>
      <c r="E47" s="244">
        <f>ep_ail</f>
        <v>4</v>
      </c>
      <c r="F47" s="6" t="s">
        <v>206</v>
      </c>
      <c r="G47" s="6" t="s">
        <v>211</v>
      </c>
      <c r="H47" s="247">
        <f ca="1">MS_min</f>
        <v>3.0575338327647392</v>
      </c>
      <c r="I47" s="254">
        <f ca="1">MS_max</f>
        <v>3.9314358119748345</v>
      </c>
      <c r="N47" s="75"/>
    </row>
    <row r="48" spans="2:21" x14ac:dyDescent="0.2">
      <c r="B48" s="74"/>
      <c r="D48" s="276" t="s">
        <v>146</v>
      </c>
      <c r="E48" s="244">
        <f>Q_ail</f>
        <v>4</v>
      </c>
      <c r="F48" s="274" t="s">
        <v>207</v>
      </c>
      <c r="G48" s="274" t="s">
        <v>212</v>
      </c>
      <c r="H48" s="256">
        <f ca="1">MS_Cn_min</f>
        <v>58.436562662743498</v>
      </c>
      <c r="I48" s="264">
        <f ca="1">MS_Cn_max</f>
        <v>75.138856263540333</v>
      </c>
      <c r="N48" s="75"/>
    </row>
    <row r="49" spans="2:14" x14ac:dyDescent="0.2">
      <c r="B49" s="74"/>
      <c r="D49" s="276" t="s">
        <v>149</v>
      </c>
      <c r="E49" s="244">
        <f ca="1">XpropuRef-Long_propu</f>
        <v>549</v>
      </c>
      <c r="N49" s="75"/>
    </row>
    <row r="50" spans="2:14" x14ac:dyDescent="0.2">
      <c r="B50" s="74"/>
      <c r="D50" s="276" t="s">
        <v>147</v>
      </c>
      <c r="E50" s="272" t="str">
        <f>Forme_ogive</f>
        <v>Conique (droite)</v>
      </c>
      <c r="F50" s="273" t="s">
        <v>184</v>
      </c>
      <c r="G50" s="275" t="s">
        <v>5</v>
      </c>
      <c r="H50" s="246">
        <f>Cx</f>
        <v>0.5</v>
      </c>
      <c r="I50" s="265"/>
      <c r="J50" s="266"/>
      <c r="N50" s="75"/>
    </row>
    <row r="51" spans="2:14" x14ac:dyDescent="0.2">
      <c r="B51" s="74"/>
      <c r="D51" s="276" t="s">
        <v>143</v>
      </c>
      <c r="E51" s="244">
        <f>Long_tot</f>
        <v>1035</v>
      </c>
      <c r="G51" s="276" t="s">
        <v>213</v>
      </c>
      <c r="H51" s="6">
        <f>Sref</f>
        <v>1.08948665353068E-2</v>
      </c>
      <c r="J51" s="267"/>
      <c r="N51" s="75"/>
    </row>
    <row r="52" spans="2:14" x14ac:dyDescent="0.2">
      <c r="B52" s="74"/>
      <c r="D52" s="276" t="s">
        <v>197</v>
      </c>
      <c r="E52" s="244">
        <f>MAX(D_ref,D_ail,D_og,(RIGHT(Nb_diam,1)=",")*MAX(D1j,D1r,D2j,D2r))</f>
        <v>104</v>
      </c>
      <c r="G52" s="276" t="s">
        <v>214</v>
      </c>
      <c r="H52" s="6">
        <f>Beta_rampe</f>
        <v>85</v>
      </c>
      <c r="I52" s="6">
        <v>80</v>
      </c>
      <c r="J52" s="244">
        <v>90</v>
      </c>
      <c r="N52" s="75"/>
    </row>
    <row r="53" spans="2:14" x14ac:dyDescent="0.2">
      <c r="B53" s="74"/>
      <c r="D53" s="277" t="s">
        <v>198</v>
      </c>
      <c r="E53" s="260">
        <f>E_ail*2+D_ail</f>
        <v>404</v>
      </c>
      <c r="G53" s="278" t="s">
        <v>216</v>
      </c>
      <c r="H53" s="247">
        <f ca="1">Temps_culmi</f>
        <v>22.099999999999984</v>
      </c>
      <c r="I53" s="259"/>
      <c r="J53" s="268"/>
      <c r="N53" s="75"/>
    </row>
    <row r="54" spans="2:14" x14ac:dyDescent="0.2">
      <c r="B54" s="74"/>
      <c r="G54" s="278" t="s">
        <v>217</v>
      </c>
      <c r="H54" s="242">
        <f ca="1">Altitude_culmi</f>
        <v>3041.5232658427863</v>
      </c>
      <c r="I54" s="259"/>
      <c r="J54" s="268"/>
      <c r="N54" s="75"/>
    </row>
    <row r="55" spans="2:14" x14ac:dyDescent="0.2">
      <c r="B55" s="74"/>
      <c r="C55" s="275" t="s">
        <v>234</v>
      </c>
      <c r="D55" s="249" t="s">
        <v>61</v>
      </c>
      <c r="E55" s="243">
        <f>Long_tot</f>
        <v>1035</v>
      </c>
      <c r="G55" s="278" t="s">
        <v>218</v>
      </c>
      <c r="H55" s="248">
        <f ca="1">Vit_culmi</f>
        <v>15.563544270701611</v>
      </c>
      <c r="I55" s="259"/>
      <c r="J55" s="268"/>
      <c r="N55" s="75"/>
    </row>
    <row r="56" spans="2:14" x14ac:dyDescent="0.2">
      <c r="B56" s="74"/>
      <c r="C56" s="276"/>
      <c r="D56" s="2" t="s">
        <v>220</v>
      </c>
      <c r="E56" s="244">
        <f>MAX(D_ref,D_ail,D_og,(RIGHT(Nb_diam,1)=",")*MAX(D1j,D1r,D2j,D2r))</f>
        <v>104</v>
      </c>
      <c r="G56" s="278" t="s">
        <v>134</v>
      </c>
      <c r="H56" s="242">
        <f ca="1">Portee_balistique</f>
        <v>781.88500774856686</v>
      </c>
      <c r="I56" s="259"/>
      <c r="J56" s="268"/>
      <c r="N56" s="75"/>
    </row>
    <row r="57" spans="2:14" x14ac:dyDescent="0.2">
      <c r="B57" s="74"/>
      <c r="C57" s="276"/>
      <c r="D57" s="2" t="s">
        <v>221</v>
      </c>
      <c r="E57" s="244">
        <f>E_ail*2+D_ail</f>
        <v>404</v>
      </c>
      <c r="G57" s="278" t="s">
        <v>215</v>
      </c>
      <c r="H57" s="242">
        <f ca="1">T_balistique</f>
        <v>52.800000000000416</v>
      </c>
      <c r="I57" s="259"/>
      <c r="J57" s="268"/>
      <c r="N57" s="75"/>
    </row>
    <row r="58" spans="2:14" x14ac:dyDescent="0.2">
      <c r="B58" s="74"/>
      <c r="C58" s="276"/>
      <c r="D58" s="2" t="s">
        <v>222</v>
      </c>
      <c r="E58" s="244">
        <f ca="1">MassePlein</f>
        <v>8.3410000000000011</v>
      </c>
      <c r="G58" s="278" t="s">
        <v>138</v>
      </c>
      <c r="H58" s="248">
        <f ca="1">Vit_max</f>
        <v>344.87216769595085</v>
      </c>
      <c r="I58" s="259"/>
      <c r="J58" s="268"/>
      <c r="N58" s="75"/>
    </row>
    <row r="59" spans="2:14" x14ac:dyDescent="0.2">
      <c r="B59" s="74"/>
      <c r="C59" s="277" t="s">
        <v>235</v>
      </c>
      <c r="D59" s="255" t="s">
        <v>146</v>
      </c>
      <c r="E59" s="260">
        <f>Q_ail</f>
        <v>4</v>
      </c>
      <c r="G59" s="278" t="s">
        <v>137</v>
      </c>
      <c r="H59" s="242">
        <f ca="1">Acc_max</f>
        <v>144.34946368663304</v>
      </c>
      <c r="I59" s="259"/>
      <c r="J59" s="268"/>
      <c r="N59" s="75"/>
    </row>
    <row r="60" spans="2:14" x14ac:dyDescent="0.2">
      <c r="B60" s="74"/>
      <c r="C60" s="12"/>
      <c r="G60" s="269" t="s">
        <v>223</v>
      </c>
      <c r="H60" s="270"/>
      <c r="I60" s="270"/>
      <c r="J60" s="271"/>
      <c r="N60" s="75"/>
    </row>
    <row r="61" spans="2:14" x14ac:dyDescent="0.2">
      <c r="B61" s="74"/>
      <c r="C61" s="275"/>
      <c r="D61" s="249"/>
      <c r="E61" s="246" t="s">
        <v>227</v>
      </c>
      <c r="F61" s="243" t="s">
        <v>228</v>
      </c>
      <c r="G61" s="2"/>
      <c r="H61" s="2"/>
      <c r="I61" s="2"/>
      <c r="J61" s="2"/>
      <c r="K61" s="2"/>
      <c r="N61" s="75"/>
    </row>
    <row r="62" spans="2:14" x14ac:dyDescent="0.2">
      <c r="B62" s="74"/>
      <c r="C62" s="276" t="s">
        <v>236</v>
      </c>
      <c r="D62" s="2" t="s">
        <v>226</v>
      </c>
      <c r="E62" s="242">
        <f ca="1">2*Acc_max*MassePlein</f>
        <v>2408.0377532204129</v>
      </c>
      <c r="F62" s="280">
        <f ca="1">E62/9.81</f>
        <v>245.46766087873729</v>
      </c>
      <c r="H62" s="2"/>
      <c r="I62" s="2"/>
      <c r="J62" s="2"/>
      <c r="K62" s="2"/>
      <c r="N62" s="75"/>
    </row>
    <row r="63" spans="2:14" x14ac:dyDescent="0.2">
      <c r="B63" s="74"/>
      <c r="C63" s="276"/>
      <c r="D63" s="2" t="s">
        <v>224</v>
      </c>
      <c r="E63" s="242">
        <f ca="1">2*Acc_max*Masse_ail</f>
        <v>57.162387619906688</v>
      </c>
      <c r="F63" s="248">
        <f ca="1">E63/9.81</f>
        <v>5.8269508277172974</v>
      </c>
      <c r="G63" s="246" t="s">
        <v>230</v>
      </c>
      <c r="H63" s="288">
        <f>S_ail*(ep_ail/1000)*2000</f>
        <v>0.19800000000000001</v>
      </c>
      <c r="I63" s="2"/>
      <c r="J63" s="2"/>
      <c r="K63" s="2"/>
      <c r="N63" s="75"/>
    </row>
    <row r="64" spans="2:14" x14ac:dyDescent="0.2">
      <c r="B64" s="74"/>
      <c r="C64" s="277"/>
      <c r="D64" s="255" t="s">
        <v>225</v>
      </c>
      <c r="E64" s="263">
        <f ca="1">0.104*S_ail*Vit_max^2</f>
        <v>306.14335422005661</v>
      </c>
      <c r="F64" s="281">
        <f ca="1">E64/9.81</f>
        <v>31.207273620800876</v>
      </c>
      <c r="G64" s="274" t="s">
        <v>229</v>
      </c>
      <c r="H64" s="289">
        <f>(E_ail*(m_ail+n_ail)/2)/10^6</f>
        <v>2.4750000000000001E-2</v>
      </c>
      <c r="I64" s="2"/>
      <c r="J64" s="2"/>
      <c r="K64" s="2"/>
      <c r="N64" s="75"/>
    </row>
    <row r="65" spans="2:14" x14ac:dyDescent="0.2">
      <c r="B65" s="74"/>
      <c r="C65" s="282" t="s">
        <v>243</v>
      </c>
      <c r="D65" s="285" t="s">
        <v>241</v>
      </c>
      <c r="E65" s="286">
        <f ca="1">2*Acc_max*H65</f>
        <v>1204.0188766102065</v>
      </c>
      <c r="F65" s="286">
        <f ca="1">E65/9.81</f>
        <v>122.73383043936865</v>
      </c>
      <c r="G65" s="287" t="s">
        <v>242</v>
      </c>
      <c r="H65" s="279">
        <f ca="1">E58/2</f>
        <v>4.1705000000000005</v>
      </c>
      <c r="I65" s="2"/>
      <c r="J65" s="2"/>
      <c r="K65" s="2"/>
      <c r="N65" s="75"/>
    </row>
    <row r="66" spans="2:14" x14ac:dyDescent="0.2">
      <c r="B66" s="74"/>
      <c r="C66" s="6"/>
      <c r="D66" s="2"/>
      <c r="E66" s="2"/>
      <c r="F66" s="2"/>
      <c r="G66" s="2"/>
      <c r="H66" s="2"/>
      <c r="I66" s="2"/>
      <c r="J66" s="2"/>
      <c r="K66" s="2"/>
      <c r="N66" s="75"/>
    </row>
    <row r="67" spans="2:14" x14ac:dyDescent="0.2">
      <c r="B67" s="74"/>
      <c r="F67" s="275" t="s">
        <v>233</v>
      </c>
      <c r="G67" s="249" t="s">
        <v>231</v>
      </c>
      <c r="H67" s="250">
        <f>T_para</f>
        <v>21.8</v>
      </c>
      <c r="I67" s="251">
        <f ca="1">Temps_culmi</f>
        <v>22.099999999999984</v>
      </c>
      <c r="J67" s="2"/>
      <c r="K67" s="2"/>
      <c r="N67" s="75"/>
    </row>
    <row r="68" spans="2:14" x14ac:dyDescent="0.2">
      <c r="B68" s="74"/>
      <c r="C68" s="6"/>
      <c r="D68" s="2"/>
      <c r="E68" s="2"/>
      <c r="F68" s="275" t="s">
        <v>232</v>
      </c>
      <c r="G68" s="249" t="s">
        <v>130</v>
      </c>
      <c r="H68" s="250">
        <f ca="1">V_para</f>
        <v>20.77594763181694</v>
      </c>
      <c r="I68" s="251">
        <f>V_satellite</f>
        <v>12.655562623057198</v>
      </c>
      <c r="J68" s="2"/>
      <c r="K68" s="2"/>
      <c r="N68" s="75"/>
    </row>
    <row r="69" spans="2:14" x14ac:dyDescent="0.2">
      <c r="B69" s="74"/>
      <c r="C69" s="6"/>
      <c r="D69" s="2"/>
      <c r="E69" s="2"/>
      <c r="F69" s="276"/>
      <c r="G69" s="2" t="s">
        <v>238</v>
      </c>
      <c r="H69" s="247">
        <f>S_para</f>
        <v>0.24</v>
      </c>
      <c r="I69" s="253">
        <f>S_satellite</f>
        <v>0.1</v>
      </c>
      <c r="J69" s="2"/>
      <c r="K69" s="2"/>
      <c r="N69" s="75"/>
    </row>
    <row r="70" spans="2:14" x14ac:dyDescent="0.2">
      <c r="B70" s="74"/>
      <c r="C70" s="226"/>
      <c r="D70" s="2"/>
      <c r="F70" s="276"/>
      <c r="G70" s="2" t="s">
        <v>237</v>
      </c>
      <c r="H70" s="247">
        <f ca="1">V_ouverture</f>
        <v>16.03494024328851</v>
      </c>
      <c r="I70" s="253">
        <f ca="1">V_ouv_sat</f>
        <v>320.48088327209854</v>
      </c>
      <c r="N70" s="75"/>
    </row>
    <row r="71" spans="2:14" x14ac:dyDescent="0.2">
      <c r="B71" s="74"/>
      <c r="C71" s="226"/>
      <c r="F71" s="276"/>
      <c r="G71" s="2" t="s">
        <v>202</v>
      </c>
      <c r="H71" s="247">
        <f ca="1">m_vide</f>
        <v>6.468</v>
      </c>
      <c r="I71" s="253">
        <f>m_satellite</f>
        <v>1</v>
      </c>
      <c r="N71" s="75"/>
    </row>
    <row r="72" spans="2:14" x14ac:dyDescent="0.2">
      <c r="B72" s="74"/>
      <c r="C72" s="226"/>
      <c r="F72" s="276"/>
      <c r="G72" s="2" t="s">
        <v>239</v>
      </c>
      <c r="H72" s="283">
        <f ca="1">1/2*Rho_moyen*S_para*V_ouverture^2</f>
        <v>37.796538365057508</v>
      </c>
      <c r="I72" s="284">
        <f ca="1">1/2*Rho_moyen*S_satellite*V_ouv_sat^2</f>
        <v>6290.8647882504483</v>
      </c>
      <c r="N72" s="75"/>
    </row>
    <row r="73" spans="2:14" x14ac:dyDescent="0.2">
      <c r="B73" s="74"/>
      <c r="D73" s="2"/>
      <c r="F73" s="277"/>
      <c r="G73" s="255" t="s">
        <v>240</v>
      </c>
      <c r="H73" s="256">
        <f ca="1">H72/9.81</f>
        <v>3.8528581411883289</v>
      </c>
      <c r="I73" s="257">
        <f ca="1">I72/9.81</f>
        <v>641.27062061676327</v>
      </c>
      <c r="N73" s="75"/>
    </row>
    <row r="74" spans="2:14" ht="13.5" thickBot="1" x14ac:dyDescent="0.25">
      <c r="B74" s="77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9"/>
    </row>
    <row r="76" spans="2:14" ht="13.5" thickBot="1" x14ac:dyDescent="0.25"/>
    <row r="77" spans="2:14" x14ac:dyDescent="0.2">
      <c r="B77" s="71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3"/>
    </row>
    <row r="78" spans="2:14" x14ac:dyDescent="0.2">
      <c r="B78" s="74"/>
      <c r="D78" s="2" t="s">
        <v>333</v>
      </c>
      <c r="N78" s="75"/>
    </row>
    <row r="79" spans="2:14" ht="12.75" customHeight="1" x14ac:dyDescent="0.25">
      <c r="B79" s="74"/>
      <c r="E79" s="48"/>
      <c r="F79" s="48"/>
      <c r="G79" s="435" t="s">
        <v>339</v>
      </c>
      <c r="I79" s="448"/>
      <c r="J79" s="48"/>
      <c r="K79" s="48"/>
      <c r="N79" s="75"/>
    </row>
    <row r="80" spans="2:14" x14ac:dyDescent="0.2">
      <c r="B80" s="74"/>
      <c r="C80" s="275" t="s">
        <v>334</v>
      </c>
      <c r="D80" s="243" t="str">
        <f>Nom</f>
        <v xml:space="preserve">SP-02 </v>
      </c>
      <c r="E80" s="48"/>
      <c r="F80" s="48"/>
      <c r="G80" s="48"/>
      <c r="H80" s="48"/>
      <c r="I80" s="48"/>
      <c r="J80" s="48"/>
      <c r="K80" s="48"/>
      <c r="N80" s="75"/>
    </row>
    <row r="81" spans="2:14" ht="13.5" thickBot="1" x14ac:dyDescent="0.25">
      <c r="B81" s="74"/>
      <c r="C81" s="276" t="s">
        <v>4</v>
      </c>
      <c r="D81" s="244" t="str">
        <f>Club</f>
        <v>Aeroipsa</v>
      </c>
      <c r="E81" s="48"/>
      <c r="F81" s="48"/>
      <c r="G81" s="48"/>
      <c r="H81" s="48"/>
      <c r="I81" s="48"/>
      <c r="J81" s="48"/>
      <c r="K81" s="48"/>
      <c r="N81" s="75"/>
    </row>
    <row r="82" spans="2:14" ht="13.5" thickBot="1" x14ac:dyDescent="0.25">
      <c r="B82" s="74"/>
      <c r="C82" s="432" t="s">
        <v>335</v>
      </c>
      <c r="D82" s="244" t="s">
        <v>14</v>
      </c>
      <c r="E82" s="273" t="s">
        <v>340</v>
      </c>
      <c r="F82" s="441">
        <f>Long_ogive</f>
        <v>1</v>
      </c>
      <c r="G82" s="48"/>
      <c r="H82" s="48"/>
      <c r="I82" s="48"/>
      <c r="J82" s="48"/>
      <c r="K82" s="48"/>
      <c r="N82" s="75"/>
    </row>
    <row r="83" spans="2:14" x14ac:dyDescent="0.2">
      <c r="B83" s="74"/>
      <c r="C83" s="277" t="s">
        <v>336</v>
      </c>
      <c r="D83" s="433">
        <f ca="1">TODAY()</f>
        <v>45883</v>
      </c>
      <c r="E83" s="48"/>
      <c r="F83" s="436"/>
      <c r="G83" s="48"/>
      <c r="H83" s="48"/>
      <c r="I83" s="48"/>
      <c r="J83" s="48"/>
      <c r="K83" s="48"/>
      <c r="N83" s="75"/>
    </row>
    <row r="84" spans="2:14" ht="13.5" thickBot="1" x14ac:dyDescent="0.25">
      <c r="B84" s="74"/>
      <c r="E84" s="48"/>
      <c r="F84" s="436"/>
      <c r="G84" s="48"/>
      <c r="H84" s="48"/>
      <c r="I84" s="48"/>
      <c r="J84" s="440">
        <f>IF(RIGHT(Nb_diam,1)=",", "", X_j)</f>
        <v>1</v>
      </c>
      <c r="K84" s="48"/>
      <c r="N84" s="75"/>
    </row>
    <row r="85" spans="2:14" ht="13.5" thickBot="1" x14ac:dyDescent="0.25">
      <c r="B85" s="74"/>
      <c r="C85" s="275" t="s">
        <v>337</v>
      </c>
      <c r="D85" s="243" t="str">
        <f>Propu</f>
        <v>Orignal (Pro75-3G C)</v>
      </c>
      <c r="E85" s="273" t="s">
        <v>341</v>
      </c>
      <c r="F85" s="441">
        <f>D_og</f>
        <v>84</v>
      </c>
      <c r="G85" s="48"/>
      <c r="H85" s="48"/>
      <c r="I85" s="48"/>
      <c r="J85" s="436"/>
      <c r="K85" s="48"/>
      <c r="N85" s="75"/>
    </row>
    <row r="86" spans="2:14" x14ac:dyDescent="0.2">
      <c r="B86" s="74"/>
      <c r="C86" s="277" t="s">
        <v>338</v>
      </c>
      <c r="D86" s="260" t="s">
        <v>14</v>
      </c>
      <c r="E86" s="48"/>
      <c r="F86" s="436"/>
      <c r="G86" s="48"/>
      <c r="H86" s="48"/>
      <c r="I86" s="48"/>
      <c r="J86" s="440">
        <f>IF(RIGHT(Nb_diam,1)=",", "", X_r)</f>
        <v>0</v>
      </c>
      <c r="K86" s="48"/>
      <c r="N86" s="75"/>
    </row>
    <row r="87" spans="2:14" x14ac:dyDescent="0.2">
      <c r="B87" s="74"/>
      <c r="E87" s="48"/>
      <c r="F87" s="436"/>
      <c r="G87" s="48"/>
      <c r="H87" s="48"/>
      <c r="I87" s="48"/>
      <c r="J87" s="436"/>
      <c r="K87" s="48"/>
      <c r="N87" s="75"/>
    </row>
    <row r="88" spans="2:14" x14ac:dyDescent="0.2">
      <c r="B88" s="74"/>
      <c r="E88" s="48"/>
      <c r="F88" s="436"/>
      <c r="G88" s="48"/>
      <c r="H88" s="48"/>
      <c r="I88" s="48"/>
      <c r="J88" s="440">
        <f>IF(RIGHT(Nb_diam,1)=",", "", l_j)</f>
        <v>50</v>
      </c>
      <c r="K88" s="48"/>
      <c r="N88" s="75"/>
    </row>
    <row r="89" spans="2:14" ht="13.5" thickBot="1" x14ac:dyDescent="0.25">
      <c r="B89" s="74"/>
      <c r="E89" s="48"/>
      <c r="F89" s="436"/>
      <c r="G89" s="48"/>
      <c r="H89" s="48"/>
      <c r="I89" s="48"/>
      <c r="J89" s="436"/>
      <c r="K89" s="48"/>
      <c r="N89" s="75"/>
    </row>
    <row r="90" spans="2:14" ht="13.5" thickBot="1" x14ac:dyDescent="0.25">
      <c r="B90" s="74"/>
      <c r="E90" s="434" t="s">
        <v>342</v>
      </c>
      <c r="F90" s="440">
        <f>IF(RIGHT(Nb_diam,1)=",", "", D2j)</f>
        <v>104</v>
      </c>
      <c r="G90" s="48"/>
      <c r="H90" s="48"/>
      <c r="I90" s="48"/>
      <c r="J90" s="441">
        <f>X_ail-m_ail</f>
        <v>805</v>
      </c>
      <c r="K90" s="2"/>
      <c r="N90" s="75"/>
    </row>
    <row r="91" spans="2:14" x14ac:dyDescent="0.2">
      <c r="B91" s="74"/>
      <c r="E91" s="48"/>
      <c r="F91" s="436"/>
      <c r="G91" s="48"/>
      <c r="H91" s="48"/>
      <c r="I91" s="48"/>
      <c r="J91" s="436"/>
      <c r="K91" s="48"/>
      <c r="N91" s="75"/>
    </row>
    <row r="92" spans="2:14" x14ac:dyDescent="0.2">
      <c r="B92" s="74"/>
      <c r="E92" s="48"/>
      <c r="F92" s="436"/>
      <c r="G92" s="48"/>
      <c r="H92" s="48"/>
      <c r="I92" s="48"/>
      <c r="J92" s="440">
        <f>IF(RIGHT(Nb_diam,1)=",", "", l_r)</f>
        <v>50</v>
      </c>
      <c r="K92" s="48"/>
      <c r="N92" s="75"/>
    </row>
    <row r="93" spans="2:14" x14ac:dyDescent="0.2">
      <c r="B93" s="74"/>
      <c r="E93" s="48"/>
      <c r="F93" s="436"/>
      <c r="G93" s="48"/>
      <c r="H93" s="48"/>
      <c r="I93" s="48"/>
      <c r="J93" s="436"/>
      <c r="K93" s="48"/>
      <c r="N93" s="75"/>
    </row>
    <row r="94" spans="2:14" x14ac:dyDescent="0.2">
      <c r="B94" s="74"/>
      <c r="E94" s="434" t="s">
        <v>343</v>
      </c>
      <c r="F94" s="440">
        <f>IF(RIGHT(Nb_diam,1)=",", "", D2r)</f>
        <v>104</v>
      </c>
      <c r="G94" s="48"/>
      <c r="H94" s="48"/>
      <c r="I94" s="48"/>
      <c r="J94" s="436"/>
      <c r="K94" s="48"/>
      <c r="N94" s="75"/>
    </row>
    <row r="95" spans="2:14" x14ac:dyDescent="0.2">
      <c r="B95" s="74"/>
      <c r="E95" s="48"/>
      <c r="F95" s="436"/>
      <c r="G95" s="48"/>
      <c r="H95" s="48"/>
      <c r="I95" s="48"/>
      <c r="J95" s="436"/>
      <c r="K95" s="48"/>
      <c r="N95" s="75"/>
    </row>
    <row r="96" spans="2:14" ht="13.5" thickBot="1" x14ac:dyDescent="0.25">
      <c r="B96" s="74"/>
      <c r="E96" s="48"/>
      <c r="F96" s="436"/>
      <c r="G96" s="48"/>
      <c r="H96" s="48"/>
      <c r="I96" s="48"/>
      <c r="J96" s="436"/>
      <c r="K96" s="48"/>
      <c r="N96" s="75"/>
    </row>
    <row r="97" spans="2:14" ht="13.5" thickBot="1" x14ac:dyDescent="0.25">
      <c r="B97" s="74"/>
      <c r="E97" s="273" t="s">
        <v>344</v>
      </c>
      <c r="F97" s="441">
        <f>m_ail</f>
        <v>210</v>
      </c>
      <c r="G97" s="48"/>
      <c r="H97" s="48"/>
      <c r="I97" s="48"/>
      <c r="J97" s="441">
        <f>p_ail</f>
        <v>170</v>
      </c>
      <c r="K97" s="2"/>
      <c r="N97" s="75"/>
    </row>
    <row r="98" spans="2:14" x14ac:dyDescent="0.2">
      <c r="B98" s="74"/>
      <c r="E98" s="48"/>
      <c r="F98" s="48"/>
      <c r="G98" s="48"/>
      <c r="H98" s="48"/>
      <c r="I98" s="48"/>
      <c r="J98" s="436"/>
      <c r="K98" s="48"/>
      <c r="N98" s="75"/>
    </row>
    <row r="99" spans="2:14" x14ac:dyDescent="0.2">
      <c r="B99" s="74"/>
      <c r="E99" s="48"/>
      <c r="F99" s="48"/>
      <c r="G99" s="48"/>
      <c r="H99" s="48"/>
      <c r="I99" s="48"/>
      <c r="J99" s="436"/>
      <c r="K99" s="48"/>
      <c r="N99" s="75"/>
    </row>
    <row r="100" spans="2:14" ht="13.5" thickBot="1" x14ac:dyDescent="0.25">
      <c r="B100" s="74"/>
      <c r="D100" s="429" t="s">
        <v>346</v>
      </c>
      <c r="E100" s="246">
        <f>Q_ail</f>
        <v>4</v>
      </c>
      <c r="F100" s="430"/>
      <c r="G100" s="48"/>
      <c r="H100" s="48"/>
      <c r="I100" s="48"/>
      <c r="J100" s="436"/>
      <c r="K100" s="48"/>
      <c r="N100" s="75"/>
    </row>
    <row r="101" spans="2:14" ht="13.5" thickBot="1" x14ac:dyDescent="0.25">
      <c r="B101" s="74"/>
      <c r="D101" s="437" t="s">
        <v>350</v>
      </c>
      <c r="E101" s="6">
        <f ca="1">XpropuRef-Long_propu</f>
        <v>549</v>
      </c>
      <c r="F101" s="252"/>
      <c r="G101" s="48"/>
      <c r="H101" s="48"/>
      <c r="I101" s="48"/>
      <c r="J101" s="441">
        <f>n_ail</f>
        <v>120</v>
      </c>
      <c r="K101" s="2"/>
      <c r="N101" s="75"/>
    </row>
    <row r="102" spans="2:14" x14ac:dyDescent="0.2">
      <c r="B102" s="74"/>
      <c r="D102" s="437" t="s">
        <v>347</v>
      </c>
      <c r="E102" s="6">
        <f>IF(LEFT(Forme_ogive,4)="Ogiv",1,0)</f>
        <v>0</v>
      </c>
      <c r="F102" s="252" t="s">
        <v>348</v>
      </c>
      <c r="G102" s="48"/>
      <c r="H102" s="48"/>
      <c r="I102" s="48"/>
      <c r="J102" s="436"/>
      <c r="K102" s="48"/>
      <c r="N102" s="75"/>
    </row>
    <row r="103" spans="2:14" x14ac:dyDescent="0.2">
      <c r="B103" s="74"/>
      <c r="D103" s="437"/>
      <c r="E103" s="6">
        <f>IF(LEFT(Forme_ogive,3)="Con",1,0)</f>
        <v>1</v>
      </c>
      <c r="F103" s="252" t="s">
        <v>160</v>
      </c>
      <c r="G103" s="48"/>
      <c r="H103" s="48"/>
      <c r="I103" s="48"/>
      <c r="J103" s="436"/>
      <c r="K103" s="48"/>
      <c r="N103" s="75"/>
    </row>
    <row r="104" spans="2:14" ht="13.5" thickBot="1" x14ac:dyDescent="0.25">
      <c r="B104" s="74"/>
      <c r="D104" s="431"/>
      <c r="E104" s="274">
        <f>IF(LEFT(Forme_ogive,5)="Parab",1,0)</f>
        <v>0</v>
      </c>
      <c r="F104" s="289" t="s">
        <v>349</v>
      </c>
      <c r="G104" s="48"/>
      <c r="H104" s="48"/>
      <c r="I104" s="48"/>
      <c r="J104" s="12" t="s">
        <v>345</v>
      </c>
      <c r="K104" s="48"/>
      <c r="N104" s="75"/>
    </row>
    <row r="105" spans="2:14" ht="13.5" thickBot="1" x14ac:dyDescent="0.25">
      <c r="B105" s="74"/>
      <c r="D105" s="2"/>
      <c r="E105" s="2"/>
      <c r="F105" s="2"/>
      <c r="G105" s="273"/>
      <c r="H105" s="441">
        <f>E_ail</f>
        <v>150</v>
      </c>
      <c r="I105" s="273"/>
      <c r="J105" s="441">
        <f>ep_ail</f>
        <v>4</v>
      </c>
      <c r="K105" s="48"/>
      <c r="N105" s="75"/>
    </row>
    <row r="106" spans="2:14" x14ac:dyDescent="0.2">
      <c r="B106" s="74"/>
      <c r="D106" s="429"/>
      <c r="E106" s="246" t="s">
        <v>354</v>
      </c>
      <c r="F106" s="243" t="s">
        <v>353</v>
      </c>
      <c r="N106" s="75"/>
    </row>
    <row r="107" spans="2:14" x14ac:dyDescent="0.2">
      <c r="B107" s="74"/>
      <c r="D107" s="437" t="s">
        <v>351</v>
      </c>
      <c r="E107" s="6">
        <f>MasseSans</f>
        <v>4.83</v>
      </c>
      <c r="F107" s="244">
        <f ca="1">MassePlein</f>
        <v>8.3410000000000011</v>
      </c>
      <c r="N107" s="75"/>
    </row>
    <row r="108" spans="2:14" x14ac:dyDescent="0.2">
      <c r="B108" s="74"/>
      <c r="D108" s="431" t="s">
        <v>352</v>
      </c>
      <c r="E108" s="274">
        <f>XcgSans</f>
        <v>250</v>
      </c>
      <c r="F108" s="260">
        <f ca="1">XcgPlein</f>
        <v>478.14554609759017</v>
      </c>
      <c r="N108" s="75"/>
    </row>
    <row r="109" spans="2:14" x14ac:dyDescent="0.2">
      <c r="B109" s="74"/>
      <c r="N109" s="75"/>
    </row>
    <row r="110" spans="2:14" x14ac:dyDescent="0.2">
      <c r="B110" s="74"/>
      <c r="D110" s="438" t="s">
        <v>355</v>
      </c>
      <c r="E110" s="439">
        <f ca="1">MasseVide</f>
        <v>6.468</v>
      </c>
      <c r="G110" s="429" t="s">
        <v>356</v>
      </c>
      <c r="H110" s="265"/>
      <c r="I110" s="265"/>
      <c r="J110" s="266"/>
      <c r="N110" s="75"/>
    </row>
    <row r="111" spans="2:14" x14ac:dyDescent="0.2">
      <c r="B111" s="74"/>
      <c r="G111" s="276" t="s">
        <v>214</v>
      </c>
      <c r="H111" s="6">
        <f>Beta_rampe</f>
        <v>85</v>
      </c>
      <c r="I111" s="6">
        <v>80</v>
      </c>
      <c r="J111" s="244">
        <v>90</v>
      </c>
      <c r="N111" s="75"/>
    </row>
    <row r="112" spans="2:14" x14ac:dyDescent="0.2">
      <c r="B112" s="74"/>
      <c r="G112" s="278" t="s">
        <v>216</v>
      </c>
      <c r="H112" s="247">
        <f ca="1">Temps_culmi</f>
        <v>22.099999999999984</v>
      </c>
      <c r="I112" s="259"/>
      <c r="J112" s="268"/>
      <c r="N112" s="75"/>
    </row>
    <row r="113" spans="2:14" ht="12.75" customHeight="1" x14ac:dyDescent="0.25">
      <c r="B113" s="74"/>
      <c r="D113" s="435" t="s">
        <v>357</v>
      </c>
      <c r="E113" s="48"/>
      <c r="G113" s="278" t="s">
        <v>217</v>
      </c>
      <c r="H113" s="242">
        <f ca="1">Altitude_culmi</f>
        <v>3041.5232658427863</v>
      </c>
      <c r="I113" s="259"/>
      <c r="J113" s="268"/>
      <c r="N113" s="75"/>
    </row>
    <row r="114" spans="2:14" ht="12.75" customHeight="1" x14ac:dyDescent="0.25">
      <c r="B114" s="74"/>
      <c r="D114" s="48"/>
      <c r="E114" s="48"/>
      <c r="F114" s="435"/>
      <c r="G114" s="278" t="s">
        <v>218</v>
      </c>
      <c r="H114" s="248">
        <f ca="1">Vit_culmi</f>
        <v>15.563544270701611</v>
      </c>
      <c r="I114" s="259"/>
      <c r="J114" s="268"/>
      <c r="N114" s="75"/>
    </row>
    <row r="115" spans="2:14" x14ac:dyDescent="0.2">
      <c r="B115" s="74"/>
      <c r="C115" s="429" t="s">
        <v>358</v>
      </c>
      <c r="D115" s="249"/>
      <c r="E115" s="446">
        <v>0.1</v>
      </c>
      <c r="G115" s="278" t="s">
        <v>134</v>
      </c>
      <c r="H115" s="242">
        <f ca="1">Portee_balistique</f>
        <v>781.88500774856686</v>
      </c>
      <c r="I115" s="259"/>
      <c r="J115" s="268"/>
      <c r="N115" s="75"/>
    </row>
    <row r="116" spans="2:14" ht="12.75" customHeight="1" x14ac:dyDescent="0.2">
      <c r="B116" s="74"/>
      <c r="C116" s="431" t="s">
        <v>359</v>
      </c>
      <c r="D116" s="255"/>
      <c r="E116" s="447">
        <f>E_ail*(m_ail+n_ail)/2</f>
        <v>24750</v>
      </c>
      <c r="G116" s="278" t="s">
        <v>138</v>
      </c>
      <c r="H116" s="248">
        <f ca="1">Vit_max</f>
        <v>344.87216769595085</v>
      </c>
      <c r="I116" s="259"/>
      <c r="J116" s="268"/>
      <c r="N116" s="75"/>
    </row>
    <row r="117" spans="2:14" ht="12.75" customHeight="1" x14ac:dyDescent="0.2">
      <c r="B117" s="74"/>
      <c r="D117" s="48"/>
      <c r="E117" s="48"/>
      <c r="F117" s="48"/>
      <c r="G117" s="278" t="s">
        <v>137</v>
      </c>
      <c r="H117" s="242">
        <f ca="1">Acc_max</f>
        <v>144.34946368663304</v>
      </c>
      <c r="I117" s="259"/>
      <c r="J117" s="268"/>
      <c r="N117" s="75"/>
    </row>
    <row r="118" spans="2:14" x14ac:dyDescent="0.2">
      <c r="B118" s="74"/>
      <c r="C118" s="429" t="s">
        <v>360</v>
      </c>
      <c r="D118" s="249"/>
      <c r="E118" s="457"/>
      <c r="F118" s="458">
        <f>J90/100</f>
        <v>8.0500000000000007</v>
      </c>
      <c r="G118" s="276" t="s">
        <v>5</v>
      </c>
      <c r="H118" s="6">
        <f>Cx</f>
        <v>0.5</v>
      </c>
      <c r="I118" s="259"/>
      <c r="J118" s="268"/>
      <c r="N118" s="75"/>
    </row>
    <row r="119" spans="2:14" x14ac:dyDescent="0.2">
      <c r="B119" s="74"/>
      <c r="C119" s="437" t="s">
        <v>361</v>
      </c>
      <c r="D119" s="2"/>
      <c r="E119" s="459">
        <f ca="1">2*Acc_max*MasseSans</f>
        <v>1394.4158192128752</v>
      </c>
      <c r="F119" s="460">
        <f ca="1">E119/g</f>
        <v>142.14228534280073</v>
      </c>
      <c r="G119" s="269" t="s">
        <v>223</v>
      </c>
      <c r="H119" s="270"/>
      <c r="I119" s="270"/>
      <c r="J119" s="271"/>
      <c r="N119" s="75"/>
    </row>
    <row r="120" spans="2:14" x14ac:dyDescent="0.2">
      <c r="B120" s="74"/>
      <c r="C120" s="437" t="s">
        <v>362</v>
      </c>
      <c r="D120" s="2"/>
      <c r="E120" s="459">
        <f ca="1">2*Acc_max*E115</f>
        <v>28.869892737326609</v>
      </c>
      <c r="F120" s="460">
        <f ca="1">E120/g</f>
        <v>2.942904458443079</v>
      </c>
      <c r="N120" s="75"/>
    </row>
    <row r="121" spans="2:14" x14ac:dyDescent="0.2">
      <c r="B121" s="74"/>
      <c r="C121" s="431" t="s">
        <v>363</v>
      </c>
      <c r="D121" s="255"/>
      <c r="E121" s="452">
        <f ca="1">0.104*E116/1000000*Vit_max^2</f>
        <v>306.14335422005661</v>
      </c>
      <c r="F121" s="453">
        <f ca="1">E121/g</f>
        <v>31.207273620800876</v>
      </c>
      <c r="G121" s="48"/>
      <c r="H121" s="48"/>
      <c r="I121" s="48"/>
      <c r="J121" s="48"/>
      <c r="N121" s="75"/>
    </row>
    <row r="122" spans="2:14" ht="12.75" customHeight="1" x14ac:dyDescent="0.2">
      <c r="B122" s="74"/>
      <c r="H122" s="48"/>
      <c r="I122" s="48"/>
      <c r="J122" s="48"/>
      <c r="N122" s="75"/>
    </row>
    <row r="123" spans="2:14" ht="12.75" customHeight="1" x14ac:dyDescent="0.25">
      <c r="B123" s="74"/>
      <c r="G123" s="435"/>
      <c r="H123" s="435"/>
      <c r="I123" s="435"/>
      <c r="J123" s="48"/>
      <c r="N123" s="75"/>
    </row>
    <row r="124" spans="2:14" ht="12.75" customHeight="1" x14ac:dyDescent="0.25">
      <c r="B124" s="74"/>
      <c r="C124" s="48"/>
      <c r="D124" s="435" t="s">
        <v>364</v>
      </c>
      <c r="E124" s="448"/>
      <c r="J124" s="48"/>
      <c r="K124" s="48"/>
      <c r="N124" s="75"/>
    </row>
    <row r="125" spans="2:14" x14ac:dyDescent="0.2">
      <c r="B125" s="74"/>
      <c r="C125" s="445" t="s">
        <v>365</v>
      </c>
      <c r="J125" s="48"/>
      <c r="K125" s="48"/>
      <c r="N125" s="75"/>
    </row>
    <row r="126" spans="2:14" x14ac:dyDescent="0.2">
      <c r="B126" s="74"/>
      <c r="C126" s="429" t="s">
        <v>366</v>
      </c>
      <c r="D126" s="249"/>
      <c r="E126" s="449">
        <v>4</v>
      </c>
      <c r="G126" s="48"/>
      <c r="J126" s="48"/>
      <c r="N126" s="75"/>
    </row>
    <row r="127" spans="2:14" x14ac:dyDescent="0.2">
      <c r="B127" s="74"/>
      <c r="C127" s="431" t="s">
        <v>367</v>
      </c>
      <c r="D127" s="255"/>
      <c r="E127" s="456">
        <f>S_para</f>
        <v>0.24</v>
      </c>
      <c r="G127" s="48"/>
      <c r="J127" s="48"/>
      <c r="N127" s="75"/>
    </row>
    <row r="128" spans="2:14" x14ac:dyDescent="0.2">
      <c r="B128" s="74"/>
      <c r="C128" s="671" t="s">
        <v>368</v>
      </c>
      <c r="D128" s="672"/>
      <c r="E128" s="450">
        <f ca="1">0.5*Rho_moyen*S_para*Vit_culmi^2</f>
        <v>35.606914809115068</v>
      </c>
      <c r="F128" s="451">
        <f ca="1">E128/g</f>
        <v>3.6296549244765615</v>
      </c>
      <c r="H128" s="48"/>
      <c r="I128" s="48"/>
      <c r="J128" s="48"/>
      <c r="K128" s="48"/>
      <c r="N128" s="75"/>
    </row>
    <row r="129" spans="2:14" x14ac:dyDescent="0.2">
      <c r="B129" s="74"/>
      <c r="C129" s="669" t="s">
        <v>369</v>
      </c>
      <c r="D129" s="670"/>
      <c r="E129" s="452">
        <f ca="1">E128/E126*2</f>
        <v>17.803457404557534</v>
      </c>
      <c r="F129" s="453">
        <f ca="1">E129/g</f>
        <v>1.8148274622382807</v>
      </c>
      <c r="H129" s="48"/>
      <c r="I129" s="48"/>
      <c r="J129" s="48"/>
      <c r="K129" s="48"/>
      <c r="N129" s="75"/>
    </row>
    <row r="130" spans="2:14" x14ac:dyDescent="0.2">
      <c r="B130" s="74"/>
      <c r="C130" s="47"/>
      <c r="D130" s="47"/>
      <c r="E130" s="443"/>
      <c r="F130" s="444"/>
      <c r="H130" s="48"/>
      <c r="I130" s="48"/>
      <c r="J130" s="48"/>
      <c r="K130" s="48"/>
      <c r="N130" s="75"/>
    </row>
    <row r="131" spans="2:14" x14ac:dyDescent="0.2">
      <c r="B131" s="74"/>
      <c r="C131" s="445" t="s">
        <v>370</v>
      </c>
      <c r="D131" s="48"/>
      <c r="E131" s="48"/>
      <c r="F131" s="48"/>
      <c r="G131" s="48"/>
      <c r="H131" s="48"/>
      <c r="I131" s="48"/>
      <c r="J131" s="48"/>
      <c r="K131" s="48"/>
      <c r="N131" s="75"/>
    </row>
    <row r="132" spans="2:14" x14ac:dyDescent="0.2">
      <c r="B132" s="74"/>
      <c r="C132" s="671" t="s">
        <v>371</v>
      </c>
      <c r="D132" s="672"/>
      <c r="E132" s="454">
        <v>1</v>
      </c>
      <c r="F132" s="48"/>
      <c r="G132" s="48"/>
      <c r="H132" s="48"/>
      <c r="I132" s="48"/>
      <c r="J132" s="442"/>
      <c r="K132" s="48"/>
      <c r="N132" s="75"/>
    </row>
    <row r="133" spans="2:14" x14ac:dyDescent="0.2">
      <c r="B133" s="74"/>
      <c r="C133" s="669" t="s">
        <v>372</v>
      </c>
      <c r="D133" s="670"/>
      <c r="E133" s="455">
        <f ca="1">2*E132*Acc_max/g</f>
        <v>29.429044584430791</v>
      </c>
      <c r="F133" s="48"/>
      <c r="G133" s="48"/>
      <c r="H133" s="48"/>
      <c r="I133" s="48"/>
      <c r="J133" s="48"/>
      <c r="K133" s="48"/>
      <c r="N133" s="75"/>
    </row>
    <row r="134" spans="2:14" ht="13.5" thickBot="1" x14ac:dyDescent="0.25">
      <c r="B134" s="77"/>
      <c r="C134" s="461"/>
      <c r="D134" s="461"/>
      <c r="E134" s="461"/>
      <c r="F134" s="461"/>
      <c r="G134" s="461"/>
      <c r="H134" s="461"/>
      <c r="I134" s="461"/>
      <c r="J134" s="461"/>
      <c r="K134" s="461"/>
      <c r="L134" s="78"/>
      <c r="M134" s="78"/>
      <c r="N134" s="79"/>
    </row>
  </sheetData>
  <sheetProtection password="C6AC" sheet="1"/>
  <mergeCells count="22">
    <mergeCell ref="C133:D133"/>
    <mergeCell ref="C128:D128"/>
    <mergeCell ref="C129:D129"/>
    <mergeCell ref="C132:D132"/>
    <mergeCell ref="H44:I44"/>
    <mergeCell ref="H45:I45"/>
    <mergeCell ref="H46:I46"/>
    <mergeCell ref="E31:G31"/>
    <mergeCell ref="M29:M30"/>
    <mergeCell ref="H30:I30"/>
    <mergeCell ref="L29:L30"/>
    <mergeCell ref="H31:I31"/>
    <mergeCell ref="H11:I11"/>
    <mergeCell ref="H12:I12"/>
    <mergeCell ref="H13:I13"/>
    <mergeCell ref="H29:K29"/>
    <mergeCell ref="C29:C30"/>
    <mergeCell ref="D29:D30"/>
    <mergeCell ref="H17:I17"/>
    <mergeCell ref="H18:I18"/>
    <mergeCell ref="H19:I19"/>
    <mergeCell ref="E29:G30"/>
  </mergeCells>
  <phoneticPr fontId="8" type="noConversion"/>
  <conditionalFormatting sqref="D18:E18">
    <cfRule type="expression" dxfId="2" priority="2" stopIfTrue="1">
      <formula>IF(Propu="Cariacou",0,1)</formula>
    </cfRule>
  </conditionalFormatting>
  <conditionalFormatting sqref="F18:I19">
    <cfRule type="expression" dxfId="1" priority="1" stopIfTrue="1">
      <formula>IF(Propu="Cariacou",1,0)</formula>
    </cfRule>
  </conditionalFormatting>
  <conditionalFormatting sqref="I16 I68:I73">
    <cfRule type="expression" dxfId="0" priority="6" stopIfTrue="1">
      <formula>Nb_sat="0 satellite"</formula>
    </cfRule>
  </conditionalFormatting>
  <pageMargins left="0.39370078740157483" right="0.39370078740157483" top="0.39370078740157483" bottom="0.39370078740157483" header="0" footer="0"/>
  <pageSetup paperSize="9" scale="61" orientation="portrait" r:id="rId1"/>
  <ignoredErrors>
    <ignoredError sqref="H65 H6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214</vt:i4>
      </vt:variant>
    </vt:vector>
  </HeadingPairs>
  <TitlesOfParts>
    <vt:vector size="222" baseType="lpstr">
      <vt:lpstr>Stabilito</vt:lpstr>
      <vt:lpstr>Trajecto</vt:lpstr>
      <vt:lpstr>Courbes</vt:lpstr>
      <vt:lpstr>Propu</vt:lpstr>
      <vt:lpstr>Calculs</vt:lpstr>
      <vt:lpstr>Abaco</vt:lpstr>
      <vt:lpstr>Info</vt:lpstr>
      <vt:lpstr>Controle</vt:lpstr>
      <vt:lpstr>a_prop</vt:lpstr>
      <vt:lpstr>Acc_max</vt:lpstr>
      <vt:lpstr>acc_x</vt:lpstr>
      <vt:lpstr>acc_xz</vt:lpstr>
      <vt:lpstr>acc_z</vt:lpstr>
      <vt:lpstr>Alt_para</vt:lpstr>
      <vt:lpstr>alt_prop</vt:lpstr>
      <vt:lpstr>Alt_rampe</vt:lpstr>
      <vt:lpstr>Alt_sat</vt:lpstr>
      <vt:lpstr>Altitude_culmi</vt:lpstr>
      <vt:lpstr>b_bal</vt:lpstr>
      <vt:lpstr>b_prop</vt:lpstr>
      <vt:lpstr>Beta</vt:lpstr>
      <vt:lpstr>Beta_rampe</vt:lpstr>
      <vt:lpstr>BetaD</vt:lpstr>
      <vt:lpstr>CdP</vt:lpstr>
      <vt:lpstr>CdP_P</vt:lpstr>
      <vt:lpstr>CdP_t</vt:lpstr>
      <vt:lpstr>Club</vt:lpstr>
      <vt:lpstr>Cn</vt:lpstr>
      <vt:lpstr>Cn0</vt:lpstr>
      <vt:lpstr>Stabilito!Cnai</vt:lpstr>
      <vt:lpstr>Cnai0</vt:lpstr>
      <vt:lpstr>Stabilito!Cnail</vt:lpstr>
      <vt:lpstr>Stabilito!Cnc</vt:lpstr>
      <vt:lpstr>Stabilito!Cni</vt:lpstr>
      <vt:lpstr>Cni0</vt:lpstr>
      <vt:lpstr>Stabilito!Cnj</vt:lpstr>
      <vt:lpstr>Stabilito!Cno</vt:lpstr>
      <vt:lpstr>Stabilito!Cnr</vt:lpstr>
      <vt:lpstr>Combustion</vt:lpstr>
      <vt:lpstr>Stabilito!CritCnmax</vt:lpstr>
      <vt:lpstr>Stabilito!CritCnmin</vt:lpstr>
      <vt:lpstr>Stabilito!CritFinessemax</vt:lpstr>
      <vt:lpstr>Stabilito!CritFinessemin</vt:lpstr>
      <vt:lpstr>Stabilito!CritMsCnmax</vt:lpstr>
      <vt:lpstr>Stabilito!CritMsCnmin</vt:lpstr>
      <vt:lpstr>Stabilito!CritMsmax</vt:lpstr>
      <vt:lpstr>Stabilito!CritMsmin</vt:lpstr>
      <vt:lpstr>Cx</vt:lpstr>
      <vt:lpstr>Cx_para</vt:lpstr>
      <vt:lpstr>Cx_satellite</vt:lpstr>
      <vt:lpstr>D_ail</vt:lpstr>
      <vt:lpstr>Stabilito!D_can</vt:lpstr>
      <vt:lpstr>Stabilito!D_int</vt:lpstr>
      <vt:lpstr>D_og</vt:lpstr>
      <vt:lpstr>D_ref</vt:lpstr>
      <vt:lpstr>D_var</vt:lpstr>
      <vt:lpstr>D1j</vt:lpstr>
      <vt:lpstr>D1r</vt:lpstr>
      <vt:lpstr>D2j</vt:lpstr>
      <vt:lpstr>D2r</vt:lpstr>
      <vt:lpstr>Débit</vt:lpstr>
      <vt:lpstr>Depotage</vt:lpstr>
      <vt:lpstr>Diam_propu</vt:lpstr>
      <vt:lpstr>Dt_para</vt:lpstr>
      <vt:lpstr>Dt_satellite</vt:lpstr>
      <vt:lpstr>Dx_para</vt:lpstr>
      <vt:lpstr>Dx_sat</vt:lpstr>
      <vt:lpstr>E_ail</vt:lpstr>
      <vt:lpstr>E_can</vt:lpstr>
      <vt:lpstr>Stabilito!E_int</vt:lpstr>
      <vt:lpstr>ep_ail</vt:lpstr>
      <vt:lpstr>ep_can</vt:lpstr>
      <vt:lpstr>Stabilito!ep_int</vt:lpstr>
      <vt:lpstr>Event</vt:lpstr>
      <vt:lpstr>Event_para</vt:lpstr>
      <vt:lpstr>Event_sat</vt:lpstr>
      <vt:lpstr>Stabilito!f_ail</vt:lpstr>
      <vt:lpstr>Stabilito!f_can</vt:lpstr>
      <vt:lpstr>Stabilito!f_int</vt:lpstr>
      <vt:lpstr>Finesse</vt:lpstr>
      <vt:lpstr>Forme_ogive</vt:lpstr>
      <vt:lpstr>g</vt:lpstr>
      <vt:lpstr>i_P</vt:lpstr>
      <vt:lpstr>I_total</vt:lpstr>
      <vt:lpstr>ISP</vt:lpstr>
      <vt:lpstr>l_j</vt:lpstr>
      <vt:lpstr>l_r</vt:lpstr>
      <vt:lpstr>L_rampe</vt:lpstr>
      <vt:lpstr>Lang</vt:lpstr>
      <vt:lpstr>Liste_µfu</vt:lpstr>
      <vt:lpstr>Liste_fusex</vt:lpstr>
      <vt:lpstr>Liste_H2O</vt:lpstr>
      <vt:lpstr>Liste_minif</vt:lpstr>
      <vt:lpstr>Liste_minifT</vt:lpstr>
      <vt:lpstr>Liste_propu</vt:lpstr>
      <vt:lpstr>Liste_RC</vt:lpstr>
      <vt:lpstr>Long_ogive</vt:lpstr>
      <vt:lpstr>Long_propu</vt:lpstr>
      <vt:lpstr>Long_tot</vt:lpstr>
      <vt:lpstr>m</vt:lpstr>
      <vt:lpstr>m_ail</vt:lpstr>
      <vt:lpstr>m_bal</vt:lpstr>
      <vt:lpstr>m_can</vt:lpstr>
      <vt:lpstr>Stabilito!m_int</vt:lpstr>
      <vt:lpstr>m_poudre</vt:lpstr>
      <vt:lpstr>m_prop</vt:lpstr>
      <vt:lpstr>m_satellite</vt:lpstr>
      <vt:lpstr>m_tot</vt:lpstr>
      <vt:lpstr>m_var</vt:lpstr>
      <vt:lpstr>m_vide</vt:lpstr>
      <vt:lpstr>Masse_ail</vt:lpstr>
      <vt:lpstr>MassePlein</vt:lpstr>
      <vt:lpstr>MasseSans</vt:lpstr>
      <vt:lpstr>MasseVide</vt:lpstr>
      <vt:lpstr>Menu_Empennage</vt:lpstr>
      <vt:lpstr>Menu_Lang</vt:lpstr>
      <vt:lpstr>Menu_Ogive</vt:lpstr>
      <vt:lpstr>Menu_sat</vt:lpstr>
      <vt:lpstr>Menu_Transitions</vt:lpstr>
      <vt:lpstr>Menu_Type</vt:lpstr>
      <vt:lpstr>Menu_with_motor</vt:lpstr>
      <vt:lpstr>MpropuPlein</vt:lpstr>
      <vt:lpstr>MpropuVide</vt:lpstr>
      <vt:lpstr>MS_Cn_max</vt:lpstr>
      <vt:lpstr>MS_Cn_min</vt:lpstr>
      <vt:lpstr>MS_max</vt:lpstr>
      <vt:lpstr>MS_min</vt:lpstr>
      <vt:lpstr>n_ail</vt:lpstr>
      <vt:lpstr>n_can</vt:lpstr>
      <vt:lpstr>Stabilito!n_int</vt:lpstr>
      <vt:lpstr>Nb_diam</vt:lpstr>
      <vt:lpstr>Nb_sat</vt:lpstr>
      <vt:lpstr>Nom</vt:lpstr>
      <vt:lpstr>p_ail</vt:lpstr>
      <vt:lpstr>p_can</vt:lpstr>
      <vt:lpstr>Stabilito!p_int</vt:lpstr>
      <vt:lpstr>pas</vt:lpstr>
      <vt:lpstr>Poids</vt:lpstr>
      <vt:lpstr>Portee_balistique</vt:lpstr>
      <vt:lpstr>pos_x</vt:lpstr>
      <vt:lpstr>pos_xz</vt:lpstr>
      <vt:lpstr>pos_z</vt:lpstr>
      <vt:lpstr>pos_z_montant</vt:lpstr>
      <vt:lpstr>Poussee</vt:lpstr>
      <vt:lpstr>Propu</vt:lpstr>
      <vt:lpstr>Q_ail</vt:lpstr>
      <vt:lpstr>Q_can</vt:lpstr>
      <vt:lpstr>Stabilito!Q_int</vt:lpstr>
      <vt:lpstr>Q_var</vt:lpstr>
      <vt:lpstr>R_rampe</vt:lpstr>
      <vt:lpstr>Rho</vt:lpstr>
      <vt:lpstr>Rho_moyen</vt:lpstr>
      <vt:lpstr>S_ail</vt:lpstr>
      <vt:lpstr>S_para</vt:lpstr>
      <vt:lpstr>S_para_croix</vt:lpstr>
      <vt:lpstr>S_para_rond</vt:lpstr>
      <vt:lpstr>S_satellite</vt:lpstr>
      <vt:lpstr>Sref</vt:lpstr>
      <vt:lpstr>sS</vt:lpstr>
      <vt:lpstr>t</vt:lpstr>
      <vt:lpstr>T_balistique</vt:lpstr>
      <vt:lpstr>T_ini</vt:lpstr>
      <vt:lpstr>T_para</vt:lpstr>
      <vt:lpstr>T_satellite</vt:lpstr>
      <vt:lpstr>Temps_culmi</vt:lpstr>
      <vt:lpstr>Temps_fin_propu</vt:lpstr>
      <vt:lpstr>Trainee</vt:lpstr>
      <vt:lpstr>tT_fus</vt:lpstr>
      <vt:lpstr>tT_sat</vt:lpstr>
      <vt:lpstr>Type_fusee</vt:lpstr>
      <vt:lpstr>Abaco!Type_masquage</vt:lpstr>
      <vt:lpstr>Stabilito!Type_masquage</vt:lpstr>
      <vt:lpstr>Type_propu</vt:lpstr>
      <vt:lpstr>V_ini</vt:lpstr>
      <vt:lpstr>V_ouv_sat</vt:lpstr>
      <vt:lpstr>V_ouverture</vt:lpstr>
      <vt:lpstr>V_para</vt:lpstr>
      <vt:lpstr>V_prop</vt:lpstr>
      <vt:lpstr>V_satellite</vt:lpstr>
      <vt:lpstr>V_vent</vt:lpstr>
      <vt:lpstr>V_vent_sat</vt:lpstr>
      <vt:lpstr>Stabilito!Version</vt:lpstr>
      <vt:lpstr>Trajecto!Version</vt:lpstr>
      <vt:lpstr>Vit_culmi</vt:lpstr>
      <vt:lpstr>Vit_max</vt:lpstr>
      <vt:lpstr>vit_x</vt:lpstr>
      <vt:lpstr>vit_xz</vt:lpstr>
      <vt:lpstr>vit_z</vt:lpstr>
      <vt:lpstr>Vsortie_de_rampe</vt:lpstr>
      <vt:lpstr>X_ail</vt:lpstr>
      <vt:lpstr>X_can</vt:lpstr>
      <vt:lpstr>X_culmi</vt:lpstr>
      <vt:lpstr>X_ini</vt:lpstr>
      <vt:lpstr>Stabilito!X_int</vt:lpstr>
      <vt:lpstr>X_j</vt:lpstr>
      <vt:lpstr>X_para</vt:lpstr>
      <vt:lpstr>X_r</vt:lpstr>
      <vt:lpstr>X_satellite</vt:lpstr>
      <vt:lpstr>XcgPlein</vt:lpstr>
      <vt:lpstr>XcgSans</vt:lpstr>
      <vt:lpstr>XcgVide</vt:lpstr>
      <vt:lpstr>Stabilito!XCp</vt:lpstr>
      <vt:lpstr>XCp0</vt:lpstr>
      <vt:lpstr>Stabilito!XCpa</vt:lpstr>
      <vt:lpstr>Stabilito!XCpai</vt:lpstr>
      <vt:lpstr>XCpai0</vt:lpstr>
      <vt:lpstr>Stabilito!XCpc</vt:lpstr>
      <vt:lpstr>Stabilito!XCpi</vt:lpstr>
      <vt:lpstr>XCpi0</vt:lpstr>
      <vt:lpstr>Stabilito!XCpj</vt:lpstr>
      <vt:lpstr>Stabilito!XCpo</vt:lpstr>
      <vt:lpstr>Stabilito!XCpr</vt:lpstr>
      <vt:lpstr>XpropuPlein</vt:lpstr>
      <vt:lpstr>XpropuRef</vt:lpstr>
      <vt:lpstr>XpropuVide</vt:lpstr>
      <vt:lpstr>Z_ini</vt:lpstr>
      <vt:lpstr>Abaco!Zone_d_impression</vt:lpstr>
      <vt:lpstr>Courbes!Zone_d_impression</vt:lpstr>
      <vt:lpstr>Stabilito!Zone_d_impression</vt:lpstr>
      <vt:lpstr>Trajecto!Zone_d_impression</vt:lpstr>
      <vt:lpstr>zZ_fus</vt:lpstr>
      <vt:lpstr>zZ_sat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StabTraj</dc:title>
  <dc:creator>Léo Côme;Sylvain Besson</dc:creator>
  <cp:lastModifiedBy>Alexis Paillard</cp:lastModifiedBy>
  <cp:lastPrinted>2011-11-08T21:12:34Z</cp:lastPrinted>
  <dcterms:created xsi:type="dcterms:W3CDTF">2008-11-03T20:48:06Z</dcterms:created>
  <dcterms:modified xsi:type="dcterms:W3CDTF">2025-08-14T08:09:26Z</dcterms:modified>
</cp:coreProperties>
</file>